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 Consolidado" sheetId="1" state="visible" r:id="rId1"/>
    <sheet xmlns:r="http://schemas.openxmlformats.org/officeDocument/2006/relationships" name="Administración" sheetId="2" state="visible" r:id="rId2"/>
    <sheet xmlns:r="http://schemas.openxmlformats.org/officeDocument/2006/relationships" name="Historial mensual" sheetId="3" state="visible" r:id="rId3"/>
    <sheet xmlns:r="http://schemas.openxmlformats.org/officeDocument/2006/relationships" name="Cronograma R. Operacional" sheetId="4" state="visible" r:id="rId4"/>
    <sheet xmlns:r="http://schemas.openxmlformats.org/officeDocument/2006/relationships" name="Actividades R. Operacional" sheetId="5" state="visible" r:id="rId5"/>
    <sheet xmlns:r="http://schemas.openxmlformats.org/officeDocument/2006/relationships" name="Cronograma R. Normativo" sheetId="6" state="visible" r:id="rId6"/>
    <sheet xmlns:r="http://schemas.openxmlformats.org/officeDocument/2006/relationships" name="Actividades R. Normativo" sheetId="7" state="visible" r:id="rId7"/>
    <sheet xmlns:r="http://schemas.openxmlformats.org/officeDocument/2006/relationships" name="Cronograma R. Financiero" sheetId="8" state="visible" r:id="rId8"/>
    <sheet xmlns:r="http://schemas.openxmlformats.org/officeDocument/2006/relationships" name="Actividades R. Financiero" sheetId="9" state="visible" r:id="rId9"/>
    <sheet xmlns:r="http://schemas.openxmlformats.org/officeDocument/2006/relationships" name="Cronograma Asistente Técnico" sheetId="10" state="visible" r:id="rId10"/>
    <sheet xmlns:r="http://schemas.openxmlformats.org/officeDocument/2006/relationships" name="Actividades Asistente Técnico" sheetId="11" state="visible" r:id="rId11"/>
    <sheet xmlns:r="http://schemas.openxmlformats.org/officeDocument/2006/relationships" name="Instrucciones" sheetId="12" state="visible" r:id="rId12"/>
    <sheet xmlns:r="http://schemas.openxmlformats.org/officeDocument/2006/relationships" name="Configuración" sheetId="13" state="visible" r:id="rId13"/>
    <sheet xmlns:r="http://schemas.openxmlformats.org/officeDocument/2006/relationships" name="Calculos" sheetId="14" state="hidden" r:id="rId14"/>
  </sheets>
  <definedNames>
    <definedName name="MesEntrada">'Configuración'!$C$4</definedName>
    <definedName name="InicioCiclo">'Configuración'!$C$5</definedName>
    <definedName name="FechaRef">'Configuración'!$C$6</definedName>
    <definedName name="SemanaActual">'Configuración'!$C$7</definedName>
    <definedName name="SemanaManual">'Configuración'!$C$8</definedName>
    <definedName name="DiasAlerta">'Configuración'!$C$9</definedName>
    <definedName name="ObsObligatoria">'Configuración'!$C$10</definedName>
    <definedName name="MetaFinal">'Configuración'!$C$11</definedName>
    <definedName name="HistInicio">'Configuración'!$C$12</definedName>
    <definedName name="PlanRef">'Configuración'!$C$15:$C$18</definedName>
    <definedName name="ListaPuestos">'Configuración'!$B$22:$B$25</definedName>
    <definedName name="ListaEstados">'Configuración'!$B$28:$B$30</definedName>
    <definedName name="ListaSemanas">'Configuración'!$B$33:$B$36</definedName>
    <definedName name="ListaSiNo">'Configuración'!$B$39:$B$40</definedName>
    <definedName name="rFLim_RO">'Cronograma R. Operacional'!$AS$5:$AS$1000</definedName>
    <definedName name="rIni_RO">'Cronograma R. Operacional'!$E$5:$E$1000</definedName>
    <definedName name="rLim_RO">'Cronograma R. Operacional'!$F$5:$F$1000</definedName>
    <definedName name="rDname_RO">'Cronograma R. Operacional'!$AP$5:$AP$1000</definedName>
    <definedName name="rPeso_RO">'Cronograma R. Operacional'!$AL$5:$AL$1000</definedName>
    <definedName name="rPesoEscrito_RO">'Cronograma R. Operacional'!$H$5:$H$1000</definedName>
    <definedName name="rS1_RO">'Cronograma R. Operacional'!$I$5:$I$1000</definedName>
    <definedName name="rS2_RO">'Cronograma R. Operacional'!$J$5:$J$1000</definedName>
    <definedName name="rS3_RO">'Cronograma R. Operacional'!$K$5:$K$1000</definedName>
    <definedName name="rS4_RO">'Cronograma R. Operacional'!$L$5:$L$1000</definedName>
    <definedName name="rAvance_RO">'Cronograma R. Operacional'!$M$5:$M$1000</definedName>
    <definedName name="rEstado_RO">'Cronograma R. Operacional'!$N$5:$N$1000</definedName>
    <definedName name="rAlerta_RO">'Cronograma R. Operacional'!$O$5:$O$1000</definedName>
    <definedName name="rValid_RO">'Cronograma R. Operacional'!$R$5:$R$1000</definedName>
    <definedName name="rMes_RO">'Cronograma R. Operacional'!$S$5:$S$1000</definedName>
    <definedName name="rOrden_RO">'Cronograma R. Operacional'!$T$5:$T$1000</definedName>
    <definedName name="rTipo_RO">'Cronograma R. Operacional'!$V$5:$V$1000</definedName>
    <definedName name="rEf1_RO">'Cronograma R. Operacional'!$AH$5:$AH$1000</definedName>
    <definedName name="rEf2_RO">'Cronograma R. Operacional'!$AI$5:$AI$1000</definedName>
    <definedName name="rEf3_RO">'Cronograma R. Operacional'!$AJ$5:$AJ$1000</definedName>
    <definedName name="rEf4_RO">'Cronograma R. Operacional'!$AK$5:$AK$1000</definedName>
    <definedName name="rAct_RO">'Cronograma R. Operacional'!$C$5:$C$1000</definedName>
    <definedName name="rDeleg_RO">'Cronograma R. Operacional'!$D$5:$D$1000</definedName>
    <definedName name="rDkey_RO">'Cronograma R. Operacional'!$AO$5:$AO$1000</definedName>
    <definedName name="rFLim_RN">'Cronograma R. Normativo'!$AS$5:$AS$1000</definedName>
    <definedName name="rIni_RN">'Cronograma R. Normativo'!$E$5:$E$1000</definedName>
    <definedName name="rLim_RN">'Cronograma R. Normativo'!$F$5:$F$1000</definedName>
    <definedName name="rDname_RN">'Cronograma R. Normativo'!$AP$5:$AP$1000</definedName>
    <definedName name="rPeso_RN">'Cronograma R. Normativo'!$AL$5:$AL$1000</definedName>
    <definedName name="rPesoEscrito_RN">'Cronograma R. Normativo'!$H$5:$H$1000</definedName>
    <definedName name="rS1_RN">'Cronograma R. Normativo'!$I$5:$I$1000</definedName>
    <definedName name="rS2_RN">'Cronograma R. Normativo'!$J$5:$J$1000</definedName>
    <definedName name="rS3_RN">'Cronograma R. Normativo'!$K$5:$K$1000</definedName>
    <definedName name="rS4_RN">'Cronograma R. Normativo'!$L$5:$L$1000</definedName>
    <definedName name="rAvance_RN">'Cronograma R. Normativo'!$M$5:$M$1000</definedName>
    <definedName name="rEstado_RN">'Cronograma R. Normativo'!$N$5:$N$1000</definedName>
    <definedName name="rAlerta_RN">'Cronograma R. Normativo'!$O$5:$O$1000</definedName>
    <definedName name="rValid_RN">'Cronograma R. Normativo'!$R$5:$R$1000</definedName>
    <definedName name="rMes_RN">'Cronograma R. Normativo'!$S$5:$S$1000</definedName>
    <definedName name="rOrden_RN">'Cronograma R. Normativo'!$T$5:$T$1000</definedName>
    <definedName name="rTipo_RN">'Cronograma R. Normativo'!$V$5:$V$1000</definedName>
    <definedName name="rEf1_RN">'Cronograma R. Normativo'!$AH$5:$AH$1000</definedName>
    <definedName name="rEf2_RN">'Cronograma R. Normativo'!$AI$5:$AI$1000</definedName>
    <definedName name="rEf3_RN">'Cronograma R. Normativo'!$AJ$5:$AJ$1000</definedName>
    <definedName name="rEf4_RN">'Cronograma R. Normativo'!$AK$5:$AK$1000</definedName>
    <definedName name="rAct_RN">'Cronograma R. Normativo'!$C$5:$C$1000</definedName>
    <definedName name="rDeleg_RN">'Cronograma R. Normativo'!$D$5:$D$1000</definedName>
    <definedName name="rDkey_RN">'Cronograma R. Normativo'!$AO$5:$AO$1000</definedName>
    <definedName name="rFLim_RF">'Cronograma R. Financiero'!$AS$5:$AS$1000</definedName>
    <definedName name="rIni_RF">'Cronograma R. Financiero'!$E$5:$E$1000</definedName>
    <definedName name="rLim_RF">'Cronograma R. Financiero'!$F$5:$F$1000</definedName>
    <definedName name="rDname_RF">'Cronograma R. Financiero'!$AP$5:$AP$1000</definedName>
    <definedName name="rPeso_RF">'Cronograma R. Financiero'!$AL$5:$AL$1000</definedName>
    <definedName name="rPesoEscrito_RF">'Cronograma R. Financiero'!$H$5:$H$1000</definedName>
    <definedName name="rS1_RF">'Cronograma R. Financiero'!$I$5:$I$1000</definedName>
    <definedName name="rS2_RF">'Cronograma R. Financiero'!$J$5:$J$1000</definedName>
    <definedName name="rS3_RF">'Cronograma R. Financiero'!$K$5:$K$1000</definedName>
    <definedName name="rS4_RF">'Cronograma R. Financiero'!$L$5:$L$1000</definedName>
    <definedName name="rAvance_RF">'Cronograma R. Financiero'!$M$5:$M$1000</definedName>
    <definedName name="rEstado_RF">'Cronograma R. Financiero'!$N$5:$N$1000</definedName>
    <definedName name="rAlerta_RF">'Cronograma R. Financiero'!$O$5:$O$1000</definedName>
    <definedName name="rValid_RF">'Cronograma R. Financiero'!$R$5:$R$1000</definedName>
    <definedName name="rMes_RF">'Cronograma R. Financiero'!$S$5:$S$1000</definedName>
    <definedName name="rOrden_RF">'Cronograma R. Financiero'!$T$5:$T$1000</definedName>
    <definedName name="rTipo_RF">'Cronograma R. Financiero'!$V$5:$V$1000</definedName>
    <definedName name="rEf1_RF">'Cronograma R. Financiero'!$AH$5:$AH$1000</definedName>
    <definedName name="rEf2_RF">'Cronograma R. Financiero'!$AI$5:$AI$1000</definedName>
    <definedName name="rEf3_RF">'Cronograma R. Financiero'!$AJ$5:$AJ$1000</definedName>
    <definedName name="rEf4_RF">'Cronograma R. Financiero'!$AK$5:$AK$1000</definedName>
    <definedName name="rAct_RF">'Cronograma R. Financiero'!$C$5:$C$1000</definedName>
    <definedName name="rDeleg_RF">'Cronograma R. Financiero'!$D$5:$D$1000</definedName>
    <definedName name="rDkey_RF">'Cronograma R. Financiero'!$AO$5:$AO$1000</definedName>
    <definedName name="rFLim_ATR">'Cronograma Asistente Técnico'!$AS$5:$AS$1000</definedName>
    <definedName name="rIni_ATR">'Cronograma Asistente Técnico'!$E$5:$E$1000</definedName>
    <definedName name="rLim_ATR">'Cronograma Asistente Técnico'!$F$5:$F$1000</definedName>
    <definedName name="rDname_ATR">'Cronograma Asistente Técnico'!$AP$5:$AP$1000</definedName>
    <definedName name="rPeso_ATR">'Cronograma Asistente Técnico'!$AL$5:$AL$1000</definedName>
    <definedName name="rPesoEscrito_ATR">'Cronograma Asistente Técnico'!$H$5:$H$1000</definedName>
    <definedName name="rS1_ATR">'Cronograma Asistente Técnico'!$I$5:$I$1000</definedName>
    <definedName name="rS2_ATR">'Cronograma Asistente Técnico'!$J$5:$J$1000</definedName>
    <definedName name="rS3_ATR">'Cronograma Asistente Técnico'!$K$5:$K$1000</definedName>
    <definedName name="rS4_ATR">'Cronograma Asistente Técnico'!$L$5:$L$1000</definedName>
    <definedName name="rAvance_ATR">'Cronograma Asistente Técnico'!$M$5:$M$1000</definedName>
    <definedName name="rEstado_ATR">'Cronograma Asistente Técnico'!$N$5:$N$1000</definedName>
    <definedName name="rAlerta_ATR">'Cronograma Asistente Técnico'!$O$5:$O$1000</definedName>
    <definedName name="rValid_ATR">'Cronograma Asistente Técnico'!$R$5:$R$1000</definedName>
    <definedName name="rMes_ATR">'Cronograma Asistente Técnico'!$S$5:$S$1000</definedName>
    <definedName name="rOrden_ATR">'Cronograma Asistente Técnico'!$T$5:$T$1000</definedName>
    <definedName name="rTipo_ATR">'Cronograma Asistente Técnico'!$V$5:$V$1000</definedName>
    <definedName name="rEf1_ATR">'Cronograma Asistente Técnico'!$AH$5:$AH$1000</definedName>
    <definedName name="rEf2_ATR">'Cronograma Asistente Técnico'!$AI$5:$AI$1000</definedName>
    <definedName name="rEf3_ATR">'Cronograma Asistente Técnico'!$AJ$5:$AJ$1000</definedName>
    <definedName name="rEf4_ATR">'Cronograma Asistente Técnico'!$AK$5:$AK$1000</definedName>
    <definedName name="rAct_ATR">'Cronograma Asistente Técnico'!$C$5:$C$1000</definedName>
    <definedName name="rDeleg_ATR">'Cronograma Asistente Técnico'!$D$5:$D$1000</definedName>
    <definedName name="rDkey_ATR">'Cronograma Asistente Técnico'!$AO$5:$AO$1000</definedName>
    <definedName name="rFLim_ADM">'Administración'!$AS$5:$AS$1000</definedName>
    <definedName name="rIni_ADM">'Administración'!$E$5:$E$1000</definedName>
    <definedName name="rLim_ADM">'Administración'!$F$5:$F$1000</definedName>
    <definedName name="rDname_ADM">'Administración'!$AP$5:$AP$1000</definedName>
    <definedName name="rPeso_ADM">'Administración'!$AL$5:$AL$1000</definedName>
    <definedName name="rPesoEscrito_ADM">'Administración'!$H$5:$H$1000</definedName>
    <definedName name="rS1_ADM">'Administración'!$I$5:$I$1000</definedName>
    <definedName name="rS2_ADM">'Administración'!$J$5:$J$1000</definedName>
    <definedName name="rS3_ADM">'Administración'!$K$5:$K$1000</definedName>
    <definedName name="rS4_ADM">'Administración'!$L$5:$L$1000</definedName>
    <definedName name="rAvance_ADM">'Administración'!$M$5:$M$1000</definedName>
    <definedName name="rEstado_ADM">'Administración'!$N$5:$N$1000</definedName>
    <definedName name="rAlerta_ADM">'Administración'!$O$5:$O$1000</definedName>
    <definedName name="rValid_ADM">'Administración'!$R$5:$R$1000</definedName>
    <definedName name="rMes_ADM">'Administración'!$S$5:$S$1000</definedName>
    <definedName name="rOrden_ADM">'Administración'!$T$5:$T$1000</definedName>
    <definedName name="rTipo_ADM">'Administración'!$V$5:$V$1000</definedName>
    <definedName name="rEf1_ADM">'Administración'!$AH$5:$AH$1000</definedName>
    <definedName name="rEf2_ADM">'Administración'!$AI$5:$AI$1000</definedName>
    <definedName name="rEf3_ADM">'Administración'!$AJ$5:$AJ$1000</definedName>
    <definedName name="rEf4_ADM">'Administración'!$AK$5:$AK$1000</definedName>
    <definedName name="rAct_ADM">'Administración'!$C$5:$C$1000</definedName>
    <definedName name="rDeleg_ADM">'Administración'!$D$5:$D$1000</definedName>
    <definedName name="rDkey_ADM">'Administración'!$AO$5:$AO$1000</definedName>
    <definedName name="hSemana_RO">'Actividades R. Operacional'!$E$5:$E$104</definedName>
    <definedName name="hEstado_RO">'Actividades R. Operacional'!$K$5:$K$104</definedName>
    <definedName name="hTipo_RO">'Actividades R. Operacional'!$O$5:$O$104</definedName>
    <definedName name="hAlertaN_RO">'Actividades R. Operacional'!$Q$5:$Q$104</definedName>
    <definedName name="hN_RO">'Actividades R. Operacional'!$A$5:$A$104</definedName>
    <definedName name="hAct_RO">'Actividades R. Operacional'!$B$5:$B$104</definedName>
    <definedName name="hLim_RO">'Actividades R. Operacional'!$D$5:$D$104</definedName>
    <definedName name="hAlerta_RO">'Actividades R. Operacional'!$L$5:$L$104</definedName>
    <definedName name="hObs_RO">'Actividades R. Operacional'!$M$5:$M$104</definedName>
    <definedName name="hSemana_RN">'Actividades R. Normativo'!$E$5:$E$104</definedName>
    <definedName name="hEstado_RN">'Actividades R. Normativo'!$K$5:$K$104</definedName>
    <definedName name="hTipo_RN">'Actividades R. Normativo'!$O$5:$O$104</definedName>
    <definedName name="hAlertaN_RN">'Actividades R. Normativo'!$Q$5:$Q$104</definedName>
    <definedName name="hN_RN">'Actividades R. Normativo'!$A$5:$A$104</definedName>
    <definedName name="hAct_RN">'Actividades R. Normativo'!$B$5:$B$104</definedName>
    <definedName name="hLim_RN">'Actividades R. Normativo'!$D$5:$D$104</definedName>
    <definedName name="hAlerta_RN">'Actividades R. Normativo'!$L$5:$L$104</definedName>
    <definedName name="hObs_RN">'Actividades R. Normativo'!$M$5:$M$104</definedName>
    <definedName name="hSemana_RF">'Actividades R. Financiero'!$E$5:$E$104</definedName>
    <definedName name="hEstado_RF">'Actividades R. Financiero'!$K$5:$K$104</definedName>
    <definedName name="hTipo_RF">'Actividades R. Financiero'!$O$5:$O$104</definedName>
    <definedName name="hAlertaN_RF">'Actividades R. Financiero'!$Q$5:$Q$104</definedName>
    <definedName name="hN_RF">'Actividades R. Financiero'!$A$5:$A$104</definedName>
    <definedName name="hAct_RF">'Actividades R. Financiero'!$B$5:$B$104</definedName>
    <definedName name="hLim_RF">'Actividades R. Financiero'!$D$5:$D$104</definedName>
    <definedName name="hAlerta_RF">'Actividades R. Financiero'!$L$5:$L$104</definedName>
    <definedName name="hObs_RF">'Actividades R. Financiero'!$M$5:$M$104</definedName>
    <definedName name="hSemana_ATR">'Actividades Asistente Técnico'!$E$5:$E$104</definedName>
    <definedName name="hEstado_ATR">'Actividades Asistente Técnico'!$K$5:$K$104</definedName>
    <definedName name="hTipo_ATR">'Actividades Asistente Técnico'!$O$5:$O$104</definedName>
    <definedName name="hAlertaN_ATR">'Actividades Asistente Técnico'!$Q$5:$Q$104</definedName>
    <definedName name="hN_ATR">'Actividades Asistente Técnico'!$A$5:$A$104</definedName>
    <definedName name="hAct_ATR">'Actividades Asistente Técnico'!$B$5:$B$104</definedName>
    <definedName name="hLim_ATR">'Actividades Asistente Técnico'!$D$5:$D$104</definedName>
    <definedName name="hAlerta_ATR">'Actividades Asistente Técnico'!$L$5:$L$104</definedName>
    <definedName name="hObs_ATR">'Actividades Asistente Técnico'!$M$5:$M$104</definedName>
    <definedName name="ListaDeleg_RO">OFFSET('Calculos'!$B$21,0,0,MAX(1,COUNTIF('Calculos'!$B$21:$B$60,"?*")),1)</definedName>
    <definedName name="ListaDeleg_RN">OFFSET('Calculos'!$C$21,0,0,MAX(1,COUNTIF('Calculos'!$C$21:$C$60,"?*")),1)</definedName>
    <definedName name="ListaDeleg_RF">OFFSET('Calculos'!$D$21,0,0,MAX(1,COUNTIF('Calculos'!$D$21:$D$60,"?*")),1)</definedName>
    <definedName name="ListaDeleg_ATR">OFFSET('Calculos'!$E$21,0,0,MAX(1,COUNTIF('Calculos'!$E$21:$E$60,"?*")),1)</definedName>
    <definedName name="MesCiclo">'Calculos'!$B$15</definedName>
    <definedName name="_xlnm.Print_Titles" localSheetId="0">'Dashboard - Consolidado'!$1:$2</definedName>
    <definedName name="_xlnm.Print_Area" localSheetId="0">'Dashboard - Consolidado'!$A$1:$N$91</definedName>
    <definedName name="_xlnm.Print_Titles" localSheetId="1">'Administración'!$4:$4</definedName>
    <definedName name="_xlnm.Print_Area" localSheetId="1">'Administración'!$A$1:$S$304</definedName>
    <definedName name="_xlnm.Print_Titles" localSheetId="3">'Cronograma R. Operacional'!$4:$4</definedName>
    <definedName name="_xlnm.Print_Area" localSheetId="3">'Cronograma R. Operacional'!$A$1:$S$304</definedName>
    <definedName name="_xlnm.Print_Titles" localSheetId="4">'Actividades R. Operacional'!$4:$4</definedName>
    <definedName name="_xlnm.Print_Area" localSheetId="4">'Actividades R. Operacional'!$A$1:$M$104</definedName>
    <definedName name="_xlnm.Print_Titles" localSheetId="5">'Cronograma R. Normativo'!$4:$4</definedName>
    <definedName name="_xlnm.Print_Area" localSheetId="5">'Cronograma R. Normativo'!$A$1:$S$304</definedName>
    <definedName name="_xlnm.Print_Titles" localSheetId="6">'Actividades R. Normativo'!$4:$4</definedName>
    <definedName name="_xlnm.Print_Area" localSheetId="6">'Actividades R. Normativo'!$A$1:$M$104</definedName>
    <definedName name="_xlnm.Print_Titles" localSheetId="7">'Cronograma R. Financiero'!$4:$4</definedName>
    <definedName name="_xlnm.Print_Area" localSheetId="7">'Cronograma R. Financiero'!$A$1:$S$304</definedName>
    <definedName name="_xlnm.Print_Titles" localSheetId="8">'Actividades R. Financiero'!$4:$4</definedName>
    <definedName name="_xlnm.Print_Area" localSheetId="8">'Actividades R. Financiero'!$A$1:$M$104</definedName>
    <definedName name="_xlnm.Print_Titles" localSheetId="9">'Cronograma Asistente Técnico'!$4:$4</definedName>
    <definedName name="_xlnm.Print_Area" localSheetId="9">'Cronograma Asistente Técnico'!$A$1:$S$304</definedName>
    <definedName name="_xlnm.Print_Titles" localSheetId="10">'Actividades Asistente Técnico'!$4:$4</definedName>
    <definedName name="_xlnm.Print_Area" localSheetId="10">'Actividades Asistente Técnico'!$A$1:$M$104</definedName>
  </definedNames>
  <calcPr calcId="124519" fullCalcOnLoad="1"/>
</workbook>
</file>

<file path=xl/styles.xml><?xml version="1.0" encoding="utf-8"?>
<styleSheet xmlns="http://schemas.openxmlformats.org/spreadsheetml/2006/main">
  <numFmts count="9">
    <numFmt numFmtId="164" formatCode="[$-440A]mmmm yyyy"/>
    <numFmt numFmtId="165" formatCode="dd/mm/yyyy"/>
    <numFmt numFmtId="166" formatCode="&quot;Semana &quot;0"/>
    <numFmt numFmtId="167" formatCode="yyyy-mm-dd"/>
    <numFmt numFmtId="168" formatCode="dd/mm"/>
    <numFmt numFmtId="169" formatCode="0.0%"/>
    <numFmt numFmtId="170" formatCode="0&quot; de 4&quot;"/>
    <numFmt numFmtId="171" formatCode="0%;;&quot;&quot;"/>
    <numFmt numFmtId="172" formatCode="+0%;-0%;0%"/>
  </numFmts>
  <fonts count="28">
    <font>
      <name val="Calibri"/>
      <family val="2"/>
      <color theme="1"/>
      <sz val="11"/>
      <scheme val="minor"/>
    </font>
    <font>
      <name val="Arial"/>
      <b val="1"/>
      <color rgb="00FFFFFF"/>
      <sz val="14"/>
    </font>
    <font>
      <name val="Arial"/>
      <i val="1"/>
      <color rgb="001A1A1A"/>
      <sz val="9"/>
    </font>
    <font>
      <name val="Arial"/>
      <b val="1"/>
      <color rgb="00FFFFFF"/>
      <sz val="10"/>
    </font>
    <font>
      <name val="Arial"/>
      <b val="1"/>
      <color rgb="001A1A1A"/>
      <sz val="10"/>
    </font>
    <font>
      <name val="Arial"/>
      <b val="1"/>
      <color rgb="001F3864"/>
      <sz val="10"/>
    </font>
    <font>
      <name val="Arial"/>
      <color rgb="001A1A1A"/>
      <sz val="9"/>
    </font>
    <font>
      <name val="Arial"/>
      <b val="1"/>
      <color rgb="002E75B6"/>
      <sz val="10"/>
    </font>
    <font>
      <name val="Arial"/>
      <color rgb="001A1A1A"/>
      <sz val="10"/>
    </font>
    <font>
      <name val="Arial"/>
      <color rgb="001F3864"/>
      <sz val="9"/>
    </font>
    <font>
      <name val="Arial"/>
      <color rgb="001A1A1A"/>
      <sz val="8"/>
    </font>
    <font>
      <name val="Arial"/>
      <b val="1"/>
      <color rgb="001A1A1A"/>
      <sz val="8"/>
    </font>
    <font>
      <name val="Arial"/>
      <i val="1"/>
      <color rgb="001F3864"/>
      <sz val="8"/>
    </font>
    <font>
      <name val="Arial"/>
      <b val="1"/>
      <color rgb="001F3864"/>
      <sz val="9"/>
    </font>
    <font>
      <name val="Arial"/>
      <b val="1"/>
      <color rgb="001A1A1A"/>
      <sz val="9"/>
    </font>
    <font>
      <name val="Arial"/>
      <b val="1"/>
      <color rgb="001F3864"/>
      <sz val="8"/>
    </font>
    <font>
      <name val="Arial"/>
      <b val="1"/>
      <color rgb="00FFFFFF"/>
      <sz val="9"/>
    </font>
    <font>
      <name val="Arial"/>
      <i val="1"/>
      <color rgb="001A1A1A"/>
      <sz val="8"/>
    </font>
    <font>
      <name val="Arial"/>
      <b val="1"/>
      <color rgb="00FFFFFF"/>
      <sz val="16"/>
    </font>
    <font>
      <name val="Arial"/>
      <b val="1"/>
      <color rgb="001F3864"/>
      <sz val="11"/>
    </font>
    <font>
      <name val="Arial"/>
      <b val="1"/>
      <color rgb="001F3864"/>
      <sz val="24"/>
    </font>
    <font>
      <name val="Arial"/>
      <b val="1"/>
      <color rgb="00FFFFFF"/>
      <sz val="12"/>
    </font>
    <font>
      <name val="Arial"/>
      <color rgb="00FFFFFF"/>
      <sz val="9"/>
    </font>
    <font>
      <name val="Arial"/>
      <color rgb="00DDEBF7"/>
      <sz val="9"/>
    </font>
    <font>
      <name val="Arial"/>
      <i val="1"/>
      <color rgb="00404040"/>
      <sz val="9"/>
    </font>
    <font>
      <name val="Arial"/>
      <color rgb="00404040"/>
      <sz val="9"/>
    </font>
    <font>
      <name val="Arial"/>
      <i val="1"/>
      <color rgb="00404040"/>
      <sz val="8"/>
    </font>
    <font>
      <name val="Arial"/>
      <b val="1"/>
      <color rgb="00FFFFFF"/>
      <sz val="11"/>
    </font>
  </fonts>
  <fills count="17">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EDEDED"/>
        <bgColor rgb="00EDEDED"/>
      </patternFill>
    </fill>
    <fill>
      <patternFill patternType="solid">
        <fgColor rgb="00EAF3FB"/>
        <bgColor rgb="00EAF3FB"/>
      </patternFill>
    </fill>
    <fill>
      <patternFill patternType="solid">
        <fgColor rgb="00C55A11"/>
        <bgColor rgb="00C55A11"/>
      </patternFill>
    </fill>
    <fill>
      <patternFill patternType="solid">
        <fgColor rgb="00DDEBF7"/>
        <bgColor rgb="00DDEBF7"/>
      </patternFill>
    </fill>
    <fill>
      <patternFill patternType="solid">
        <fgColor rgb="00F3DECF"/>
        <bgColor rgb="00F3DECF"/>
      </patternFill>
    </fill>
    <fill>
      <patternFill patternType="solid">
        <fgColor rgb="007030A0"/>
        <bgColor rgb="007030A0"/>
      </patternFill>
    </fill>
    <fill>
      <patternFill patternType="solid">
        <fgColor rgb="00E2D5EC"/>
        <bgColor rgb="00E2D5EC"/>
      </patternFill>
    </fill>
    <fill>
      <patternFill patternType="solid">
        <fgColor rgb="00548235"/>
        <bgColor rgb="00548235"/>
      </patternFill>
    </fill>
    <fill>
      <patternFill patternType="solid">
        <fgColor rgb="00DCE6D6"/>
        <bgColor rgb="00DCE6D6"/>
      </patternFill>
    </fill>
    <fill>
      <patternFill patternType="solid">
        <fgColor rgb="00D5E3F0"/>
        <bgColor rgb="00D5E3F0"/>
      </patternFill>
    </fill>
    <fill>
      <patternFill patternType="solid">
        <fgColor rgb="00595959"/>
        <bgColor rgb="00595959"/>
      </patternFill>
    </fill>
    <fill>
      <patternFill patternType="solid">
        <fgColor rgb="00DDDDDD"/>
        <bgColor rgb="00DDDDDD"/>
      </patternFill>
    </fill>
    <fill>
      <patternFill patternType="solid">
        <fgColor rgb="00FFFFFF"/>
        <bgColor rgb="00FFFFFF"/>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10">
    <xf numFmtId="0" fontId="0" fillId="0" borderId="0" pivotButton="0" quotePrefix="0" xfId="0"/>
    <xf numFmtId="0" fontId="18" fillId="2" borderId="0" applyAlignment="1" pivotButton="0" quotePrefix="0" xfId="0">
      <alignment horizontal="left" vertical="center" wrapText="1"/>
    </xf>
    <xf numFmtId="0" fontId="5" fillId="0" borderId="0" applyAlignment="1" pivotButton="0" quotePrefix="0" xfId="0">
      <alignment horizontal="right" vertical="center"/>
    </xf>
    <xf numFmtId="164" fontId="19" fillId="7" borderId="1" applyAlignment="1" pivotButton="0" quotePrefix="0" xfId="0">
      <alignment horizontal="center" vertical="center" wrapText="1"/>
    </xf>
    <xf numFmtId="170" fontId="19" fillId="7" borderId="1" applyAlignment="1" pivotButton="0" quotePrefix="0" xfId="0">
      <alignment horizontal="center" vertical="center" wrapText="1"/>
    </xf>
    <xf numFmtId="165" fontId="19" fillId="7" borderId="1" applyAlignment="1" pivotButton="0" quotePrefix="0" xfId="0">
      <alignment horizontal="center" vertical="center" wrapText="1"/>
    </xf>
    <xf numFmtId="0" fontId="12" fillId="0" borderId="0" applyAlignment="1" pivotButton="0" quotePrefix="0" xfId="0">
      <alignment horizontal="left" vertical="center" wrapText="1"/>
    </xf>
    <xf numFmtId="0" fontId="3" fillId="3" borderId="1" applyAlignment="1" pivotButton="0" quotePrefix="0" xfId="0">
      <alignment horizontal="center" vertical="center" wrapText="1"/>
    </xf>
    <xf numFmtId="9" fontId="20" fillId="16" borderId="1" applyAlignment="1" pivotButton="0" quotePrefix="0" xfId="0">
      <alignment horizontal="center" vertical="center" wrapText="1"/>
    </xf>
    <xf numFmtId="0" fontId="20" fillId="16" borderId="1" applyAlignment="1" pivotButton="0" quotePrefix="0" xfId="0">
      <alignment horizontal="center" vertical="center" wrapText="1"/>
    </xf>
    <xf numFmtId="1" fontId="20" fillId="16" borderId="1" applyAlignment="1" pivotButton="0" quotePrefix="0" xfId="0">
      <alignment horizontal="center" vertical="center" wrapText="1"/>
    </xf>
    <xf numFmtId="0" fontId="9" fillId="7" borderId="1" applyAlignment="1" pivotButton="0" quotePrefix="0" xfId="0">
      <alignment horizontal="center" vertical="center" wrapText="1"/>
    </xf>
    <xf numFmtId="170" fontId="20" fillId="16" borderId="1" applyAlignment="1" pivotButton="0" quotePrefix="0" xfId="0">
      <alignment horizontal="center" vertical="center" wrapText="1"/>
    </xf>
    <xf numFmtId="0" fontId="5" fillId="0" borderId="0" pivotButton="0" quotePrefix="0" xfId="0"/>
    <xf numFmtId="9" fontId="5"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9" fillId="0" borderId="1" applyAlignment="1" pivotButton="0" quotePrefix="0" xfId="0">
      <alignment horizontal="center" vertical="center" wrapText="1"/>
    </xf>
    <xf numFmtId="0" fontId="21" fillId="2" borderId="0" applyAlignment="1" pivotButton="0" quotePrefix="0" xfId="0">
      <alignment horizontal="left" vertical="center" wrapText="1"/>
    </xf>
    <xf numFmtId="0" fontId="0" fillId="0" borderId="1" pivotButton="0" quotePrefix="0" xfId="0"/>
    <xf numFmtId="0" fontId="3" fillId="6" borderId="1" applyAlignment="1" pivotButton="0" quotePrefix="0" xfId="0">
      <alignment horizontal="left" vertical="center" wrapText="1"/>
    </xf>
    <xf numFmtId="9" fontId="8" fillId="0" borderId="1" applyAlignment="1" pivotButton="0" quotePrefix="0" xfId="0">
      <alignment horizontal="center" vertical="center" wrapText="1"/>
    </xf>
    <xf numFmtId="171" fontId="22"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3" borderId="1" applyAlignment="1" pivotButton="0" quotePrefix="0" xfId="0">
      <alignment horizontal="left" vertical="center" wrapText="1"/>
    </xf>
    <xf numFmtId="0" fontId="5" fillId="7" borderId="1" applyAlignment="1" pivotButton="0" quotePrefix="0" xfId="0">
      <alignment horizontal="left" vertical="center" wrapText="1"/>
    </xf>
    <xf numFmtId="9" fontId="5" fillId="7" borderId="1" applyAlignment="1" pivotButton="0" quotePrefix="0" xfId="0">
      <alignment horizontal="center" vertical="center" wrapText="1"/>
    </xf>
    <xf numFmtId="171" fontId="23"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16" fillId="3" borderId="1" applyAlignment="1" pivotButton="0" quotePrefix="0" xfId="0">
      <alignment horizontal="center" vertical="center" wrapText="1"/>
    </xf>
    <xf numFmtId="0" fontId="13" fillId="7" borderId="1" applyAlignment="1" pivotButton="0" quotePrefix="0" xfId="0">
      <alignment horizontal="center" vertical="center" wrapText="1"/>
    </xf>
    <xf numFmtId="172" fontId="8" fillId="0" borderId="1" applyAlignment="1" pivotButton="0" quotePrefix="0" xfId="0">
      <alignment horizontal="center" vertical="center" wrapText="1"/>
    </xf>
    <xf numFmtId="172" fontId="5" fillId="7" borderId="1" applyAlignment="1" pivotButton="0" quotePrefix="0" xfId="0">
      <alignment horizontal="center" vertical="center" wrapText="1"/>
    </xf>
    <xf numFmtId="0" fontId="24" fillId="16" borderId="1" applyAlignment="1" pivotButton="0" quotePrefix="0" xfId="0">
      <alignment horizontal="left" vertical="center" wrapText="1"/>
    </xf>
    <xf numFmtId="9" fontId="24" fillId="16" borderId="1" applyAlignment="1" pivotButton="0" quotePrefix="0" xfId="0">
      <alignment horizontal="center" vertical="center" wrapText="1"/>
    </xf>
    <xf numFmtId="172" fontId="5" fillId="16" borderId="1" applyAlignment="1" pivotButton="0" quotePrefix="0" xfId="0">
      <alignment horizontal="center" vertical="center" wrapText="1"/>
    </xf>
    <xf numFmtId="0" fontId="5" fillId="16" borderId="1" applyAlignment="1" pivotButton="0" quotePrefix="0" xfId="0">
      <alignment horizontal="center" vertical="center" wrapText="1"/>
    </xf>
    <xf numFmtId="0" fontId="25" fillId="16" borderId="1" applyAlignment="1" pivotButton="0" quotePrefix="0" xfId="0">
      <alignment horizontal="left" vertical="center" wrapText="1"/>
    </xf>
    <xf numFmtId="9" fontId="25" fillId="16" borderId="1" applyAlignment="1" pivotButton="0" quotePrefix="0" xfId="0">
      <alignment horizontal="center" vertical="center" wrapText="1"/>
    </xf>
    <xf numFmtId="0" fontId="26" fillId="0" borderId="0" applyAlignment="1" pivotButton="0" quotePrefix="0" xfId="0">
      <alignment horizontal="left" vertical="center" wrapText="1"/>
    </xf>
    <xf numFmtId="0" fontId="8" fillId="0" borderId="1" applyAlignment="1" pivotButton="0" quotePrefix="0" xfId="0">
      <alignment horizontal="left" vertical="center" wrapText="1"/>
    </xf>
    <xf numFmtId="1"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3" fillId="14" borderId="1" applyAlignment="1" pivotButton="0" quotePrefix="0" xfId="0">
      <alignment horizontal="left" vertical="center" wrapText="1"/>
    </xf>
    <xf numFmtId="0" fontId="1" fillId="14" borderId="0" applyAlignment="1" pivotButton="0" quotePrefix="0" xfId="0">
      <alignment horizontal="left" vertical="center" wrapText="1"/>
    </xf>
    <xf numFmtId="0" fontId="9" fillId="7" borderId="0" applyAlignment="1" pivotButton="0" quotePrefix="0" xfId="0">
      <alignment horizontal="left" vertical="center" wrapText="1"/>
    </xf>
    <xf numFmtId="0" fontId="10" fillId="4" borderId="1" pivotButton="0" quotePrefix="0" xfId="0"/>
    <xf numFmtId="0" fontId="10" fillId="5" borderId="1" pivotButton="0" quotePrefix="0" xfId="0"/>
    <xf numFmtId="0" fontId="11" fillId="15" borderId="1" pivotButton="0" quotePrefix="0" xfId="0"/>
    <xf numFmtId="0" fontId="12" fillId="0" borderId="0" applyAlignment="1" pivotButton="0" quotePrefix="0" xfId="0">
      <alignment horizontal="right" vertical="center" wrapText="1"/>
    </xf>
    <xf numFmtId="0" fontId="13" fillId="7"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1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4"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left" vertical="center" wrapText="1"/>
      <protection locked="0" hidden="0"/>
    </xf>
    <xf numFmtId="165" fontId="8" fillId="4" borderId="1" applyAlignment="1" applyProtection="1" pivotButton="0" quotePrefix="0" xfId="0">
      <alignment horizontal="center" vertical="center" wrapText="1"/>
      <protection locked="0" hidden="0"/>
    </xf>
    <xf numFmtId="9" fontId="8" fillId="4" borderId="1" applyAlignment="1" applyProtection="1" pivotButton="0" quotePrefix="0" xfId="0">
      <alignment horizontal="center" vertical="center" wrapText="1"/>
      <protection locked="0" hidden="0"/>
    </xf>
    <xf numFmtId="9"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6" fillId="5" borderId="1" applyAlignment="1" pivotButton="0" quotePrefix="0" xfId="0">
      <alignment horizontal="left" vertical="center" wrapText="1"/>
    </xf>
    <xf numFmtId="164" fontId="8" fillId="5" borderId="1" applyAlignment="1" pivotButton="0" quotePrefix="0" xfId="0">
      <alignment horizontal="center" vertical="center" wrapText="1"/>
    </xf>
    <xf numFmtId="0" fontId="1" fillId="2" borderId="0" applyAlignment="1" pivotButton="0" quotePrefix="0" xfId="0">
      <alignment horizontal="left" vertical="center" wrapText="1"/>
    </xf>
    <xf numFmtId="0" fontId="16"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1" borderId="1" applyAlignment="1" pivotButton="0" quotePrefix="0" xfId="0">
      <alignment horizontal="center" vertical="center" wrapText="1"/>
    </xf>
    <xf numFmtId="164"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1" fillId="6" borderId="0" applyAlignment="1" pivotButton="0" quotePrefix="0" xfId="0">
      <alignment horizontal="left" vertical="center" wrapText="1"/>
    </xf>
    <xf numFmtId="0" fontId="11" fillId="8" borderId="1" pivotButton="0" quotePrefix="0" xfId="0"/>
    <xf numFmtId="0" fontId="13" fillId="7" borderId="0" applyAlignment="1" pivotButton="0" quotePrefix="0" xfId="0">
      <alignment horizontal="left" vertical="center" wrapText="1"/>
    </xf>
    <xf numFmtId="0" fontId="13" fillId="0" borderId="0" pivotButton="0" quotePrefix="0" xfId="0"/>
    <xf numFmtId="164" fontId="5" fillId="7" borderId="0" applyAlignment="1" pivotButton="0" quotePrefix="0" xfId="0">
      <alignment horizontal="left" vertical="center" wrapText="1"/>
    </xf>
    <xf numFmtId="0" fontId="15" fillId="0" borderId="0" applyAlignment="1" pivotButton="0" quotePrefix="0" xfId="0">
      <alignment horizontal="right" vertical="center"/>
    </xf>
    <xf numFmtId="168" fontId="15" fillId="7" borderId="1" applyAlignment="1" pivotButton="0" quotePrefix="0" xfId="0">
      <alignment horizontal="center" vertical="center" wrapText="1"/>
    </xf>
    <xf numFmtId="165" fontId="8" fillId="5" borderId="1" applyAlignment="1" pivotButton="0" quotePrefix="0" xfId="0">
      <alignment horizontal="center" vertical="center" wrapText="1"/>
    </xf>
    <xf numFmtId="0" fontId="1" fillId="9" borderId="0" applyAlignment="1" pivotButton="0" quotePrefix="0" xfId="0">
      <alignment horizontal="left" vertical="center" wrapText="1"/>
    </xf>
    <xf numFmtId="0" fontId="11" fillId="10" borderId="1" pivotButton="0" quotePrefix="0" xfId="0"/>
    <xf numFmtId="0" fontId="1" fillId="11" borderId="0" applyAlignment="1" pivotButton="0" quotePrefix="0" xfId="0">
      <alignment horizontal="left" vertical="center" wrapText="1"/>
    </xf>
    <xf numFmtId="0" fontId="11" fillId="12" borderId="1" pivotButton="0" quotePrefix="0" xfId="0"/>
    <xf numFmtId="0" fontId="1" fillId="3" borderId="0" applyAlignment="1" pivotButton="0" quotePrefix="0" xfId="0">
      <alignment horizontal="left" vertical="center" wrapText="1"/>
    </xf>
    <xf numFmtId="0" fontId="11" fillId="13" borderId="1" pivotButton="0" quotePrefix="0" xfId="0"/>
    <xf numFmtId="0" fontId="27" fillId="3" borderId="0" applyAlignment="1" pivotButton="0" quotePrefix="0" xfId="0">
      <alignment horizontal="left" vertical="center" wrapText="1"/>
    </xf>
    <xf numFmtId="0" fontId="8" fillId="0" borderId="0" applyAlignment="1" pivotButton="0" quotePrefix="0" xfId="0">
      <alignment horizontal="left" vertical="top" wrapText="1"/>
    </xf>
    <xf numFmtId="0" fontId="2" fillId="0" borderId="0" pivotButton="0" quotePrefix="0" xfId="0"/>
    <xf numFmtId="0" fontId="4" fillId="0" borderId="1" applyAlignment="1" pivotButton="0" quotePrefix="0" xfId="0">
      <alignment horizontal="left" vertical="center" wrapText="1"/>
    </xf>
    <xf numFmtId="164" fontId="5" fillId="4" borderId="1" applyAlignment="1" applyProtection="1" pivotButton="0" quotePrefix="0" xfId="0">
      <alignment horizontal="center" vertical="center" wrapText="1"/>
      <protection locked="0" hidden="0"/>
    </xf>
    <xf numFmtId="165" fontId="5" fillId="4" borderId="1" applyAlignment="1" applyProtection="1" pivotButton="0" quotePrefix="0" xfId="0">
      <alignment horizontal="center" vertical="center" wrapText="1"/>
      <protection locked="0" hidden="0"/>
    </xf>
    <xf numFmtId="166" fontId="5" fillId="5" borderId="1" applyAlignment="1" pivotButton="0" quotePrefix="0" xfId="0">
      <alignment horizontal="center" vertical="center" wrapText="1"/>
    </xf>
    <xf numFmtId="1" fontId="5" fillId="4" borderId="1" applyAlignment="1" applyProtection="1" pivotButton="0" quotePrefix="0" xfId="0">
      <alignment horizontal="center" vertical="center" wrapText="1"/>
      <protection locked="0" hidden="0"/>
    </xf>
    <xf numFmtId="49" fontId="5" fillId="4" borderId="1" applyAlignment="1" applyProtection="1" pivotButton="0" quotePrefix="0" xfId="0">
      <alignment horizontal="center" vertical="center" wrapText="1"/>
      <protection locked="0" hidden="0"/>
    </xf>
    <xf numFmtId="9" fontId="5" fillId="5" borderId="1" applyAlignment="1" pivotButton="0" quotePrefix="0" xfId="0">
      <alignment horizontal="center" vertical="center" wrapText="1"/>
    </xf>
    <xf numFmtId="0" fontId="3" fillId="3" borderId="0" applyAlignment="1" pivotButton="0" quotePrefix="0" xfId="0">
      <alignment horizontal="left" vertical="center" wrapText="1"/>
    </xf>
    <xf numFmtId="0" fontId="4" fillId="0" borderId="1" pivotButton="0" quotePrefix="0" xfId="0"/>
    <xf numFmtId="9" fontId="5" fillId="4" borderId="1" applyAlignment="1" applyProtection="1" pivotButton="0" quotePrefix="0" xfId="0">
      <alignment horizontal="center" vertical="center" wrapText="1"/>
      <protection locked="0" hidden="0"/>
    </xf>
    <xf numFmtId="0" fontId="6" fillId="0" borderId="1" pivotButton="0" quotePrefix="0" xfId="0"/>
    <xf numFmtId="0" fontId="3" fillId="2" borderId="0" applyAlignment="1" pivotButton="0" quotePrefix="0" xfId="0">
      <alignment horizontal="left" vertical="center" wrapText="1"/>
    </xf>
    <xf numFmtId="0" fontId="7" fillId="0" borderId="0" pivotButton="0" quotePrefix="0" xfId="0"/>
    <xf numFmtId="0" fontId="8" fillId="0" borderId="1" pivotButton="0" quotePrefix="0" xfId="0"/>
    <xf numFmtId="0" fontId="6" fillId="0" borderId="0" applyAlignment="1" pivotButton="0" quotePrefix="0" xfId="0">
      <alignment horizontal="left" vertical="top" wrapText="1"/>
    </xf>
    <xf numFmtId="0" fontId="14" fillId="0" borderId="0" pivotButton="0" quotePrefix="0" xfId="0"/>
    <xf numFmtId="0" fontId="16" fillId="2" borderId="0" applyAlignment="1" pivotButton="0" quotePrefix="0" xfId="0">
      <alignment horizontal="center" vertical="center" wrapText="1"/>
    </xf>
    <xf numFmtId="169" fontId="0" fillId="0" borderId="0" pivotButton="0" quotePrefix="0" xfId="0"/>
    <xf numFmtId="1" fontId="0" fillId="0" borderId="0" pivotButton="0" quotePrefix="0" xfId="0"/>
    <xf numFmtId="0" fontId="17" fillId="0" borderId="0" pivotButton="0" quotePrefix="0" xfId="0"/>
    <xf numFmtId="164" fontId="0" fillId="0" borderId="0" pivotButton="0" quotePrefix="0" xfId="0"/>
  </cellXfs>
  <cellStyles count="1">
    <cellStyle name="Normal" xfId="0" builtinId="0" hidden="0"/>
  </cellStyles>
  <dxfs count="27">
    <dxf>
      <font>
        <b val="1"/>
        <color rgb="00006100"/>
      </font>
      <fill>
        <patternFill patternType="solid">
          <fgColor rgb="00C6EFCE"/>
          <bgColor rgb="00C6EFCE"/>
        </patternFill>
      </fill>
    </dxf>
    <dxf>
      <font>
        <b val="1"/>
        <color rgb="007F6000"/>
      </font>
      <fill>
        <patternFill patternType="solid">
          <fgColor rgb="00FFE699"/>
          <bgColor rgb="00FFE699"/>
        </patternFill>
      </fill>
    </dxf>
    <dxf>
      <font>
        <b val="1"/>
        <color rgb="009C0006"/>
      </font>
      <fill>
        <patternFill patternType="solid">
          <fgColor rgb="00FFC7CE"/>
          <bgColor rgb="00FFC7CE"/>
        </patternFill>
      </fill>
    </dxf>
    <dxf>
      <font>
        <b val="1"/>
        <color rgb="00FFFFFF"/>
      </font>
      <fill>
        <patternFill patternType="solid">
          <fgColor rgb="001E7B34"/>
          <bgColor rgb="001E7B34"/>
        </patternFill>
      </fill>
    </dxf>
    <dxf>
      <font>
        <b val="1"/>
        <color rgb="001F3864"/>
      </font>
      <fill>
        <patternFill patternType="solid">
          <fgColor rgb="00BDD7EE"/>
          <bgColor rgb="00BDD7EE"/>
        </patternFill>
      </fill>
    </dxf>
    <dxf>
      <font>
        <color rgb="009C0006"/>
      </font>
      <fill>
        <patternFill patternType="solid">
          <fgColor rgb="00FFC7CE"/>
          <bgColor rgb="00FFC7CE"/>
        </patternFill>
      </fill>
    </dxf>
    <dxf>
      <font>
        <b val="1"/>
        <color rgb="00833C0B"/>
      </font>
      <fill>
        <patternFill patternType="solid">
          <fgColor rgb="00F8CBAD"/>
          <bgColor rgb="00F8CBAD"/>
        </patternFill>
      </fill>
    </dxf>
    <dxf>
      <font>
        <color rgb="007F6000"/>
      </font>
      <fill>
        <patternFill patternType="solid">
          <fgColor rgb="00FFE699"/>
          <bgColor rgb="00FFE699"/>
        </patternFill>
      </fill>
    </dxf>
    <dxf>
      <font>
        <b val="1"/>
        <color rgb="00FFFFFF"/>
      </font>
      <fill>
        <patternFill patternType="solid">
          <fgColor rgb="00C00000"/>
          <bgColor rgb="00C00000"/>
        </patternFill>
      </fill>
    </dxf>
    <dxf>
      <font>
        <b val="1"/>
        <color rgb="003F2F00"/>
      </font>
      <fill>
        <patternFill patternType="solid">
          <fgColor rgb="00FFC000"/>
          <bgColor rgb="00FFC000"/>
        </patternFill>
      </fill>
    </dxf>
    <dxf>
      <font>
        <b val="1"/>
        <color rgb="007F6000"/>
      </font>
      <fill>
        <patternFill patternType="solid">
          <fgColor rgb="00FFF2CC"/>
          <bgColor rgb="00FFF2CC"/>
        </patternFill>
      </fill>
    </dxf>
    <dxf>
      <font>
        <color rgb="00404040"/>
      </font>
      <numFmt numFmtId="200" formatCode="&quot;      ↳  &quot;@"/>
    </dxf>
    <dxf>
      <font>
        <b val="1"/>
      </font>
      <fill>
        <patternFill patternType="solid">
          <fgColor rgb="00DDDDDD"/>
          <bgColor rgb="00DDDDDD"/>
        </patternFill>
      </fill>
      <border>
        <top style="medium">
          <color rgb="00595959"/>
        </top>
      </border>
    </dxf>
    <dxf>
      <font>
        <color rgb="00375623"/>
      </font>
      <fill>
        <patternFill patternType="solid">
          <fgColor rgb="00E2EFDA"/>
          <bgColor rgb="00E2EFDA"/>
        </patternFill>
      </fill>
    </dxf>
    <dxf>
      <font>
        <b val="1"/>
        <color rgb="00FFFFFF"/>
      </font>
      <fill>
        <patternFill patternType="solid">
          <fgColor rgb="0070AD47"/>
          <bgColor rgb="0070AD47"/>
        </patternFill>
      </fill>
    </dxf>
    <dxf>
      <fill>
        <patternFill patternType="solid">
          <fgColor rgb="00EAF3FB"/>
          <bgColor rgb="00EAF3FB"/>
        </patternFill>
      </fill>
    </dxf>
    <dxf>
      <font>
        <b val="1"/>
        <color rgb="00006100"/>
      </font>
    </dxf>
    <dxf>
      <font>
        <color rgb="001F3864"/>
      </font>
      <fill>
        <patternFill patternType="solid">
          <fgColor rgb="00BDD7EE"/>
          <bgColor rgb="00BDD7EE"/>
        </patternFill>
      </fill>
    </dxf>
    <dxf>
      <font>
        <i val="1"/>
        <color rgb="007F7F7F"/>
      </font>
    </dxf>
    <dxf>
      <font>
        <b val="1"/>
      </font>
      <fill>
        <patternFill patternType="solid">
          <fgColor rgb="00F3DECF"/>
          <bgColor rgb="00F3DECF"/>
        </patternFill>
      </fill>
      <border>
        <top style="medium">
          <color rgb="00C55A11"/>
        </top>
      </border>
    </dxf>
    <dxf>
      <font>
        <b val="1"/>
        <color rgb="00FFFFFF"/>
      </font>
      <fill>
        <patternFill patternType="solid">
          <fgColor rgb="00C55A11"/>
          <bgColor rgb="00C55A11"/>
        </patternFill>
      </fill>
    </dxf>
    <dxf>
      <font>
        <b val="1"/>
      </font>
      <fill>
        <patternFill patternType="solid">
          <fgColor rgb="00E2D5EC"/>
          <bgColor rgb="00E2D5EC"/>
        </patternFill>
      </fill>
      <border>
        <top style="medium">
          <color rgb="007030A0"/>
        </top>
      </border>
    </dxf>
    <dxf>
      <font>
        <b val="1"/>
        <color rgb="00FFFFFF"/>
      </font>
      <fill>
        <patternFill patternType="solid">
          <fgColor rgb="007030A0"/>
          <bgColor rgb="007030A0"/>
        </patternFill>
      </fill>
    </dxf>
    <dxf>
      <font>
        <b val="1"/>
      </font>
      <fill>
        <patternFill patternType="solid">
          <fgColor rgb="00DCE6D6"/>
          <bgColor rgb="00DCE6D6"/>
        </patternFill>
      </fill>
      <border>
        <top style="medium">
          <color rgb="00548235"/>
        </top>
      </border>
    </dxf>
    <dxf>
      <font>
        <b val="1"/>
        <color rgb="00FFFFFF"/>
      </font>
      <fill>
        <patternFill patternType="solid">
          <fgColor rgb="00548235"/>
          <bgColor rgb="00548235"/>
        </patternFill>
      </fill>
    </dxf>
    <dxf>
      <font>
        <b val="1"/>
      </font>
      <fill>
        <patternFill patternType="solid">
          <fgColor rgb="00D5E3F0"/>
          <bgColor rgb="00D5E3F0"/>
        </patternFill>
      </fill>
      <border>
        <top style="medium">
          <color rgb="002E75B6"/>
        </top>
      </border>
    </dxf>
    <dxf>
      <font>
        <b val="1"/>
        <color rgb="00FFFFFF"/>
      </font>
      <fill>
        <patternFill patternType="solid">
          <fgColor rgb="002E75B6"/>
          <bgColor rgb="002E75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Avance ponderado de cada puesto en el mes</a:t>
            </a:r>
          </a:p>
        </rich>
      </tx>
    </title>
    <plotArea>
      <barChart>
        <barDir val="bar"/>
        <grouping val="clustered"/>
        <ser>
          <idx val="0"/>
          <order val="0"/>
          <spPr>
            <a:ln xmlns:a="http://schemas.openxmlformats.org/drawingml/2006/main">
              <a:prstDash val="solid"/>
            </a:ln>
          </spPr>
          <dPt>
            <idx val="0"/>
            <spPr>
              <a:solidFill xmlns:a="http://schemas.openxmlformats.org/drawingml/2006/main">
                <a:srgbClr val="C55A11"/>
              </a:solidFill>
              <a:ln xmlns:a="http://schemas.openxmlformats.org/drawingml/2006/main">
                <a:solidFill>
                  <a:srgbClr val="C55A11"/>
                </a:solidFill>
                <a:prstDash val="solid"/>
              </a:ln>
            </spPr>
          </dPt>
          <dPt>
            <idx val="1"/>
            <spPr>
              <a:solidFill xmlns:a="http://schemas.openxmlformats.org/drawingml/2006/main">
                <a:srgbClr val="7030A0"/>
              </a:solidFill>
              <a:ln xmlns:a="http://schemas.openxmlformats.org/drawingml/2006/main">
                <a:solidFill>
                  <a:srgbClr val="7030A0"/>
                </a:solidFill>
                <a:prstDash val="solid"/>
              </a:ln>
            </spPr>
          </dPt>
          <dPt>
            <idx val="2"/>
            <spPr>
              <a:solidFill xmlns:a="http://schemas.openxmlformats.org/drawingml/2006/main">
                <a:srgbClr val="548235"/>
              </a:solidFill>
              <a:ln xmlns:a="http://schemas.openxmlformats.org/drawingml/2006/main">
                <a:solidFill>
                  <a:srgbClr val="548235"/>
                </a:solidFill>
                <a:prstDash val="solid"/>
              </a:ln>
            </spPr>
          </dPt>
          <dPt>
            <idx val="3"/>
            <spPr>
              <a:solidFill xmlns:a="http://schemas.openxmlformats.org/drawingml/2006/main">
                <a:srgbClr val="2E75B6"/>
              </a:solidFill>
              <a:ln xmlns:a="http://schemas.openxmlformats.org/drawingml/2006/main">
                <a:solidFill>
                  <a:srgbClr val="2E75B6"/>
                </a:solidFill>
                <a:prstDash val="solid"/>
              </a:ln>
            </spPr>
          </dPt>
          <cat>
            <numRef>
              <f>'Dashboard - Consolidado'!$P$16:$P$19</f>
            </numRef>
          </cat>
          <val>
            <numRef>
              <f>'Dashboard - Consolidado'!$D$16:$D$19</f>
            </numRef>
          </val>
        </ser>
        <dLbls>
          <numFmt formatCode="0%"/>
          <dLblPos val="outEnd"/>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 sourceLinked="0"/>
        <majorTickMark val="none"/>
        <minorTickMark val="none"/>
        <crossAx val="10"/>
        <majorUnit val="0.25"/>
      </valAx>
    </plotArea>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Avance acumulado por semana de cada puesto vs plan de referencia</a:t>
            </a:r>
          </a:p>
        </rich>
      </tx>
    </title>
    <plotArea>
      <barChart>
        <barDir val="col"/>
        <grouping val="clustered"/>
        <ser>
          <idx val="0"/>
          <order val="0"/>
          <tx>
            <v>R. Operacional</v>
          </tx>
          <spPr>
            <a:solidFill xmlns:a="http://schemas.openxmlformats.org/drawingml/2006/main">
              <a:srgbClr val="C55A11"/>
            </a:solidFill>
            <a:ln xmlns:a="http://schemas.openxmlformats.org/drawingml/2006/main">
              <a:solidFill>
                <a:srgbClr val="C55A11"/>
              </a:solidFill>
              <a:prstDash val="solid"/>
            </a:ln>
          </spPr>
          <cat>
            <numRef>
              <f>'Dashboard - Consolidado'!$C$24:$F$24</f>
            </numRef>
          </cat>
          <val>
            <numRef>
              <f>'Dashboard - Consolidado'!$C$25:$F$25</f>
            </numRef>
          </val>
        </ser>
        <ser>
          <idx val="1"/>
          <order val="1"/>
          <tx>
            <v>R. Normativo</v>
          </tx>
          <spPr>
            <a:solidFill xmlns:a="http://schemas.openxmlformats.org/drawingml/2006/main">
              <a:srgbClr val="7030A0"/>
            </a:solidFill>
            <a:ln xmlns:a="http://schemas.openxmlformats.org/drawingml/2006/main">
              <a:solidFill>
                <a:srgbClr val="7030A0"/>
              </a:solidFill>
              <a:prstDash val="solid"/>
            </a:ln>
          </spPr>
          <cat>
            <numRef>
              <f>'Dashboard - Consolidado'!$C$24:$F$24</f>
            </numRef>
          </cat>
          <val>
            <numRef>
              <f>'Dashboard - Consolidado'!$C$26:$F$26</f>
            </numRef>
          </val>
        </ser>
        <ser>
          <idx val="2"/>
          <order val="2"/>
          <tx>
            <v>R. Financiero</v>
          </tx>
          <spPr>
            <a:solidFill xmlns:a="http://schemas.openxmlformats.org/drawingml/2006/main">
              <a:srgbClr val="548235"/>
            </a:solidFill>
            <a:ln xmlns:a="http://schemas.openxmlformats.org/drawingml/2006/main">
              <a:solidFill>
                <a:srgbClr val="548235"/>
              </a:solidFill>
              <a:prstDash val="solid"/>
            </a:ln>
          </spPr>
          <cat>
            <numRef>
              <f>'Dashboard - Consolidado'!$C$24:$F$24</f>
            </numRef>
          </cat>
          <val>
            <numRef>
              <f>'Dashboard - Consolidado'!$C$27:$F$27</f>
            </numRef>
          </val>
        </ser>
        <ser>
          <idx val="3"/>
          <order val="3"/>
          <tx>
            <v>Asistente Técnico</v>
          </tx>
          <spPr>
            <a:solidFill xmlns:a="http://schemas.openxmlformats.org/drawingml/2006/main">
              <a:srgbClr val="2E75B6"/>
            </a:solidFill>
            <a:ln xmlns:a="http://schemas.openxmlformats.org/drawingml/2006/main">
              <a:solidFill>
                <a:srgbClr val="2E75B6"/>
              </a:solidFill>
              <a:prstDash val="solid"/>
            </a:ln>
          </spPr>
          <cat>
            <numRef>
              <f>'Dashboard - Consolidado'!$C$24:$F$24</f>
            </numRef>
          </cat>
          <val>
            <numRef>
              <f>'Dashboard - Consolidado'!$C$28:$F$28</f>
            </numRef>
          </val>
        </ser>
        <gapWidth val="80"/>
        <overlap val="-10"/>
        <axId val="10"/>
        <axId val="100"/>
      </barChart>
      <lineChart>
        <grouping val="standard"/>
        <ser>
          <idx val="4"/>
          <order val="4"/>
          <tx>
            <v>Plan de referencia</v>
          </tx>
          <spPr>
            <a:ln xmlns:a="http://schemas.openxmlformats.org/drawingml/2006/main" w="22000">
              <a:solidFill>
                <a:srgbClr val="7F7F7F"/>
              </a:solidFill>
              <a:prstDash val="dash"/>
            </a:ln>
          </spPr>
          <marker>
            <symbol val="circle"/>
            <size val="6"/>
            <spPr>
              <a:ln xmlns:a="http://schemas.openxmlformats.org/drawingml/2006/main">
                <a:prstDash val="solid"/>
              </a:ln>
            </spPr>
          </marker>
          <val>
            <numRef>
              <f>'Dashboard - Consolidado'!$C$30:$F$30</f>
            </numRef>
          </val>
        </ser>
        <axId val="10"/>
        <axId val="100"/>
      </line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Avance por puesto – últimos 6 meses</a:t>
            </a:r>
          </a:p>
        </rich>
      </tx>
    </title>
    <plotArea>
      <barChart>
        <barDir val="col"/>
        <grouping val="clustered"/>
        <ser>
          <idx val="0"/>
          <order val="0"/>
          <tx>
            <strRef>
              <f>'Historial mensual'!N5</f>
            </strRef>
          </tx>
          <spPr>
            <a:solidFill xmlns:a="http://schemas.openxmlformats.org/drawingml/2006/main">
              <a:srgbClr val="C55A11"/>
            </a:solidFill>
            <a:ln xmlns:a="http://schemas.openxmlformats.org/drawingml/2006/main">
              <a:solidFill>
                <a:srgbClr val="C55A11"/>
              </a:solidFill>
              <a:prstDash val="solid"/>
            </a:ln>
          </spPr>
          <cat>
            <numRef>
              <f>'Historial mensual'!$M$6:$M$11</f>
            </numRef>
          </cat>
          <val>
            <numRef>
              <f>'Historial mensual'!$N$6:$N$11</f>
            </numRef>
          </val>
        </ser>
        <ser>
          <idx val="1"/>
          <order val="1"/>
          <tx>
            <strRef>
              <f>'Historial mensual'!O5</f>
            </strRef>
          </tx>
          <spPr>
            <a:solidFill xmlns:a="http://schemas.openxmlformats.org/drawingml/2006/main">
              <a:srgbClr val="7030A0"/>
            </a:solidFill>
            <a:ln xmlns:a="http://schemas.openxmlformats.org/drawingml/2006/main">
              <a:solidFill>
                <a:srgbClr val="7030A0"/>
              </a:solidFill>
              <a:prstDash val="solid"/>
            </a:ln>
          </spPr>
          <cat>
            <numRef>
              <f>'Historial mensual'!$M$6:$M$11</f>
            </numRef>
          </cat>
          <val>
            <numRef>
              <f>'Historial mensual'!$O$6:$O$11</f>
            </numRef>
          </val>
        </ser>
        <ser>
          <idx val="2"/>
          <order val="2"/>
          <tx>
            <strRef>
              <f>'Historial mensual'!P5</f>
            </strRef>
          </tx>
          <spPr>
            <a:solidFill xmlns:a="http://schemas.openxmlformats.org/drawingml/2006/main">
              <a:srgbClr val="548235"/>
            </a:solidFill>
            <a:ln xmlns:a="http://schemas.openxmlformats.org/drawingml/2006/main">
              <a:solidFill>
                <a:srgbClr val="548235"/>
              </a:solidFill>
              <a:prstDash val="solid"/>
            </a:ln>
          </spPr>
          <cat>
            <numRef>
              <f>'Historial mensual'!$M$6:$M$11</f>
            </numRef>
          </cat>
          <val>
            <numRef>
              <f>'Historial mensual'!$P$6:$P$11</f>
            </numRef>
          </val>
        </ser>
        <ser>
          <idx val="3"/>
          <order val="3"/>
          <tx>
            <strRef>
              <f>'Historial mensual'!Q5</f>
            </strRef>
          </tx>
          <spPr>
            <a:solidFill xmlns:a="http://schemas.openxmlformats.org/drawingml/2006/main">
              <a:srgbClr val="2E75B6"/>
            </a:solidFill>
            <a:ln xmlns:a="http://schemas.openxmlformats.org/drawingml/2006/main">
              <a:solidFill>
                <a:srgbClr val="2E75B6"/>
              </a:solidFill>
              <a:prstDash val="solid"/>
            </a:ln>
          </spPr>
          <cat>
            <numRef>
              <f>'Historial mensual'!$M$6:$M$11</f>
            </numRef>
          </cat>
          <val>
            <numRef>
              <f>'Historial mensual'!$Q$6:$Q$11</f>
            </numRef>
          </val>
        </ser>
        <gapWidth val="120"/>
        <overlap val="-1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col>
      <colOff>0</colOff>
      <row>34</row>
      <rowOff>0</rowOff>
    </from>
    <ext cx="111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50</row>
      <rowOff>0</rowOff>
    </from>
    <ext cx="111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30</row>
      <rowOff>0</rowOff>
    </from>
    <ext cx="93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Act_ADM" displayName="tblAct_ADM" ref="A4:AS304" headerRowCount="1">
  <autoFilter ref="A4:AS304"/>
  <tableColumns count="45">
    <tableColumn id="1" name="N°">
      <calculatedColumnFormula>IF(NOT((COUNTA(tblAct_ADM[[#This Row],[Tipo]:[Delegar a]])+COUNTA(tblAct_ADM[[#This Row],[Fecha de cumplimiento]:[Peso / % de la subactividad]])+COUNTA(tblAct_ADM[[#This Row],[Observaciones]]))&gt;0),"",IF(tblAct_ADM[[#This Row],[Tipo (aux)]]="Macro",COUNTIFS(INDEX(tblAct_ADM[Tipo (aux)],1):tblAct_ADM[[#This Row],[Tipo (aux)]],"Macro",INDEX(tblAct_ADM[Mes],1):tblAct_ADM[[#This Row],[Mes]],tblAct_ADM[[#This Row],[Mes]]),IF(N(tblAct_ADM[[#This Row],[Grupo (aux)]])=0,"?",COUNTIFS(INDEX($V$5:$V$1000,1):INDEX($V$5:$V$1000,tblAct_ADM[[#This Row],[Grupo (aux)]]-4),"Macro",INDEX($S$5:$S$1000,1):INDEX($S$5:$S$1000,tblAct_ADM[[#This Row],[Grupo (aux)]]-4),INDEX($S$5:$S$1000,tblAct_ADM[[#This Row],[Grupo (aux)]]-4))&amp;"."&amp;COUNTIFS(INDEX(tblAct_ADM[Grupo (aux)],1):tblAct_ADM[[#This Row],[Grupo (aux)]],tblAct_ADM[[#This Row],[Grupo (aux)]],INDEX(tblAct_ADM[Tipo (aux)],1):tblAct_ADM[[#This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IF(NOT((COUNTA(tblAct_ADM[[#This Row],[Tipo]:[Delegar a]])+COUNTA(tblAct_ADM[[#This Row],[Fecha de cumplimiento]:[Peso / % de la subactividad]])+COUNTA(tblAct_ADM[[#This Row],[Observaciones]]))&gt;0),"",IF(AND(tblAct_ADM[[#This Row],[Delegar a]]&lt;&gt;"",tblAct_ADM[[#This Row],[Tipo (aux)]]="Macro"),IF(N(tblAct_ADM[[#This Row],[Fila en el puesto (aux)]])&gt;0,N(CHOOSE(MATCH(tblAct_ADM[[#This Row],[Delegar a]],ListaPuestos,0),INDEX('Cronograma R. Operacional'!$M$5:$M$1000,tblAct_ADM[[#This Row],[Fila en el puesto (aux)]]),INDEX('Cronograma R. Normativo'!$M$5:$M$1000,tblAct_ADM[[#This Row],[Fila en el puesto (aux)]]),INDEX('Cronograma R. Financiero'!$M$5:$M$1000,tblAct_ADM[[#This Row],[Fila en el puesto (aux)]]),INDEX('Cronograma Asistente Técnico'!$M$5:$M$1000,tblAct_ADM[[#This Row],[Fila en el puesto (aux)]]))),0),IF(ISNUMBER(tblAct_ADM[[#This Row],[Fecha de cumplimiento]]),1,IF(N(tblAct_ADM[[#This Row],[N subactividades (aux)]])&gt;0,MIN(1,SUMIFS($Y$5:$Y$1000,$U$5:$U$1000,ROW(),$V$5:$V$1000,"Sub")),tblAct_ADM[[#This Row],[Avance propio (aux)]]))))</calculatedColumnFormula>
    </tableColumn>
    <tableColumn id="14" name="Estado">
      <calculatedColumnFormula>IF(OR(tblAct_ADM[[#This Row],[% de Avance Total Actual]]="",tblAct_ADM[[#This Row],[Tipo (aux)]]="Sub"),"",IF(tblAct_ADM[[#This Row],[% de Avance Total Actual]]&gt;=1,"Completado",IF(tblAct_ADM[[#This Row],[% de Avance Total Actual]]&gt;0,"En curso","Pendiente")))</calculatedColumnFormula>
    </tableColumn>
    <tableColumn id="15" name="Alerta de plazo">
      <calculatedColumnFormula>IF(NOT((COUNTA(tblAct_ADM[[#This Row],[Tipo]:[Delegar a]])+COUNTA(tblAct_ADM[[#This Row],[Fecha de cumplimiento]:[Peso / % de la subactividad]])+COUNTA(tblAct_ADM[[#This Row],[Observaciones]]))&gt;0),"",IF(AND(AND(tblAct_ADM[[#This Row],[Delegar a]]&lt;&gt;"",tblAct_ADM[[#This Row],[Tipo (aux)]]="Macro"),N(tblAct_ADM[[#This Row],[Fila en el puesto (aux)]])&gt;0),CHOOSE(MATCH(tblAct_ADM[[#This Row],[Delegar a]],ListaPuestos,0),INDEX('Cronograma R. Operacional'!$O$5:$O$1000,tblAct_ADM[[#This Row],[Fila en el puesto (aux)]]),INDEX('Cronograma R. Normativo'!$O$5:$O$1000,tblAct_ADM[[#This Row],[Fila en el puesto (aux)]]),INDEX('Cronograma R. Financiero'!$O$5:$O$1000,tblAct_ADM[[#This Row],[Fila en el puesto (aux)]]),INDEX('Cronograma Asistente Técnico'!$O$5:$O$1000,tblAct_ADM[[#This Row],[Fila en el puesto (aux)]]))&amp;"",IF(ISNUMBER(tblAct_ADM[[#This Row],[Fecha de cumplimiento]]),IF(AND(ISNUMBER(tblAct_ADM[[#This Row],[Límite efectivo (aux)]]),tblAct_ADM[[#This Row],[Fecha de cumplimiento]]&gt;tblAct_ADM[[#This Row],[Límite efectivo (aux)]]),"Cumplida con "&amp;(tblAct_ADM[[#This Row],[Fecha de cumplimiento]]-tblAct_ADM[[#This Row],[Límite efectivo (aux)]])&amp;IF(tblAct_ADM[[#This Row],[Fecha de cumplimiento]]-tblAct_ADM[[#This Row],[Límite efectivo (aux)]]=1," día"," días")&amp;" de retraso","Cumplida"),IF(N(tblAct_ADM[[#This Row],[% de Avance Total Actual]])&gt;=1,"Cumplida",IF(NOT(ISNUMBER(tblAct_ADM[[#This Row],[Límite efectivo (aux)]])),"Sin fecha límite",IF(tblAct_ADM[[#This Row],[Límite efectivo (aux)]]&lt;FechaRef,"Vencida hace "&amp;(FechaRef-tblAct_ADM[[#This Row],[Límite efectivo (aux)]])&amp;IF(FechaRef-tblAct_ADM[[#This Row],[Límite efectivo (aux)]]=1," día"," días"),IF(tblAct_ADM[[#This Row],[Límite efectivo (aux)]]=FechaRef,"Vence hoy",IF(tblAct_ADM[[#This Row],[Límite efectivo (aux)]]-FechaRef&lt;=DiasAlerta,"Vence en "&amp;(tblAct_ADM[[#This Row],[Límite efectivo (aux)]]-FechaRef)&amp;IF(tblAct_ADM[[#This Row],[Límite efectivo (aux)]]-FechaRef=1," día"," días"),"En plazo"))))))))</calculatedColumnFormula>
    </tableColumn>
    <tableColumn id="16" name="Seguimiento de la delegación">
      <calculatedColumnFormula>IF(NOT((COUNTA(tblAct_ADM[[#This Row],[Tipo]:[Delegar a]])+COUNTA(tblAct_ADM[[#This Row],[Fecha de cumplimiento]:[Peso / % de la subactividad]])+COUNTA(tblAct_ADM[[#This Row],[Observaciones]]))&gt;0),"",IF(tblAct_ADM[[#This Row],[Delegar a]]="","Propia",IF(tblAct_ADM[[#This Row],[Tipo (aux)]]&lt;&gt;"Macro","Solo se delegan macroactividades",IF(N(tblAct_ADM[[#This Row],[Fila en el puesto (aux)]])&gt;0,"✔ Recibida por "&amp;tblAct_ADM[[#This Row],[Delegar a]],"⚠ "&amp;tblAct_ADM[[#This Row],[Delegar a]]&amp;" aún no la agrega"))))</calculatedColumnFormula>
    </tableColumn>
    <tableColumn id="17" name="Observaciones"/>
    <tableColumn id="18" name="Revisión automática (alertas)">
      <calculatedColumnFormula>IF(NOT((COUNTA(tblAct_ADM[[#This Row],[Tipo]:[Delegar a]])+COUNTA(tblAct_ADM[[#This Row],[Fecha de cumplimiento]:[Peso / % de la subactividad]])+COUNTA(tblAct_ADM[[#This Row],[Observaciones]]))&gt;0),"",IF((IF(tblAct_ADM[[#This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 OK","⚠ "&amp;LEFT(IF(tblAct_ADM[[#This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",""),LEN(IF(tblAct_ADM[[#This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",""))-3)))</calculatedColumnFormula>
    </tableColumn>
    <tableColumn id="19" name="Mes">
      <calculatedColumnFormula>IF(NOT((COUNTA(tblAct_ADM[[#This Row],[Tipo]:[Delegar a]])+COUNTA(tblAct_ADM[[#This Row],[Fecha de cumplimiento]:[Peso / % de la subactividad]])+COUNTA(tblAct_ADM[[#This Row],[Observaciones]]))&gt;0),"",IF(AND(tblAct_ADM[[#This Row],[Tipo (aux)]]="Sub",N(tblAct_ADM[[#This Row],[Grupo (aux)]])&gt;0),IF(ISNUMBER(INDEX($AR$5:$AR$1000,tblAct_ADM[[#This Row],[Grupo (aux)]]-4)),DATE(YEAR(INDEX($AR$5:$AR$1000,tblAct_ADM[[#This Row],[Grupo (aux)]]-4)),MONTH(INDEX($AR$5:$AR$1000,tblAct_ADM[[#This Row],[Grupo (aux)]]-4)),1),IF(ISNUMBER(INDEX($AS$5:$AS$1000,tblAct_ADM[[#This Row],[Grupo (aux)]]-4)),DATE(YEAR(INDEX($AS$5:$AS$1000,tblAct_ADM[[#This Row],[Grupo (aux)]]-4)),MONTH(INDEX($AS$5:$AS$1000,tblAct_ADM[[#This Row],[Grupo (aux)]]-4)),1),MesCiclo)),IF(ISNUMBER(tblAct_ADM[[#This Row],[Inicio efectivo (aux)]]),DATE(YEAR(tblAct_ADM[[#This Row],[Inicio efectivo (aux)]]),MONTH(tblAct_ADM[[#This Row],[Inicio efectivo (aux)]]),1),IF(ISNUMBER(tblAct_ADM[[#This Row],[Límite efectivo (aux)]]),DATE(YEAR(tblAct_ADM[[#This Row],[Límite efectivo (aux)]]),MONTH(tblAct_ADM[[#This Row],[Límite efectivo (aux)]]),1),MesCiclo))))</calculatedColumnFormula>
    </tableColumn>
    <tableColumn id="20" name="Orden en el mes (aux)">
      <calculatedColumnFormula>IF(OR(tblAct_ADM[[#This Row],[Mes]]="",tblAct_ADM[[#This Row],[Mes]]&lt;&gt;MesCiclo,tblAct_ADM[[#This Row],[Tipo (aux)]]&lt;&gt;"Macro"),"",COUNTIFS(INDEX(tblAct_ADM[Mes],1):tblAct_ADM[[#This Row],[Mes]],MesCiclo,INDEX(tblAct_ADM[Tipo (aux)],1):tblAct_ADM[[#This Row],[Tipo (aux)]],"Macro"))</calculatedColumnFormula>
    </tableColumn>
    <tableColumn id="21" name="Grupo (aux)">
      <calculatedColumnFormula>IF(tblAct_ADM[[#This Row],[Tipo (aux)]]="","",IF(tblAct_ADM[[#This Row],[Tipo (aux)]]="Macro",ROW(),IFERROR(LOOKUP(2,1/(INDEX(tblAct_ADM[Tipo (aux)],1):tblAct_ADM[[#This Row],[Tipo (aux)]]="Macro"),ROW(INDEX(tblAct_ADM[Tipo (aux)],1):tblAct_ADM[[#This Row],[Tipo (aux)]])),0)))</calculatedColumnFormula>
    </tableColumn>
    <tableColumn id="22" name="Tipo (aux)">
      <calculatedColumnFormula>IF(NOT((COUNTA(tblAct_ADM[[#This Row],[Tipo]:[Delegar a]])+COUNTA(tblAct_ADM[[#This Row],[Fecha de cumplimiento]:[Peso / % de la subactividad]])+COUNTA(tblAct_ADM[[#This Row],[Observaciones]]))&gt;0),"",IF(tblAct_ADM[[#This Row],[Tipo]]="Subactividad","Sub","Macro"))</calculatedColumnFormula>
    </tableColumn>
    <tableColumn id="23" name="N subactividades (aux)">
      <calculatedColumnFormula>IF(tblAct_ADM[[#This Row],[Tipo (aux)]]="Macro",COUNTIFS($U$5:$U$1000,ROW(),$V$5:$V$1000,"Sub"),"")</calculatedColumnFormula>
    </tableColumn>
    <tableColumn id="24" name="% efectivo de la subactividad (aux)">
      <calculatedColumnFormula>IF(tblAct_ADM[[#This Row],[Tipo (aux)]]&lt;&gt;"Sub","",IF(AND(ISNUMBER(tblAct_ADM[[#This Row],[Peso / % de la subactividad]]),N(tblAct_ADM[[#This Row],[Peso / % de la subactividad]])&gt;0),tblAct_ADM[[#This Row],[Peso / % de la subactividad]],IFERROR(MAX(0,1-SUMIFS($H$5:$H$1000,$U$5:$U$1000,tblAct_ADM[[#This Row],[Grupo (aux)]],$V$5:$V$1000,"Sub"))/(COUNTIFS($U$5:$U$1000,tblAct_ADM[[#This Row],[Grupo (aux)]],$V$5:$V$1000,"Sub")-COUNTIFS($U$5:$U$1000,tblAct_ADM[[#This Row],[Grupo (aux)]],$V$5:$V$1000,"Sub",$H$5:$H$1000,"&gt;0")),0)))</calculatedColumnFormula>
    </tableColumn>
    <tableColumn id="25" name="Avance propio (aux)">
      <calculatedColumnFormula>IF(tblAct_ADM[[#This Row],[Tipo (aux)]]="","",IF(tblAct_ADM[[#This Row],[Tipo (aux)]]="Sub",N(tblAct_ADM[[#This Row],[% efectivo de la subactividad (aux)]])*IF(ISNUMBER(tblAct_ADM[[#This Row],[Fecha de cumplimiento]]),1,MIN(1,MAX(0,IFERROR(LOOKUP(2,1/ISNUMBER(tblAct_ADM[[#This Row],[Avance Semana 1 (%)]:[Avance Semana 4 (%)]]),tblAct_ADM[[#This Row],[Avance Semana 1 (%)]:[Avance Semana 4 (%)]]),0)))),IF(ISNUMBER(tblAct_ADM[[#This Row],[Fecha de cumplimiento]]),1,IFERROR(LOOKUP(2,1/(tblAct_ADM[[#This Row],[Avance Semana 1 (%)]:[Avance Semana 4 (%)]]&lt;&gt;""),tblAct_ADM[[#This Row],[Avance Semana 1 (%)]:[Avance Semana 4 (%)]]),0))))</calculatedColumnFormula>
    </tableColumn>
    <tableColumn id="26" name="Propio S1 (aux)">
      <calculatedColumnFormula>IF(tblAct_ADM[[#This Row],[Tipo (aux)]]="","",IF(AND(ISNUMBER(tblAct_ADM[[#This Row],[Fecha de cumplimiento]]),tblAct_ADM[[#This Row],[Fecha de cumplimiento]]&lt;=IF(tblAct_ADM[[#This Row],[Mes]]=MesCiclo,InicioCiclo,tblAct_ADM[[#This Row],[Mes]]+MOD(2-WEEKDAY(tblAct_ADM[[#This Row],[Mes]]),7))+6),1,IF(ISNUMBER(tblAct_ADM[[#This Row],[Avance Semana 1 (%)]]),tblAct_ADM[[#This Row],[Avance Semana 1 (%)]],0)))</calculatedColumnFormula>
    </tableColumn>
    <tableColumn id="27" name="Propio S2 (aux)">
      <calculatedColumnFormula>IF(tblAct_ADM[[#This Row],[Tipo (aux)]]="","",IF(AND(ISNUMBER(tblAct_ADM[[#This Row],[Fecha de cumplimiento]]),tblAct_ADM[[#This Row],[Fecha de cumplimiento]]&lt;=IF(tblAct_ADM[[#This Row],[Mes]]=MesCiclo,InicioCiclo,tblAct_ADM[[#This Row],[Mes]]+MOD(2-WEEKDAY(tblAct_ADM[[#This Row],[Mes]]),7))+13),1,IF(ISNUMBER(tblAct_ADM[[#This Row],[Avance Semana 2 (%)]]),tblAct_ADM[[#This Row],[Avance Semana 2 (%)]],tblAct_ADM[[#This Row],[Propio S1 (aux)]])))</calculatedColumnFormula>
    </tableColumn>
    <tableColumn id="28" name="Propio S3 (aux)">
      <calculatedColumnFormula>IF(tblAct_ADM[[#This Row],[Tipo (aux)]]="","",IF(AND(ISNUMBER(tblAct_ADM[[#This Row],[Fecha de cumplimiento]]),tblAct_ADM[[#This Row],[Fecha de cumplimiento]]&lt;=IF(tblAct_ADM[[#This Row],[Mes]]=MesCiclo,InicioCiclo,tblAct_ADM[[#This Row],[Mes]]+MOD(2-WEEKDAY(tblAct_ADM[[#This Row],[Mes]]),7))+20),1,IF(ISNUMBER(tblAct_ADM[[#This Row],[Avance Semana 3 (%)]]),tblAct_ADM[[#This Row],[Avance Semana 3 (%)]],tblAct_ADM[[#This Row],[Propio S2 (aux)]])))</calculatedColumnFormula>
    </tableColumn>
    <tableColumn id="29" name="Propio S4 (aux)">
      <calculatedColumnFormula>IF(tblAct_ADM[[#This Row],[Tipo (aux)]]="","",IF(AND(ISNUMBER(tblAct_ADM[[#This Row],[Fecha de cumplimiento]]),tblAct_ADM[[#This Row],[Fecha de cumplimiento]]&lt;=IF(tblAct_ADM[[#This Row],[Mes]]=MesCiclo,InicioCiclo,tblAct_ADM[[#This Row],[Mes]]+MOD(2-WEEKDAY(tblAct_ADM[[#This Row],[Mes]]),7))+27),1,IF(ISNUMBER(tblAct_ADM[[#This Row],[Avance Semana 4 (%)]]),tblAct_ADM[[#This Row],[Avance Semana 4 (%)]],tblAct_ADM[[#This Row],[Propio S3 (aux)]])))</calculatedColumnFormula>
    </tableColumn>
    <tableColumn id="30" name="Sub cumplida S1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Row],[Mes]]),7))+6),1,MIN(1,MAX(0,IF(ISNUMBER(OFFSET(tblAct_ADM[[#This Row],[Avance Semana 1 (%)]],0,0)),OFFSET(tblAct_ADM[[#This Row],[Avance Semana 1 (%)]],0,0),0)))))</calculatedColumnFormula>
    </tableColumn>
    <tableColumn id="31" name="Sub cumplida S2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Row],[Mes]]),7))+13),1,MIN(1,MAX(0,IF(ISNUMBER(OFFSET(tblAct_ADM[[#This Row],[Avance Semana 1 (%)]],0,1)),OFFSET(tblAct_ADM[[#This Row],[Avance Semana 1 (%)]],0,1),IF(ISNUMBER(OFFSET(tblAct_ADM[[#This Row],[Avance Semana 1 (%)]],0,0)),OFFSET(tblAct_ADM[[#This Row],[Avance Semana 1 (%)]],0,0),0))))))</calculatedColumnFormula>
    </tableColumn>
    <tableColumn id="32" name="Sub cumplida S3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Row],[Mes]]),7))+20),1,MIN(1,MAX(0,IF(ISNUMBER(OFFSET(tblAct_ADM[[#This Row],[Avance Semana 1 (%)]],0,2)),OFFSET(tblAct_ADM[[#This Row],[Avance Semana 1 (%)]],0,2),IF(ISNUMBER(OFFSET(tblAct_ADM[[#This Row],[Avance Semana 1 (%)]],0,1)),OFFSET(tblAct_ADM[[#This Row],[Avance Semana 1 (%)]],0,1),IF(ISNUMBER(OFFSET(tblAct_ADM[[#This Row],[Avance Semana 1 (%)]],0,0)),OFFSET(tblAct_ADM[[#This Row],[Avance Semana 1 (%)]],0,0),0)))))))</calculatedColumnFormula>
    </tableColumn>
    <tableColumn id="33" name="Sub cumplida S4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Row],[Mes]]),7))+27),1,MIN(1,MAX(0,IF(ISNUMBER(OFFSET(tblAct_ADM[[#This Row],[Avance Semana 1 (%)]],0,3)),OFFSET(tblAct_ADM[[#This Row],[Avance Semana 1 (%)]],0,3),IF(ISNUMBER(OFFSET(tblAct_ADM[[#This Row],[Avance Semana 1 (%)]],0,2)),OFFSET(tblAct_ADM[[#This Row],[Avance Semana 1 (%)]],0,2),IF(ISNUMBER(OFFSET(tblAct_ADM[[#This Row],[Avance Semana 1 (%)]],0,1)),OFFSET(tblAct_ADM[[#This Row],[Avance Semana 1 (%)]],0,1),IF(ISNUMBER(OFFSET(tblAct_ADM[[#This Row],[Avance Semana 1 (%)]],0,0)),OFFSET(tblAct_ADM[[#This Row],[Avance Semana 1 (%)]],0,0),0))))))))</calculatedColumnFormula>
    </tableColumn>
    <tableColumn id="34" name="Efectivo S1 (aux)">
      <calculatedColumnFormula>IF(tblAct_ADM[[#This Row],[Tipo (aux)]]="","",IF(AND(ISNUMBER(tblAct_ADM[[#This Row],[Fecha de cumplimiento]]),tblAct_ADM[[#This Row],[Fecha de cumplimiento]]&lt;=IF(tblAct_ADM[[#This Row],[Mes]]=MesCiclo,InicioCiclo,tblAct_ADM[[#This Row],[Mes]]+MOD(2-WEEKDAY(tblAct_ADM[[#This Row],[Mes]]),7))+6),1,IF(N(tblAct_ADM[[#This Row],[N subactividades (aux)]])&gt;0,MIN(1,SUMIFS($AD$5:$AD$1000,$U$5:$U$1000,ROW(),$V$5:$V$1000,"Sub")),tblAct_ADM[[#This Row],[Propio S1 (aux)]])))</calculatedColumnFormula>
    </tableColumn>
    <tableColumn id="35" name="Efectivo S2 (aux)">
      <calculatedColumnFormula>IF(tblAct_ADM[[#This Row],[Tipo (aux)]]="","",IF(AND(ISNUMBER(tblAct_ADM[[#This Row],[Fecha de cumplimiento]]),tblAct_ADM[[#This Row],[Fecha de cumplimiento]]&lt;=IF(tblAct_ADM[[#This Row],[Mes]]=MesCiclo,InicioCiclo,tblAct_ADM[[#This Row],[Mes]]+MOD(2-WEEKDAY(tblAct_ADM[[#This Row],[Mes]]),7))+13),1,IF(N(tblAct_ADM[[#This Row],[N subactividades (aux)]])&gt;0,MIN(1,SUMIFS($AE$5:$AE$1000,$U$5:$U$1000,ROW(),$V$5:$V$1000,"Sub")),tblAct_ADM[[#This Row],[Propio S2 (aux)]])))</calculatedColumnFormula>
    </tableColumn>
    <tableColumn id="36" name="Efectivo S3 (aux)">
      <calculatedColumnFormula>IF(tblAct_ADM[[#This Row],[Tipo (aux)]]="","",IF(AND(ISNUMBER(tblAct_ADM[[#This Row],[Fecha de cumplimiento]]),tblAct_ADM[[#This Row],[Fecha de cumplimiento]]&lt;=IF(tblAct_ADM[[#This Row],[Mes]]=MesCiclo,InicioCiclo,tblAct_ADM[[#This Row],[Mes]]+MOD(2-WEEKDAY(tblAct_ADM[[#This Row],[Mes]]),7))+20),1,IF(N(tblAct_ADM[[#This Row],[N subactividades (aux)]])&gt;0,MIN(1,SUMIFS($AF$5:$AF$1000,$U$5:$U$1000,ROW(),$V$5:$V$1000,"Sub")),tblAct_ADM[[#This Row],[Propio S3 (aux)]])))</calculatedColumnFormula>
    </tableColumn>
    <tableColumn id="37" name="Efectivo S4 (aux)">
      <calculatedColumnFormula>IF(tblAct_ADM[[#This Row],[Tipo (aux)]]="","",IF(AND(ISNUMBER(tblAct_ADM[[#This Row],[Fecha de cumplimiento]]),tblAct_ADM[[#This Row],[Fecha de cumplimiento]]&lt;=IF(tblAct_ADM[[#This Row],[Mes]]=MesCiclo,InicioCiclo,tblAct_ADM[[#This Row],[Mes]]+MOD(2-WEEKDAY(tblAct_ADM[[#This Row],[Mes]]),7))+27),1,IF(N(tblAct_ADM[[#This Row],[N subactividades (aux)]])&gt;0,MIN(1,SUMIFS($AG$5:$AG$1000,$U$5:$U$1000,ROW(),$V$5:$V$1000,"Sub")),tblAct_ADM[[#This Row],[Propio S4 (aux)]])))</calculatedColumnFormula>
    </tableColumn>
    <tableColumn id="38" name="Peso efectivo (aux)">
      <calculatedColumnFormula>IF(tblAct_ADM[[#This Row],[Tipo (aux)]]&lt;&gt;"Macro","",IF(COUNTIFS($S$5:$S$1000,tblAct_ADM[[#This Row],[Mes]],$V$5:$V$1000,"Macro",$H$5:$H$1000,"&gt;0")=0,1/COUNTIFS($S$5:$S$1000,tblAct_ADM[[#This Row],[Mes]],$V$5:$V$1000,"Macro"),IF(AND(ISNUMBER(tblAct_ADM[[#This Row],[Peso / % de la subactividad]]),N(tblAct_ADM[[#This Row],[Peso / % de la subactividad]])&gt;0),tblAct_ADM[[#This Row],[Peso / % de la subactividad]],SUMIFS($H$5:$H$1000,$S$5:$S$1000,tblAct_ADM[[#This Row],[Mes]],$V$5:$V$1000,"Macro")/COUNTIFS($S$5:$S$1000,tblAct_ADM[[#This Row],[Mes]],$V$5:$V$1000,"Macro",$H$5:$H$1000,"&gt;0"))/(COUNTIFS($S$5:$S$1000,tblAct_ADM[[#This Row],[Mes]],$V$5:$V$1000,"Macro")*SUMIFS($H$5:$H$1000,$S$5:$S$1000,tblAct_ADM[[#This Row],[Mes]],$V$5:$V$1000,"Macro")/COUNTIFS($S$5:$S$1000,tblAct_ADM[[#This Row],[Mes]],$V$5:$V$1000,"Macro",$H$5:$H$1000,"&gt;0"))))</calculatedColumnFormula>
    </tableColumn>
    <tableColumn id="39" name="Fila en el puesto (aux)">
      <calculatedColumnFormula>IF(NOT(AND(tblAct_ADM[[#This Row],[Delegar a]]&lt;&gt;"",tblAct_ADM[[#This Row],[Tipo (aux)]]="Macro")),"",IFERROR(CHOOSE(MATCH(tblAct_ADM[[#This Row],[Delegar a]],ListaPuestos,0),MATCH("[Jefatura] "&amp;tblAct_ADM[[#This Row],[Actividad]],'Cronograma R. Operacional'!$C$5:$C$1000,0),MATCH("[Jefatura] "&amp;tblAct_ADM[[#This Row],[Actividad]],'Cronograma R. Normativo'!$C$5:$C$1000,0),MATCH("[Jefatura] "&amp;tblAct_ADM[[#This Row],[Actividad]],'Cronograma R. Financiero'!$C$5:$C$1000,0),MATCH("[Jefatura] "&amp;tblAct_ADM[[#This Row],[Actividad]],'Cronograma Asistente Técnico'!$C$5:$C$1000,0)),0))</calculatedColumnFormula>
    </tableColumn>
    <tableColumn id="40" name="N° delegada en el mes (aux)">
      <calculatedColumnFormula>IF(AND(AND(tblAct_ADM[[#This Row],[Delegar a]]&lt;&gt;"",tblAct_ADM[[#This Row],[Tipo (aux)]]="Macro"),tblAct_ADM[[#This Row],[Mes]]=MesCiclo),COUNTIFS(INDEX(tblAct_ADM[Delegar a],1):tblAct_ADM[[#This Row],[Delegar a]],tblAct_ADM[[#This Row],[Delegar a]],INDEX(tblAct_ADM[Mes],1):tblAct_ADM[[#This Row],[Mes]],MesCiclo,INDEX(tblAct_ADM[Tipo (aux)],1):tblAct_ADM[[#This Row],[Tipo (aux)]],"Macro"),"")</calculatedColumnFormula>
    </tableColumn>
    <tableColumn id="41" name="Clave delegada (aux)">
      <calculatedColumnFormula>IF(tblAct_ADM[[#This Row],[N° delegada en el mes (aux)]]="","",tblAct_ADM[[#This Row],[Delegar a]]&amp;"|"&amp;tblAct_ADM[[#This Row],[N° delegada en el mes (aux)]])</calculatedColumnFormula>
    </tableColumn>
    <tableColumn id="42" name="Clave puesto-actividad (aux)">
      <calculatedColumnFormula>IF(AND(tblAct_ADM[[#This Row],[Delegar a]]&lt;&gt;"",tblAct_ADM[[#This Row],[Tipo (aux)]]="Macro"),tblAct_ADM[[#This Row],[Delegar a]]&amp;"|"&amp;tblAct_ADM[[#This Row],[Actividad]],"")</calculatedColumnFormula>
    </tableColumn>
    <tableColumn id="43" name="Fila en Administración (aux)">
      <calculatedColumnFormula>""</calculatedColumnFormula>
    </tableColumn>
    <tableColumn id="44" name="Inicio efectivo (aux)">
      <calculatedColumnFormula>IF(N(tblAct_ADM[[#This Row],[Fila en Administración (aux)]])&gt;0,INDEX(rIni_ADM,tblAct_ADM[[#This Row],[Fila en Administración (aux)]]),IF(ISNUMBER(tblAct_ADM[[#This Row],[Fecha de inicio]]),tblAct_ADM[[#This Row],[Fecha de inicio]],""))</calculatedColumnFormula>
    </tableColumn>
    <tableColumn id="45" name="Límite efectivo (aux)">
      <calculatedColumnFormula>IF(N(tblAct_ADM[[#This Row],[Fila en Administración (aux)]])&gt;0,INDEX(rLim_ADM,tblAct_ADM[[#This Row],[Fila en Administración (aux)]]),IF(ISNUMBER(tblAct_ADM[[#This Row],[Fecha límite]]),tblAct_ADM[[#This Row],[Fecha límite]],""))</calculatedColumnFormula>
    </tableColumn>
  </tableColumns>
  <tableStyleInfo name="TableStyleLight1" showRowStripes="0"/>
</table>
</file>

<file path=xl/tables/table2.xml><?xml version="1.0" encoding="utf-8"?>
<table xmlns="http://schemas.openxmlformats.org/spreadsheetml/2006/main" id="2" name="tblAct_RO" displayName="tblAct_RO" ref="A4:AS304" headerRowCount="1">
  <autoFilter ref="A4:AS304"/>
  <tableColumns count="45">
    <tableColumn id="1" name="N°">
      <calculatedColumnFormula>IF(NOT((COUNTA(tblAct_RO[[#This Row],[Tipo]:[Delegar a]])+COUNTA(tblAct_RO[[#This Row],[Fecha de cumplimiento]:[Peso / % de la subactividad]])+COUNTA(tblAct_RO[[#This Row],[Observaciones]]))&gt;0),"",IF(tblAct_RO[[#This Row],[Tipo (aux)]]="Macro",COUNTIFS(INDEX(tblAct_RO[Tipo (aux)],1):tblAct_RO[[#This Row],[Tipo (aux)]],"Macro",INDEX(tblAct_RO[Mes],1):tblAct_RO[[#This Row],[Mes]],tblAct_RO[[#This Row],[Mes]]),IF(N(tblAct_RO[[#This Row],[Grupo (aux)]])=0,"?",COUNTIFS(INDEX($V$5:$V$1000,1):INDEX($V$5:$V$1000,tblAct_RO[[#This Row],[Grupo (aux)]]-4),"Macro",INDEX($S$5:$S$1000,1):INDEX($S$5:$S$1000,tblAct_RO[[#This Row],[Grupo (aux)]]-4),INDEX($S$5:$S$1000,tblAct_RO[[#This Row],[Grupo (aux)]]-4))&amp;"."&amp;COUNTIFS(INDEX(tblAct_RO[Grupo (aux)],1):tblAct_RO[[#This Row],[Grupo (aux)]],tblAct_RO[[#This Row],[Grupo (aux)]],INDEX(tblAct_RO[Tipo (aux)],1):tblAct_RO[[#This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IF(OR(NOT((COUNTA(tblAct_RO[[#This Row],[Tipo]:[Delegar a]])+COUNTA(tblAct_RO[[#This Row],[Fecha de cumplimiento]:[Peso / % de la subactividad]])+COUNTA(tblAct_RO[[#This Row],[Observaciones]]))&gt;0),tblAct_RO[[#This Row],[Tipo (aux)]]="Sub"),"",IF(ISNUMBER(tblAct_RO[[#This Row],[Fecha de cumplimiento]]),1,IF(N(tblAct_RO[[#This Row],[N subactividades (aux)]])&gt;0,MIN(1,SUMIFS($Y$5:$Y$1000,$U$5:$U$1000,ROW(),$V$5:$V$1000,"Sub")),tblAct_RO[[#This Row],[Avance propio (aux)]])))</calculatedColumnFormula>
    </tableColumn>
    <tableColumn id="14" name="Estado">
      <calculatedColumnFormula>IF(OR(tblAct_RO[[#This Row],[% de Avance Total Actual]]="",tblAct_RO[[#This Row],[Tipo (aux)]]="Sub"),"",IF(tblAct_RO[[#This Row],[% de Avance Total Actual]]&gt;=1,"Completado",IF(tblAct_RO[[#This Row],[% de Avance Total Actual]]&gt;0,"En curso","Pendiente")))</calculatedColumnFormula>
    </tableColumn>
    <tableColumn id="15" name="Alerta de plazo">
      <calculatedColumnFormula>IF(OR(NOT((COUNTA(tblAct_RO[[#This Row],[Tipo]:[Delegar a]])+COUNTA(tblAct_RO[[#This Row],[Fecha de cumplimiento]:[Peso / % de la subactividad]])+COUNTA(tblAct_RO[[#This Row],[Observaciones]]))&gt;0),tblAct_RO[[#This Row],[Tipo (aux)]]="Sub"),"",IF(ISNUMBER(tblAct_RO[[#This Row],[Fecha de cumplimiento]]),IF(AND(ISNUMBER(tblAct_RO[[#This Row],[Límite efectivo (aux)]]),tblAct_RO[[#This Row],[Fecha de cumplimiento]]&gt;tblAct_RO[[#This Row],[Límite efectivo (aux)]]),"Cumplida con "&amp;(tblAct_RO[[#This Row],[Fecha de cumplimiento]]-tblAct_RO[[#This Row],[Límite efectivo (aux)]])&amp;IF(tblAct_RO[[#This Row],[Fecha de cumplimiento]]-tblAct_RO[[#This Row],[Límite efectivo (aux)]]=1," día"," días")&amp;" de retraso","Cumplida"),IF(N(tblAct_RO[[#This Row],[% de Avance Total Actual]])&gt;=1,"Cumplida",IF(NOT(ISNUMBER(tblAct_RO[[#This Row],[Límite efectivo (aux)]])),"Sin fecha límite",IF(tblAct_RO[[#This Row],[Límite efectivo (aux)]]&lt;FechaRef,"Vencida hace "&amp;(FechaRef-tblAct_RO[[#This Row],[Límite efectivo (aux)]])&amp;IF(FechaRef-tblAct_RO[[#This Row],[Límite efectivo (aux)]]=1," día"," días"),IF(tblAct_RO[[#This Row],[Límite efectivo (aux)]]=FechaRef,"Vence hoy",IF(tblAct_RO[[#This Row],[Límite efectivo (aux)]]-FechaRef&lt;=DiasAlerta,"Vence en "&amp;(tblAct_RO[[#This Row],[Límite efectivo (aux)]]-FechaRef)&amp;IF(tblAct_RO[[#This Row],[Límite efectivo (aux)]]-FechaRef=1," día"," días"),"En plazo")))))))</calculatedColumnFormula>
    </tableColumn>
    <tableColumn id="16" name="Seguimiento de la delegación"/>
    <tableColumn id="17" name="Observaciones"/>
    <tableColumn id="18" name="Revisión automática (alertas)">
      <calculatedColumnFormula>IF(NOT((COUNTA(tblAct_RO[[#This Row],[Tipo]:[Delegar a]])+COUNTA(tblAct_RO[[#This Row],[Fecha de cumplimiento]:[Peso / % de la subactividad]])+COUNTA(tblAct_RO[[#This Row],[Observaciones]]))&gt;0),"",IF((IF(tblAct_RO[[#This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 OK","⚠ "&amp;LEFT(IF(tblAct_RO[[#This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",""),LEN(IF(tblAct_RO[[#This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",""))-3)))</calculatedColumnFormula>
    </tableColumn>
    <tableColumn id="19" name="Mes">
      <calculatedColumnFormula>IF(NOT((COUNTA(tblAct_RO[[#This Row],[Tipo]:[Delegar a]])+COUNTA(tblAct_RO[[#This Row],[Fecha de cumplimiento]:[Peso / % de la subactividad]])+COUNTA(tblAct_RO[[#This Row],[Observaciones]]))&gt;0),"",IF(AND(tblAct_RO[[#This Row],[Tipo (aux)]]="Sub",N(tblAct_RO[[#This Row],[Grupo (aux)]])&gt;0),IF(ISNUMBER(INDEX($AR$5:$AR$1000,tblAct_RO[[#This Row],[Grupo (aux)]]-4)),DATE(YEAR(INDEX($AR$5:$AR$1000,tblAct_RO[[#This Row],[Grupo (aux)]]-4)),MONTH(INDEX($AR$5:$AR$1000,tblAct_RO[[#This Row],[Grupo (aux)]]-4)),1),IF(ISNUMBER(INDEX($AS$5:$AS$1000,tblAct_RO[[#This Row],[Grupo (aux)]]-4)),DATE(YEAR(INDEX($AS$5:$AS$1000,tblAct_RO[[#This Row],[Grupo (aux)]]-4)),MONTH(INDEX($AS$5:$AS$1000,tblAct_RO[[#This Row],[Grupo (aux)]]-4)),1),MesCiclo)),IF(ISNUMBER(tblAct_RO[[#This Row],[Inicio efectivo (aux)]]),DATE(YEAR(tblAct_RO[[#This Row],[Inicio efectivo (aux)]]),MONTH(tblAct_RO[[#This Row],[Inicio efectivo (aux)]]),1),IF(ISNUMBER(tblAct_RO[[#This Row],[Límite efectivo (aux)]]),DATE(YEAR(tblAct_RO[[#This Row],[Límite efectivo (aux)]]),MONTH(tblAct_RO[[#This Row],[Límite efectivo (aux)]]),1),MesCiclo))))</calculatedColumnFormula>
    </tableColumn>
    <tableColumn id="20" name="Orden en el mes (aux)">
      <calculatedColumnFormula>IF(OR(tblAct_RO[[#This Row],[Mes]]="",tblAct_RO[[#This Row],[Mes]]&lt;&gt;MesCiclo,tblAct_RO[[#This Row],[Tipo (aux)]]&lt;&gt;"Macro"),"",COUNTIFS(INDEX(tblAct_RO[Mes],1):tblAct_RO[[#This Row],[Mes]],MesCiclo,INDEX(tblAct_RO[Tipo (aux)],1):tblAct_RO[[#This Row],[Tipo (aux)]],"Macro"))</calculatedColumnFormula>
    </tableColumn>
    <tableColumn id="21" name="Grupo (aux)">
      <calculatedColumnFormula>IF(tblAct_RO[[#This Row],[Tipo (aux)]]="","",IF(tblAct_RO[[#This Row],[Tipo (aux)]]="Macro",ROW(),IFERROR(LOOKUP(2,1/(INDEX(tblAct_RO[Tipo (aux)],1):tblAct_RO[[#This Row],[Tipo (aux)]]="Macro"),ROW(INDEX(tblAct_RO[Tipo (aux)],1):tblAct_RO[[#This Row],[Tipo (aux)]])),0)))</calculatedColumnFormula>
    </tableColumn>
    <tableColumn id="22" name="Tipo (aux)">
      <calculatedColumnFormula>IF(NOT((COUNTA(tblAct_RO[[#This Row],[Tipo]:[Delegar a]])+COUNTA(tblAct_RO[[#This Row],[Fecha de cumplimiento]:[Peso / % de la subactividad]])+COUNTA(tblAct_RO[[#This Row],[Observaciones]]))&gt;0),"",IF(tblAct_RO[[#This Row],[Tipo]]="Subactividad","Sub","Macro"))</calculatedColumnFormula>
    </tableColumn>
    <tableColumn id="23" name="N subactividades (aux)">
      <calculatedColumnFormula>IF(tblAct_RO[[#This Row],[Tipo (aux)]]="Macro",COUNTIFS($U$5:$U$1000,ROW(),$V$5:$V$1000,"Sub"),"")</calculatedColumnFormula>
    </tableColumn>
    <tableColumn id="24" name="% efectivo de la subactividad (aux)">
      <calculatedColumnFormula>IF(tblAct_RO[[#This Row],[Tipo (aux)]]&lt;&gt;"Sub","",IF(AND(ISNUMBER(tblAct_RO[[#This Row],[Peso / % de la subactividad]]),N(tblAct_RO[[#This Row],[Peso / % de la subactividad]])&gt;0),tblAct_RO[[#This Row],[Peso / % de la subactividad]],IFERROR(MAX(0,1-SUMIFS($H$5:$H$1000,$U$5:$U$1000,tblAct_RO[[#This Row],[Grupo (aux)]],$V$5:$V$1000,"Sub"))/(COUNTIFS($U$5:$U$1000,tblAct_RO[[#This Row],[Grupo (aux)]],$V$5:$V$1000,"Sub")-COUNTIFS($U$5:$U$1000,tblAct_RO[[#This Row],[Grupo (aux)]],$V$5:$V$1000,"Sub",$H$5:$H$1000,"&gt;0")),0)))</calculatedColumnFormula>
    </tableColumn>
    <tableColumn id="25" name="Avance propio (aux)">
      <calculatedColumnFormula>IF(tblAct_RO[[#This Row],[Tipo (aux)]]="","",IF(tblAct_RO[[#This Row],[Tipo (aux)]]="Sub",N(tblAct_RO[[#This Row],[% efectivo de la subactividad (aux)]])*IF(ISNUMBER(tblAct_RO[[#This Row],[Fecha de cumplimiento]]),1,MIN(1,MAX(0,IFERROR(LOOKUP(2,1/ISNUMBER(tblAct_RO[[#This Row],[Avance Semana 1 (%)]:[Avance Semana 4 (%)]]),tblAct_RO[[#This Row],[Avance Semana 1 (%)]:[Avance Semana 4 (%)]]),0)))),IF(ISNUMBER(tblAct_RO[[#This Row],[Fecha de cumplimiento]]),1,IFERROR(LOOKUP(2,1/(tblAct_RO[[#This Row],[Avance Semana 1 (%)]:[Avance Semana 4 (%)]]&lt;&gt;""),tblAct_RO[[#This Row],[Avance Semana 1 (%)]:[Avance Semana 4 (%)]]),0))))</calculatedColumnFormula>
    </tableColumn>
    <tableColumn id="26" name="Propio S1 (aux)">
      <calculatedColumnFormula>IF(tblAct_RO[[#This Row],[Tipo (aux)]]="","",IF(AND(ISNUMBER(tblAct_RO[[#This Row],[Fecha de cumplimiento]]),tblAct_RO[[#This Row],[Fecha de cumplimiento]]&lt;=IF(tblAct_RO[[#This Row],[Mes]]=MesCiclo,InicioCiclo,tblAct_RO[[#This Row],[Mes]]+MOD(2-WEEKDAY(tblAct_RO[[#This Row],[Mes]]),7))+6),1,IF(ISNUMBER(tblAct_RO[[#This Row],[Avance Semana 1 (%)]]),tblAct_RO[[#This Row],[Avance Semana 1 (%)]],0)))</calculatedColumnFormula>
    </tableColumn>
    <tableColumn id="27" name="Propio S2 (aux)">
      <calculatedColumnFormula>IF(tblAct_RO[[#This Row],[Tipo (aux)]]="","",IF(AND(ISNUMBER(tblAct_RO[[#This Row],[Fecha de cumplimiento]]),tblAct_RO[[#This Row],[Fecha de cumplimiento]]&lt;=IF(tblAct_RO[[#This Row],[Mes]]=MesCiclo,InicioCiclo,tblAct_RO[[#This Row],[Mes]]+MOD(2-WEEKDAY(tblAct_RO[[#This Row],[Mes]]),7))+13),1,IF(ISNUMBER(tblAct_RO[[#This Row],[Avance Semana 2 (%)]]),tblAct_RO[[#This Row],[Avance Semana 2 (%)]],tblAct_RO[[#This Row],[Propio S1 (aux)]])))</calculatedColumnFormula>
    </tableColumn>
    <tableColumn id="28" name="Propio S3 (aux)">
      <calculatedColumnFormula>IF(tblAct_RO[[#This Row],[Tipo (aux)]]="","",IF(AND(ISNUMBER(tblAct_RO[[#This Row],[Fecha de cumplimiento]]),tblAct_RO[[#This Row],[Fecha de cumplimiento]]&lt;=IF(tblAct_RO[[#This Row],[Mes]]=MesCiclo,InicioCiclo,tblAct_RO[[#This Row],[Mes]]+MOD(2-WEEKDAY(tblAct_RO[[#This Row],[Mes]]),7))+20),1,IF(ISNUMBER(tblAct_RO[[#This Row],[Avance Semana 3 (%)]]),tblAct_RO[[#This Row],[Avance Semana 3 (%)]],tblAct_RO[[#This Row],[Propio S2 (aux)]])))</calculatedColumnFormula>
    </tableColumn>
    <tableColumn id="29" name="Propio S4 (aux)">
      <calculatedColumnFormula>IF(tblAct_RO[[#This Row],[Tipo (aux)]]="","",IF(AND(ISNUMBER(tblAct_RO[[#This Row],[Fecha de cumplimiento]]),tblAct_RO[[#This Row],[Fecha de cumplimiento]]&lt;=IF(tblAct_RO[[#This Row],[Mes]]=MesCiclo,InicioCiclo,tblAct_RO[[#This Row],[Mes]]+MOD(2-WEEKDAY(tblAct_RO[[#This Row],[Mes]]),7))+27),1,IF(ISNUMBER(tblAct_RO[[#This Row],[Avance Semana 4 (%)]]),tblAct_RO[[#This Row],[Avance Semana 4 (%)]],tblAct_RO[[#This Row],[Propio S3 (aux)]])))</calculatedColumnFormula>
    </tableColumn>
    <tableColumn id="30" name="Sub cumplida S1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Row],[Mes]]),7))+6),1,MIN(1,MAX(0,IF(ISNUMBER(OFFSET(tblAct_RO[[#This Row],[Avance Semana 1 (%)]],0,0)),OFFSET(tblAct_RO[[#This Row],[Avance Semana 1 (%)]],0,0),0)))))</calculatedColumnFormula>
    </tableColumn>
    <tableColumn id="31" name="Sub cumplida S2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Row],[Mes]]),7))+13),1,MIN(1,MAX(0,IF(ISNUMBER(OFFSET(tblAct_RO[[#This Row],[Avance Semana 1 (%)]],0,1)),OFFSET(tblAct_RO[[#This Row],[Avance Semana 1 (%)]],0,1),IF(ISNUMBER(OFFSET(tblAct_RO[[#This Row],[Avance Semana 1 (%)]],0,0)),OFFSET(tblAct_RO[[#This Row],[Avance Semana 1 (%)]],0,0),0))))))</calculatedColumnFormula>
    </tableColumn>
    <tableColumn id="32" name="Sub cumplida S3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Row],[Mes]]),7))+20),1,MIN(1,MAX(0,IF(ISNUMBER(OFFSET(tblAct_RO[[#This Row],[Avance Semana 1 (%)]],0,2)),OFFSET(tblAct_RO[[#This Row],[Avance Semana 1 (%)]],0,2),IF(ISNUMBER(OFFSET(tblAct_RO[[#This Row],[Avance Semana 1 (%)]],0,1)),OFFSET(tblAct_RO[[#This Row],[Avance Semana 1 (%)]],0,1),IF(ISNUMBER(OFFSET(tblAct_RO[[#This Row],[Avance Semana 1 (%)]],0,0)),OFFSET(tblAct_RO[[#This Row],[Avance Semana 1 (%)]],0,0),0)))))))</calculatedColumnFormula>
    </tableColumn>
    <tableColumn id="33" name="Sub cumplida S4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Row],[Mes]]),7))+27),1,MIN(1,MAX(0,IF(ISNUMBER(OFFSET(tblAct_RO[[#This Row],[Avance Semana 1 (%)]],0,3)),OFFSET(tblAct_RO[[#This Row],[Avance Semana 1 (%)]],0,3),IF(ISNUMBER(OFFSET(tblAct_RO[[#This Row],[Avance Semana 1 (%)]],0,2)),OFFSET(tblAct_RO[[#This Row],[Avance Semana 1 (%)]],0,2),IF(ISNUMBER(OFFSET(tblAct_RO[[#This Row],[Avance Semana 1 (%)]],0,1)),OFFSET(tblAct_RO[[#This Row],[Avance Semana 1 (%)]],0,1),IF(ISNUMBER(OFFSET(tblAct_RO[[#This Row],[Avance Semana 1 (%)]],0,0)),OFFSET(tblAct_RO[[#This Row],[Avance Semana 1 (%)]],0,0),0))))))))</calculatedColumnFormula>
    </tableColumn>
    <tableColumn id="34" name="Efectivo S1 (aux)">
      <calculatedColumnFormula>IF(tblAct_RO[[#This Row],[Tipo (aux)]]="","",IF(AND(ISNUMBER(tblAct_RO[[#This Row],[Fecha de cumplimiento]]),tblAct_RO[[#This Row],[Fecha de cumplimiento]]&lt;=IF(tblAct_RO[[#This Row],[Mes]]=MesCiclo,InicioCiclo,tblAct_RO[[#This Row],[Mes]]+MOD(2-WEEKDAY(tblAct_RO[[#This Row],[Mes]]),7))+6),1,IF(N(tblAct_RO[[#This Row],[N subactividades (aux)]])&gt;0,MIN(1,SUMIFS($AD$5:$AD$1000,$U$5:$U$1000,ROW(),$V$5:$V$1000,"Sub")),tblAct_RO[[#This Row],[Propio S1 (aux)]])))</calculatedColumnFormula>
    </tableColumn>
    <tableColumn id="35" name="Efectivo S2 (aux)">
      <calculatedColumnFormula>IF(tblAct_RO[[#This Row],[Tipo (aux)]]="","",IF(AND(ISNUMBER(tblAct_RO[[#This Row],[Fecha de cumplimiento]]),tblAct_RO[[#This Row],[Fecha de cumplimiento]]&lt;=IF(tblAct_RO[[#This Row],[Mes]]=MesCiclo,InicioCiclo,tblAct_RO[[#This Row],[Mes]]+MOD(2-WEEKDAY(tblAct_RO[[#This Row],[Mes]]),7))+13),1,IF(N(tblAct_RO[[#This Row],[N subactividades (aux)]])&gt;0,MIN(1,SUMIFS($AE$5:$AE$1000,$U$5:$U$1000,ROW(),$V$5:$V$1000,"Sub")),tblAct_RO[[#This Row],[Propio S2 (aux)]])))</calculatedColumnFormula>
    </tableColumn>
    <tableColumn id="36" name="Efectivo S3 (aux)">
      <calculatedColumnFormula>IF(tblAct_RO[[#This Row],[Tipo (aux)]]="","",IF(AND(ISNUMBER(tblAct_RO[[#This Row],[Fecha de cumplimiento]]),tblAct_RO[[#This Row],[Fecha de cumplimiento]]&lt;=IF(tblAct_RO[[#This Row],[Mes]]=MesCiclo,InicioCiclo,tblAct_RO[[#This Row],[Mes]]+MOD(2-WEEKDAY(tblAct_RO[[#This Row],[Mes]]),7))+20),1,IF(N(tblAct_RO[[#This Row],[N subactividades (aux)]])&gt;0,MIN(1,SUMIFS($AF$5:$AF$1000,$U$5:$U$1000,ROW(),$V$5:$V$1000,"Sub")),tblAct_RO[[#This Row],[Propio S3 (aux)]])))</calculatedColumnFormula>
    </tableColumn>
    <tableColumn id="37" name="Efectivo S4 (aux)">
      <calculatedColumnFormula>IF(tblAct_RO[[#This Row],[Tipo (aux)]]="","",IF(AND(ISNUMBER(tblAct_RO[[#This Row],[Fecha de cumplimiento]]),tblAct_RO[[#This Row],[Fecha de cumplimiento]]&lt;=IF(tblAct_RO[[#This Row],[Mes]]=MesCiclo,InicioCiclo,tblAct_RO[[#This Row],[Mes]]+MOD(2-WEEKDAY(tblAct_RO[[#This Row],[Mes]]),7))+27),1,IF(N(tblAct_RO[[#This Row],[N subactividades (aux)]])&gt;0,MIN(1,SUMIFS($AG$5:$AG$1000,$U$5:$U$1000,ROW(),$V$5:$V$1000,"Sub")),tblAct_RO[[#This Row],[Propio S4 (aux)]])))</calculatedColumnFormula>
    </tableColumn>
    <tableColumn id="38" name="Peso efectivo (aux)">
      <calculatedColumnFormula>IF(tblAct_RO[[#This Row],[Tipo (aux)]]&lt;&gt;"Macro","",IF(COUNTIFS($S$5:$S$1000,tblAct_RO[[#This Row],[Mes]],$V$5:$V$1000,"Macro",$H$5:$H$1000,"&gt;0")=0,1/COUNTIFS($S$5:$S$1000,tblAct_RO[[#This Row],[Mes]],$V$5:$V$1000,"Macro"),IF(AND(ISNUMBER(tblAct_RO[[#This Row],[Peso / % de la subactividad]]),N(tblAct_RO[[#This Row],[Peso / % de la subactividad]])&gt;0),tblAct_RO[[#This Row],[Peso / % de la subactividad]],SUMIFS($H$5:$H$1000,$S$5:$S$1000,tblAct_RO[[#This Row],[Mes]],$V$5:$V$1000,"Macro")/COUNTIFS($S$5:$S$1000,tblAct_RO[[#This Row],[Mes]],$V$5:$V$1000,"Macro",$H$5:$H$1000,"&gt;0"))/(COUNTIFS($S$5:$S$1000,tblAct_RO[[#This Row],[Mes]],$V$5:$V$1000,"Macro")*SUMIFS($H$5:$H$1000,$S$5:$S$1000,tblAct_RO[[#This Row],[Mes]],$V$5:$V$1000,"Macro")/COUNTIFS($S$5:$S$1000,tblAct_RO[[#This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IF(LEFT(tblAct_RO[[#This Row],[Actividad]],11)="[Jefatura] ",IFERROR(MATCH("Riesgo Operacional|"&amp;MID(tblAct_RO[[#This Row],[Actividad]],12,500),rDname_ADM,0),0),"")</calculatedColumnFormula>
    </tableColumn>
    <tableColumn id="44" name="Inicio efectivo (aux)">
      <calculatedColumnFormula>IF(N(tblAct_RO[[#This Row],[Fila en Administración (aux)]])&gt;0,INDEX(rIni_ADM,tblAct_RO[[#This Row],[Fila en Administración (aux)]]),IF(ISNUMBER(tblAct_RO[[#This Row],[Fecha de inicio]]),tblAct_RO[[#This Row],[Fecha de inicio]],""))</calculatedColumnFormula>
    </tableColumn>
    <tableColumn id="45" name="Límite efectivo (aux)">
      <calculatedColumnFormula>IF(N(tblAct_RO[[#This Row],[Fila en Administración (aux)]])&gt;0,INDEX(rLim_ADM,tblAct_RO[[#This Row],[Fila en Administración (aux)]]),IF(ISNUMBER(tblAct_RO[[#This Row],[Fecha límite]]),tblAct_RO[[#This Row],[Fecha límite]],""))</calculatedColumnFormula>
    </tableColumn>
  </tableColumns>
  <tableStyleInfo name="TableStyleLight1" showRowStripes="0"/>
</table>
</file>

<file path=xl/tables/table3.xml><?xml version="1.0" encoding="utf-8"?>
<table xmlns="http://schemas.openxmlformats.org/spreadsheetml/2006/main" id="3" name="tblSem_RO" displayName="tblSem_RO"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4.xml><?xml version="1.0" encoding="utf-8"?>
<table xmlns="http://schemas.openxmlformats.org/spreadsheetml/2006/main" id="4" name="tblAct_RN" displayName="tblAct_RN" ref="A4:AS304" headerRowCount="1">
  <autoFilter ref="A4:AS304"/>
  <tableColumns count="45">
    <tableColumn id="1" name="N°">
      <calculatedColumnFormula>IF(NOT((COUNTA(tblAct_RN[[#This Row],[Tipo]:[Delegar a]])+COUNTA(tblAct_RN[[#This Row],[Fecha de cumplimiento]:[Peso / % de la subactividad]])+COUNTA(tblAct_RN[[#This Row],[Observaciones]]))&gt;0),"",IF(tblAct_RN[[#This Row],[Tipo (aux)]]="Macro",COUNTIFS(INDEX(tblAct_RN[Tipo (aux)],1):tblAct_RN[[#This Row],[Tipo (aux)]],"Macro",INDEX(tblAct_RN[Mes],1):tblAct_RN[[#This Row],[Mes]],tblAct_RN[[#This Row],[Mes]]),IF(N(tblAct_RN[[#This Row],[Grupo (aux)]])=0,"?",COUNTIFS(INDEX($V$5:$V$1000,1):INDEX($V$5:$V$1000,tblAct_RN[[#This Row],[Grupo (aux)]]-4),"Macro",INDEX($S$5:$S$1000,1):INDEX($S$5:$S$1000,tblAct_RN[[#This Row],[Grupo (aux)]]-4),INDEX($S$5:$S$1000,tblAct_RN[[#This Row],[Grupo (aux)]]-4))&amp;"."&amp;COUNTIFS(INDEX(tblAct_RN[Grupo (aux)],1):tblAct_RN[[#This Row],[Grupo (aux)]],tblAct_RN[[#This Row],[Grupo (aux)]],INDEX(tblAct_RN[Tipo (aux)],1):tblAct_RN[[#This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IF(OR(NOT((COUNTA(tblAct_RN[[#This Row],[Tipo]:[Delegar a]])+COUNTA(tblAct_RN[[#This Row],[Fecha de cumplimiento]:[Peso / % de la subactividad]])+COUNTA(tblAct_RN[[#This Row],[Observaciones]]))&gt;0),tblAct_RN[[#This Row],[Tipo (aux)]]="Sub"),"",IF(ISNUMBER(tblAct_RN[[#This Row],[Fecha de cumplimiento]]),1,IF(N(tblAct_RN[[#This Row],[N subactividades (aux)]])&gt;0,MIN(1,SUMIFS($Y$5:$Y$1000,$U$5:$U$1000,ROW(),$V$5:$V$1000,"Sub")),tblAct_RN[[#This Row],[Avance propio (aux)]])))</calculatedColumnFormula>
    </tableColumn>
    <tableColumn id="14" name="Estado">
      <calculatedColumnFormula>IF(OR(tblAct_RN[[#This Row],[% de Avance Total Actual]]="",tblAct_RN[[#This Row],[Tipo (aux)]]="Sub"),"",IF(tblAct_RN[[#This Row],[% de Avance Total Actual]]&gt;=1,"Completado",IF(tblAct_RN[[#This Row],[% de Avance Total Actual]]&gt;0,"En curso","Pendiente")))</calculatedColumnFormula>
    </tableColumn>
    <tableColumn id="15" name="Alerta de plazo">
      <calculatedColumnFormula>IF(OR(NOT((COUNTA(tblAct_RN[[#This Row],[Tipo]:[Delegar a]])+COUNTA(tblAct_RN[[#This Row],[Fecha de cumplimiento]:[Peso / % de la subactividad]])+COUNTA(tblAct_RN[[#This Row],[Observaciones]]))&gt;0),tblAct_RN[[#This Row],[Tipo (aux)]]="Sub"),"",IF(ISNUMBER(tblAct_RN[[#This Row],[Fecha de cumplimiento]]),IF(AND(ISNUMBER(tblAct_RN[[#This Row],[Límite efectivo (aux)]]),tblAct_RN[[#This Row],[Fecha de cumplimiento]]&gt;tblAct_RN[[#This Row],[Límite efectivo (aux)]]),"Cumplida con "&amp;(tblAct_RN[[#This Row],[Fecha de cumplimiento]]-tblAct_RN[[#This Row],[Límite efectivo (aux)]])&amp;IF(tblAct_RN[[#This Row],[Fecha de cumplimiento]]-tblAct_RN[[#This Row],[Límite efectivo (aux)]]=1," día"," días")&amp;" de retraso","Cumplida"),IF(N(tblAct_RN[[#This Row],[% de Avance Total Actual]])&gt;=1,"Cumplida",IF(NOT(ISNUMBER(tblAct_RN[[#This Row],[Límite efectivo (aux)]])),"Sin fecha límite",IF(tblAct_RN[[#This Row],[Límite efectivo (aux)]]&lt;FechaRef,"Vencida hace "&amp;(FechaRef-tblAct_RN[[#This Row],[Límite efectivo (aux)]])&amp;IF(FechaRef-tblAct_RN[[#This Row],[Límite efectivo (aux)]]=1," día"," días"),IF(tblAct_RN[[#This Row],[Límite efectivo (aux)]]=FechaRef,"Vence hoy",IF(tblAct_RN[[#This Row],[Límite efectivo (aux)]]-FechaRef&lt;=DiasAlerta,"Vence en "&amp;(tblAct_RN[[#This Row],[Límite efectivo (aux)]]-FechaRef)&amp;IF(tblAct_RN[[#This Row],[Límite efectivo (aux)]]-FechaRef=1," día"," días"),"En plazo")))))))</calculatedColumnFormula>
    </tableColumn>
    <tableColumn id="16" name="Seguimiento de la delegación"/>
    <tableColumn id="17" name="Observaciones"/>
    <tableColumn id="18" name="Revisión automática (alertas)">
      <calculatedColumnFormula>IF(NOT((COUNTA(tblAct_RN[[#This Row],[Tipo]:[Delegar a]])+COUNTA(tblAct_RN[[#This Row],[Fecha de cumplimiento]:[Peso / % de la subactividad]])+COUNTA(tblAct_RN[[#This Row],[Observaciones]]))&gt;0),"",IF((IF(tblAct_RN[[#This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 OK","⚠ "&amp;LEFT(IF(tblAct_RN[[#This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",""),LEN(IF(tblAct_RN[[#This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",""))-3)))</calculatedColumnFormula>
    </tableColumn>
    <tableColumn id="19" name="Mes">
      <calculatedColumnFormula>IF(NOT((COUNTA(tblAct_RN[[#This Row],[Tipo]:[Delegar a]])+COUNTA(tblAct_RN[[#This Row],[Fecha de cumplimiento]:[Peso / % de la subactividad]])+COUNTA(tblAct_RN[[#This Row],[Observaciones]]))&gt;0),"",IF(AND(tblAct_RN[[#This Row],[Tipo (aux)]]="Sub",N(tblAct_RN[[#This Row],[Grupo (aux)]])&gt;0),IF(ISNUMBER(INDEX($AR$5:$AR$1000,tblAct_RN[[#This Row],[Grupo (aux)]]-4)),DATE(YEAR(INDEX($AR$5:$AR$1000,tblAct_RN[[#This Row],[Grupo (aux)]]-4)),MONTH(INDEX($AR$5:$AR$1000,tblAct_RN[[#This Row],[Grupo (aux)]]-4)),1),IF(ISNUMBER(INDEX($AS$5:$AS$1000,tblAct_RN[[#This Row],[Grupo (aux)]]-4)),DATE(YEAR(INDEX($AS$5:$AS$1000,tblAct_RN[[#This Row],[Grupo (aux)]]-4)),MONTH(INDEX($AS$5:$AS$1000,tblAct_RN[[#This Row],[Grupo (aux)]]-4)),1),MesCiclo)),IF(ISNUMBER(tblAct_RN[[#This Row],[Inicio efectivo (aux)]]),DATE(YEAR(tblAct_RN[[#This Row],[Inicio efectivo (aux)]]),MONTH(tblAct_RN[[#This Row],[Inicio efectivo (aux)]]),1),IF(ISNUMBER(tblAct_RN[[#This Row],[Límite efectivo (aux)]]),DATE(YEAR(tblAct_RN[[#This Row],[Límite efectivo (aux)]]),MONTH(tblAct_RN[[#This Row],[Límite efectivo (aux)]]),1),MesCiclo))))</calculatedColumnFormula>
    </tableColumn>
    <tableColumn id="20" name="Orden en el mes (aux)">
      <calculatedColumnFormula>IF(OR(tblAct_RN[[#This Row],[Mes]]="",tblAct_RN[[#This Row],[Mes]]&lt;&gt;MesCiclo,tblAct_RN[[#This Row],[Tipo (aux)]]&lt;&gt;"Macro"),"",COUNTIFS(INDEX(tblAct_RN[Mes],1):tblAct_RN[[#This Row],[Mes]],MesCiclo,INDEX(tblAct_RN[Tipo (aux)],1):tblAct_RN[[#This Row],[Tipo (aux)]],"Macro"))</calculatedColumnFormula>
    </tableColumn>
    <tableColumn id="21" name="Grupo (aux)">
      <calculatedColumnFormula>IF(tblAct_RN[[#This Row],[Tipo (aux)]]="","",IF(tblAct_RN[[#This Row],[Tipo (aux)]]="Macro",ROW(),IFERROR(LOOKUP(2,1/(INDEX(tblAct_RN[Tipo (aux)],1):tblAct_RN[[#This Row],[Tipo (aux)]]="Macro"),ROW(INDEX(tblAct_RN[Tipo (aux)],1):tblAct_RN[[#This Row],[Tipo (aux)]])),0)))</calculatedColumnFormula>
    </tableColumn>
    <tableColumn id="22" name="Tipo (aux)">
      <calculatedColumnFormula>IF(NOT((COUNTA(tblAct_RN[[#This Row],[Tipo]:[Delegar a]])+COUNTA(tblAct_RN[[#This Row],[Fecha de cumplimiento]:[Peso / % de la subactividad]])+COUNTA(tblAct_RN[[#This Row],[Observaciones]]))&gt;0),"",IF(tblAct_RN[[#This Row],[Tipo]]="Subactividad","Sub","Macro"))</calculatedColumnFormula>
    </tableColumn>
    <tableColumn id="23" name="N subactividades (aux)">
      <calculatedColumnFormula>IF(tblAct_RN[[#This Row],[Tipo (aux)]]="Macro",COUNTIFS($U$5:$U$1000,ROW(),$V$5:$V$1000,"Sub"),"")</calculatedColumnFormula>
    </tableColumn>
    <tableColumn id="24" name="% efectivo de la subactividad (aux)">
      <calculatedColumnFormula>IF(tblAct_RN[[#This Row],[Tipo (aux)]]&lt;&gt;"Sub","",IF(AND(ISNUMBER(tblAct_RN[[#This Row],[Peso / % de la subactividad]]),N(tblAct_RN[[#This Row],[Peso / % de la subactividad]])&gt;0),tblAct_RN[[#This Row],[Peso / % de la subactividad]],IFERROR(MAX(0,1-SUMIFS($H$5:$H$1000,$U$5:$U$1000,tblAct_RN[[#This Row],[Grupo (aux)]],$V$5:$V$1000,"Sub"))/(COUNTIFS($U$5:$U$1000,tblAct_RN[[#This Row],[Grupo (aux)]],$V$5:$V$1000,"Sub")-COUNTIFS($U$5:$U$1000,tblAct_RN[[#This Row],[Grupo (aux)]],$V$5:$V$1000,"Sub",$H$5:$H$1000,"&gt;0")),0)))</calculatedColumnFormula>
    </tableColumn>
    <tableColumn id="25" name="Avance propio (aux)">
      <calculatedColumnFormula>IF(tblAct_RN[[#This Row],[Tipo (aux)]]="","",IF(tblAct_RN[[#This Row],[Tipo (aux)]]="Sub",N(tblAct_RN[[#This Row],[% efectivo de la subactividad (aux)]])*IF(ISNUMBER(tblAct_RN[[#This Row],[Fecha de cumplimiento]]),1,MIN(1,MAX(0,IFERROR(LOOKUP(2,1/ISNUMBER(tblAct_RN[[#This Row],[Avance Semana 1 (%)]:[Avance Semana 4 (%)]]),tblAct_RN[[#This Row],[Avance Semana 1 (%)]:[Avance Semana 4 (%)]]),0)))),IF(ISNUMBER(tblAct_RN[[#This Row],[Fecha de cumplimiento]]),1,IFERROR(LOOKUP(2,1/(tblAct_RN[[#This Row],[Avance Semana 1 (%)]:[Avance Semana 4 (%)]]&lt;&gt;""),tblAct_RN[[#This Row],[Avance Semana 1 (%)]:[Avance Semana 4 (%)]]),0))))</calculatedColumnFormula>
    </tableColumn>
    <tableColumn id="26" name="Propio S1 (aux)">
      <calculatedColumnFormula>IF(tblAct_RN[[#This Row],[Tipo (aux)]]="","",IF(AND(ISNUMBER(tblAct_RN[[#This Row],[Fecha de cumplimiento]]),tblAct_RN[[#This Row],[Fecha de cumplimiento]]&lt;=IF(tblAct_RN[[#This Row],[Mes]]=MesCiclo,InicioCiclo,tblAct_RN[[#This Row],[Mes]]+MOD(2-WEEKDAY(tblAct_RN[[#This Row],[Mes]]),7))+6),1,IF(ISNUMBER(tblAct_RN[[#This Row],[Avance Semana 1 (%)]]),tblAct_RN[[#This Row],[Avance Semana 1 (%)]],0)))</calculatedColumnFormula>
    </tableColumn>
    <tableColumn id="27" name="Propio S2 (aux)">
      <calculatedColumnFormula>IF(tblAct_RN[[#This Row],[Tipo (aux)]]="","",IF(AND(ISNUMBER(tblAct_RN[[#This Row],[Fecha de cumplimiento]]),tblAct_RN[[#This Row],[Fecha de cumplimiento]]&lt;=IF(tblAct_RN[[#This Row],[Mes]]=MesCiclo,InicioCiclo,tblAct_RN[[#This Row],[Mes]]+MOD(2-WEEKDAY(tblAct_RN[[#This Row],[Mes]]),7))+13),1,IF(ISNUMBER(tblAct_RN[[#This Row],[Avance Semana 2 (%)]]),tblAct_RN[[#This Row],[Avance Semana 2 (%)]],tblAct_RN[[#This Row],[Propio S1 (aux)]])))</calculatedColumnFormula>
    </tableColumn>
    <tableColumn id="28" name="Propio S3 (aux)">
      <calculatedColumnFormula>IF(tblAct_RN[[#This Row],[Tipo (aux)]]="","",IF(AND(ISNUMBER(tblAct_RN[[#This Row],[Fecha de cumplimiento]]),tblAct_RN[[#This Row],[Fecha de cumplimiento]]&lt;=IF(tblAct_RN[[#This Row],[Mes]]=MesCiclo,InicioCiclo,tblAct_RN[[#This Row],[Mes]]+MOD(2-WEEKDAY(tblAct_RN[[#This Row],[Mes]]),7))+20),1,IF(ISNUMBER(tblAct_RN[[#This Row],[Avance Semana 3 (%)]]),tblAct_RN[[#This Row],[Avance Semana 3 (%)]],tblAct_RN[[#This Row],[Propio S2 (aux)]])))</calculatedColumnFormula>
    </tableColumn>
    <tableColumn id="29" name="Propio S4 (aux)">
      <calculatedColumnFormula>IF(tblAct_RN[[#This Row],[Tipo (aux)]]="","",IF(AND(ISNUMBER(tblAct_RN[[#This Row],[Fecha de cumplimiento]]),tblAct_RN[[#This Row],[Fecha de cumplimiento]]&lt;=IF(tblAct_RN[[#This Row],[Mes]]=MesCiclo,InicioCiclo,tblAct_RN[[#This Row],[Mes]]+MOD(2-WEEKDAY(tblAct_RN[[#This Row],[Mes]]),7))+27),1,IF(ISNUMBER(tblAct_RN[[#This Row],[Avance Semana 4 (%)]]),tblAct_RN[[#This Row],[Avance Semana 4 (%)]],tblAct_RN[[#This Row],[Propio S3 (aux)]])))</calculatedColumnFormula>
    </tableColumn>
    <tableColumn id="30" name="Sub cumplida S1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Row],[Mes]]),7))+6),1,MIN(1,MAX(0,IF(ISNUMBER(OFFSET(tblAct_RN[[#This Row],[Avance Semana 1 (%)]],0,0)),OFFSET(tblAct_RN[[#This Row],[Avance Semana 1 (%)]],0,0),0)))))</calculatedColumnFormula>
    </tableColumn>
    <tableColumn id="31" name="Sub cumplida S2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Row],[Mes]]),7))+13),1,MIN(1,MAX(0,IF(ISNUMBER(OFFSET(tblAct_RN[[#This Row],[Avance Semana 1 (%)]],0,1)),OFFSET(tblAct_RN[[#This Row],[Avance Semana 1 (%)]],0,1),IF(ISNUMBER(OFFSET(tblAct_RN[[#This Row],[Avance Semana 1 (%)]],0,0)),OFFSET(tblAct_RN[[#This Row],[Avance Semana 1 (%)]],0,0),0))))))</calculatedColumnFormula>
    </tableColumn>
    <tableColumn id="32" name="Sub cumplida S3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Row],[Mes]]),7))+20),1,MIN(1,MAX(0,IF(ISNUMBER(OFFSET(tblAct_RN[[#This Row],[Avance Semana 1 (%)]],0,2)),OFFSET(tblAct_RN[[#This Row],[Avance Semana 1 (%)]],0,2),IF(ISNUMBER(OFFSET(tblAct_RN[[#This Row],[Avance Semana 1 (%)]],0,1)),OFFSET(tblAct_RN[[#This Row],[Avance Semana 1 (%)]],0,1),IF(ISNUMBER(OFFSET(tblAct_RN[[#This Row],[Avance Semana 1 (%)]],0,0)),OFFSET(tblAct_RN[[#This Row],[Avance Semana 1 (%)]],0,0),0)))))))</calculatedColumnFormula>
    </tableColumn>
    <tableColumn id="33" name="Sub cumplida S4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Row],[Mes]]),7))+27),1,MIN(1,MAX(0,IF(ISNUMBER(OFFSET(tblAct_RN[[#This Row],[Avance Semana 1 (%)]],0,3)),OFFSET(tblAct_RN[[#This Row],[Avance Semana 1 (%)]],0,3),IF(ISNUMBER(OFFSET(tblAct_RN[[#This Row],[Avance Semana 1 (%)]],0,2)),OFFSET(tblAct_RN[[#This Row],[Avance Semana 1 (%)]],0,2),IF(ISNUMBER(OFFSET(tblAct_RN[[#This Row],[Avance Semana 1 (%)]],0,1)),OFFSET(tblAct_RN[[#This Row],[Avance Semana 1 (%)]],0,1),IF(ISNUMBER(OFFSET(tblAct_RN[[#This Row],[Avance Semana 1 (%)]],0,0)),OFFSET(tblAct_RN[[#This Row],[Avance Semana 1 (%)]],0,0),0))))))))</calculatedColumnFormula>
    </tableColumn>
    <tableColumn id="34" name="Efectivo S1 (aux)">
      <calculatedColumnFormula>IF(tblAct_RN[[#This Row],[Tipo (aux)]]="","",IF(AND(ISNUMBER(tblAct_RN[[#This Row],[Fecha de cumplimiento]]),tblAct_RN[[#This Row],[Fecha de cumplimiento]]&lt;=IF(tblAct_RN[[#This Row],[Mes]]=MesCiclo,InicioCiclo,tblAct_RN[[#This Row],[Mes]]+MOD(2-WEEKDAY(tblAct_RN[[#This Row],[Mes]]),7))+6),1,IF(N(tblAct_RN[[#This Row],[N subactividades (aux)]])&gt;0,MIN(1,SUMIFS($AD$5:$AD$1000,$U$5:$U$1000,ROW(),$V$5:$V$1000,"Sub")),tblAct_RN[[#This Row],[Propio S1 (aux)]])))</calculatedColumnFormula>
    </tableColumn>
    <tableColumn id="35" name="Efectivo S2 (aux)">
      <calculatedColumnFormula>IF(tblAct_RN[[#This Row],[Tipo (aux)]]="","",IF(AND(ISNUMBER(tblAct_RN[[#This Row],[Fecha de cumplimiento]]),tblAct_RN[[#This Row],[Fecha de cumplimiento]]&lt;=IF(tblAct_RN[[#This Row],[Mes]]=MesCiclo,InicioCiclo,tblAct_RN[[#This Row],[Mes]]+MOD(2-WEEKDAY(tblAct_RN[[#This Row],[Mes]]),7))+13),1,IF(N(tblAct_RN[[#This Row],[N subactividades (aux)]])&gt;0,MIN(1,SUMIFS($AE$5:$AE$1000,$U$5:$U$1000,ROW(),$V$5:$V$1000,"Sub")),tblAct_RN[[#This Row],[Propio S2 (aux)]])))</calculatedColumnFormula>
    </tableColumn>
    <tableColumn id="36" name="Efectivo S3 (aux)">
      <calculatedColumnFormula>IF(tblAct_RN[[#This Row],[Tipo (aux)]]="","",IF(AND(ISNUMBER(tblAct_RN[[#This Row],[Fecha de cumplimiento]]),tblAct_RN[[#This Row],[Fecha de cumplimiento]]&lt;=IF(tblAct_RN[[#This Row],[Mes]]=MesCiclo,InicioCiclo,tblAct_RN[[#This Row],[Mes]]+MOD(2-WEEKDAY(tblAct_RN[[#This Row],[Mes]]),7))+20),1,IF(N(tblAct_RN[[#This Row],[N subactividades (aux)]])&gt;0,MIN(1,SUMIFS($AF$5:$AF$1000,$U$5:$U$1000,ROW(),$V$5:$V$1000,"Sub")),tblAct_RN[[#This Row],[Propio S3 (aux)]])))</calculatedColumnFormula>
    </tableColumn>
    <tableColumn id="37" name="Efectivo S4 (aux)">
      <calculatedColumnFormula>IF(tblAct_RN[[#This Row],[Tipo (aux)]]="","",IF(AND(ISNUMBER(tblAct_RN[[#This Row],[Fecha de cumplimiento]]),tblAct_RN[[#This Row],[Fecha de cumplimiento]]&lt;=IF(tblAct_RN[[#This Row],[Mes]]=MesCiclo,InicioCiclo,tblAct_RN[[#This Row],[Mes]]+MOD(2-WEEKDAY(tblAct_RN[[#This Row],[Mes]]),7))+27),1,IF(N(tblAct_RN[[#This Row],[N subactividades (aux)]])&gt;0,MIN(1,SUMIFS($AG$5:$AG$1000,$U$5:$U$1000,ROW(),$V$5:$V$1000,"Sub")),tblAct_RN[[#This Row],[Propio S4 (aux)]])))</calculatedColumnFormula>
    </tableColumn>
    <tableColumn id="38" name="Peso efectivo (aux)">
      <calculatedColumnFormula>IF(tblAct_RN[[#This Row],[Tipo (aux)]]&lt;&gt;"Macro","",IF(COUNTIFS($S$5:$S$1000,tblAct_RN[[#This Row],[Mes]],$V$5:$V$1000,"Macro",$H$5:$H$1000,"&gt;0")=0,1/COUNTIFS($S$5:$S$1000,tblAct_RN[[#This Row],[Mes]],$V$5:$V$1000,"Macro"),IF(AND(ISNUMBER(tblAct_RN[[#This Row],[Peso / % de la subactividad]]),N(tblAct_RN[[#This Row],[Peso / % de la subactividad]])&gt;0),tblAct_RN[[#This Row],[Peso / % de la subactividad]],SUMIFS($H$5:$H$1000,$S$5:$S$1000,tblAct_RN[[#This Row],[Mes]],$V$5:$V$1000,"Macro")/COUNTIFS($S$5:$S$1000,tblAct_RN[[#This Row],[Mes]],$V$5:$V$1000,"Macro",$H$5:$H$1000,"&gt;0"))/(COUNTIFS($S$5:$S$1000,tblAct_RN[[#This Row],[Mes]],$V$5:$V$1000,"Macro")*SUMIFS($H$5:$H$1000,$S$5:$S$1000,tblAct_RN[[#This Row],[Mes]],$V$5:$V$1000,"Macro")/COUNTIFS($S$5:$S$1000,tblAct_RN[[#This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IF(LEFT(tblAct_RN[[#This Row],[Actividad]],11)="[Jefatura] ",IFERROR(MATCH("Riesgo Normativo|"&amp;MID(tblAct_RN[[#This Row],[Actividad]],12,500),rDname_ADM,0),0),"")</calculatedColumnFormula>
    </tableColumn>
    <tableColumn id="44" name="Inicio efectivo (aux)">
      <calculatedColumnFormula>IF(N(tblAct_RN[[#This Row],[Fila en Administración (aux)]])&gt;0,INDEX(rIni_ADM,tblAct_RN[[#This Row],[Fila en Administración (aux)]]),IF(ISNUMBER(tblAct_RN[[#This Row],[Fecha de inicio]]),tblAct_RN[[#This Row],[Fecha de inicio]],""))</calculatedColumnFormula>
    </tableColumn>
    <tableColumn id="45" name="Límite efectivo (aux)">
      <calculatedColumnFormula>IF(N(tblAct_RN[[#This Row],[Fila en Administración (aux)]])&gt;0,INDEX(rLim_ADM,tblAct_RN[[#This Row],[Fila en Administración (aux)]]),IF(ISNUMBER(tblAct_RN[[#This Row],[Fecha límite]]),tblAct_RN[[#This Row],[Fecha límite]],""))</calculatedColumnFormula>
    </tableColumn>
  </tableColumns>
  <tableStyleInfo name="TableStyleLight1" showRowStripes="0"/>
</table>
</file>

<file path=xl/tables/table5.xml><?xml version="1.0" encoding="utf-8"?>
<table xmlns="http://schemas.openxmlformats.org/spreadsheetml/2006/main" id="5" name="tblSem_RN" displayName="tblSem_RN"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6.xml><?xml version="1.0" encoding="utf-8"?>
<table xmlns="http://schemas.openxmlformats.org/spreadsheetml/2006/main" id="6" name="tblAct_RF" displayName="tblAct_RF" ref="A4:AS304" headerRowCount="1">
  <autoFilter ref="A4:AS304"/>
  <tableColumns count="45">
    <tableColumn id="1" name="N°">
      <calculatedColumnFormula>IF(NOT((COUNTA(tblAct_RF[[#This Row],[Tipo]:[Delegar a]])+COUNTA(tblAct_RF[[#This Row],[Fecha de cumplimiento]:[Peso / % de la subactividad]])+COUNTA(tblAct_RF[[#This Row],[Observaciones]]))&gt;0),"",IF(tblAct_RF[[#This Row],[Tipo (aux)]]="Macro",COUNTIFS(INDEX(tblAct_RF[Tipo (aux)],1):tblAct_RF[[#This Row],[Tipo (aux)]],"Macro",INDEX(tblAct_RF[Mes],1):tblAct_RF[[#This Row],[Mes]],tblAct_RF[[#This Row],[Mes]]),IF(N(tblAct_RF[[#This Row],[Grupo (aux)]])=0,"?",COUNTIFS(INDEX($V$5:$V$1000,1):INDEX($V$5:$V$1000,tblAct_RF[[#This Row],[Grupo (aux)]]-4),"Macro",INDEX($S$5:$S$1000,1):INDEX($S$5:$S$1000,tblAct_RF[[#This Row],[Grupo (aux)]]-4),INDEX($S$5:$S$1000,tblAct_RF[[#This Row],[Grupo (aux)]]-4))&amp;"."&amp;COUNTIFS(INDEX(tblAct_RF[Grupo (aux)],1):tblAct_RF[[#This Row],[Grupo (aux)]],tblAct_RF[[#This Row],[Grupo (aux)]],INDEX(tblAct_RF[Tipo (aux)],1):tblAct_RF[[#This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IF(OR(NOT((COUNTA(tblAct_RF[[#This Row],[Tipo]:[Delegar a]])+COUNTA(tblAct_RF[[#This Row],[Fecha de cumplimiento]:[Peso / % de la subactividad]])+COUNTA(tblAct_RF[[#This Row],[Observaciones]]))&gt;0),tblAct_RF[[#This Row],[Tipo (aux)]]="Sub"),"",IF(ISNUMBER(tblAct_RF[[#This Row],[Fecha de cumplimiento]]),1,IF(N(tblAct_RF[[#This Row],[N subactividades (aux)]])&gt;0,MIN(1,SUMIFS($Y$5:$Y$1000,$U$5:$U$1000,ROW(),$V$5:$V$1000,"Sub")),tblAct_RF[[#This Row],[Avance propio (aux)]])))</calculatedColumnFormula>
    </tableColumn>
    <tableColumn id="14" name="Estado">
      <calculatedColumnFormula>IF(OR(tblAct_RF[[#This Row],[% de Avance Total Actual]]="",tblAct_RF[[#This Row],[Tipo (aux)]]="Sub"),"",IF(tblAct_RF[[#This Row],[% de Avance Total Actual]]&gt;=1,"Completado",IF(tblAct_RF[[#This Row],[% de Avance Total Actual]]&gt;0,"En curso","Pendiente")))</calculatedColumnFormula>
    </tableColumn>
    <tableColumn id="15" name="Alerta de plazo">
      <calculatedColumnFormula>IF(OR(NOT((COUNTA(tblAct_RF[[#This Row],[Tipo]:[Delegar a]])+COUNTA(tblAct_RF[[#This Row],[Fecha de cumplimiento]:[Peso / % de la subactividad]])+COUNTA(tblAct_RF[[#This Row],[Observaciones]]))&gt;0),tblAct_RF[[#This Row],[Tipo (aux)]]="Sub"),"",IF(ISNUMBER(tblAct_RF[[#This Row],[Fecha de cumplimiento]]),IF(AND(ISNUMBER(tblAct_RF[[#This Row],[Límite efectivo (aux)]]),tblAct_RF[[#This Row],[Fecha de cumplimiento]]&gt;tblAct_RF[[#This Row],[Límite efectivo (aux)]]),"Cumplida con "&amp;(tblAct_RF[[#This Row],[Fecha de cumplimiento]]-tblAct_RF[[#This Row],[Límite efectivo (aux)]])&amp;IF(tblAct_RF[[#This Row],[Fecha de cumplimiento]]-tblAct_RF[[#This Row],[Límite efectivo (aux)]]=1," día"," días")&amp;" de retraso","Cumplida"),IF(N(tblAct_RF[[#This Row],[% de Avance Total Actual]])&gt;=1,"Cumplida",IF(NOT(ISNUMBER(tblAct_RF[[#This Row],[Límite efectivo (aux)]])),"Sin fecha límite",IF(tblAct_RF[[#This Row],[Límite efectivo (aux)]]&lt;FechaRef,"Vencida hace "&amp;(FechaRef-tblAct_RF[[#This Row],[Límite efectivo (aux)]])&amp;IF(FechaRef-tblAct_RF[[#This Row],[Límite efectivo (aux)]]=1," día"," días"),IF(tblAct_RF[[#This Row],[Límite efectivo (aux)]]=FechaRef,"Vence hoy",IF(tblAct_RF[[#This Row],[Límite efectivo (aux)]]-FechaRef&lt;=DiasAlerta,"Vence en "&amp;(tblAct_RF[[#This Row],[Límite efectivo (aux)]]-FechaRef)&amp;IF(tblAct_RF[[#This Row],[Límite efectivo (aux)]]-FechaRef=1," día"," días"),"En plazo")))))))</calculatedColumnFormula>
    </tableColumn>
    <tableColumn id="16" name="Seguimiento de la delegación"/>
    <tableColumn id="17" name="Observaciones"/>
    <tableColumn id="18" name="Revisión automática (alertas)">
      <calculatedColumnFormula>IF(NOT((COUNTA(tblAct_RF[[#This Row],[Tipo]:[Delegar a]])+COUNTA(tblAct_RF[[#This Row],[Fecha de cumplimiento]:[Peso / % de la subactividad]])+COUNTA(tblAct_RF[[#This Row],[Observaciones]]))&gt;0),"",IF((IF(tblAct_RF[[#This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 OK","⚠ "&amp;LEFT(IF(tblAct_RF[[#This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",""),LEN(IF(tblAct_RF[[#This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",""))-3)))</calculatedColumnFormula>
    </tableColumn>
    <tableColumn id="19" name="Mes">
      <calculatedColumnFormula>IF(NOT((COUNTA(tblAct_RF[[#This Row],[Tipo]:[Delegar a]])+COUNTA(tblAct_RF[[#This Row],[Fecha de cumplimiento]:[Peso / % de la subactividad]])+COUNTA(tblAct_RF[[#This Row],[Observaciones]]))&gt;0),"",IF(AND(tblAct_RF[[#This Row],[Tipo (aux)]]="Sub",N(tblAct_RF[[#This Row],[Grupo (aux)]])&gt;0),IF(ISNUMBER(INDEX($AR$5:$AR$1000,tblAct_RF[[#This Row],[Grupo (aux)]]-4)),DATE(YEAR(INDEX($AR$5:$AR$1000,tblAct_RF[[#This Row],[Grupo (aux)]]-4)),MONTH(INDEX($AR$5:$AR$1000,tblAct_RF[[#This Row],[Grupo (aux)]]-4)),1),IF(ISNUMBER(INDEX($AS$5:$AS$1000,tblAct_RF[[#This Row],[Grupo (aux)]]-4)),DATE(YEAR(INDEX($AS$5:$AS$1000,tblAct_RF[[#This Row],[Grupo (aux)]]-4)),MONTH(INDEX($AS$5:$AS$1000,tblAct_RF[[#This Row],[Grupo (aux)]]-4)),1),MesCiclo)),IF(ISNUMBER(tblAct_RF[[#This Row],[Inicio efectivo (aux)]]),DATE(YEAR(tblAct_RF[[#This Row],[Inicio efectivo (aux)]]),MONTH(tblAct_RF[[#This Row],[Inicio efectivo (aux)]]),1),IF(ISNUMBER(tblAct_RF[[#This Row],[Límite efectivo (aux)]]),DATE(YEAR(tblAct_RF[[#This Row],[Límite efectivo (aux)]]),MONTH(tblAct_RF[[#This Row],[Límite efectivo (aux)]]),1),MesCiclo))))</calculatedColumnFormula>
    </tableColumn>
    <tableColumn id="20" name="Orden en el mes (aux)">
      <calculatedColumnFormula>IF(OR(tblAct_RF[[#This Row],[Mes]]="",tblAct_RF[[#This Row],[Mes]]&lt;&gt;MesCiclo,tblAct_RF[[#This Row],[Tipo (aux)]]&lt;&gt;"Macro"),"",COUNTIFS(INDEX(tblAct_RF[Mes],1):tblAct_RF[[#This Row],[Mes]],MesCiclo,INDEX(tblAct_RF[Tipo (aux)],1):tblAct_RF[[#This Row],[Tipo (aux)]],"Macro"))</calculatedColumnFormula>
    </tableColumn>
    <tableColumn id="21" name="Grupo (aux)">
      <calculatedColumnFormula>IF(tblAct_RF[[#This Row],[Tipo (aux)]]="","",IF(tblAct_RF[[#This Row],[Tipo (aux)]]="Macro",ROW(),IFERROR(LOOKUP(2,1/(INDEX(tblAct_RF[Tipo (aux)],1):tblAct_RF[[#This Row],[Tipo (aux)]]="Macro"),ROW(INDEX(tblAct_RF[Tipo (aux)],1):tblAct_RF[[#This Row],[Tipo (aux)]])),0)))</calculatedColumnFormula>
    </tableColumn>
    <tableColumn id="22" name="Tipo (aux)">
      <calculatedColumnFormula>IF(NOT((COUNTA(tblAct_RF[[#This Row],[Tipo]:[Delegar a]])+COUNTA(tblAct_RF[[#This Row],[Fecha de cumplimiento]:[Peso / % de la subactividad]])+COUNTA(tblAct_RF[[#This Row],[Observaciones]]))&gt;0),"",IF(tblAct_RF[[#This Row],[Tipo]]="Subactividad","Sub","Macro"))</calculatedColumnFormula>
    </tableColumn>
    <tableColumn id="23" name="N subactividades (aux)">
      <calculatedColumnFormula>IF(tblAct_RF[[#This Row],[Tipo (aux)]]="Macro",COUNTIFS($U$5:$U$1000,ROW(),$V$5:$V$1000,"Sub"),"")</calculatedColumnFormula>
    </tableColumn>
    <tableColumn id="24" name="% efectivo de la subactividad (aux)">
      <calculatedColumnFormula>IF(tblAct_RF[[#This Row],[Tipo (aux)]]&lt;&gt;"Sub","",IF(AND(ISNUMBER(tblAct_RF[[#This Row],[Peso / % de la subactividad]]),N(tblAct_RF[[#This Row],[Peso / % de la subactividad]])&gt;0),tblAct_RF[[#This Row],[Peso / % de la subactividad]],IFERROR(MAX(0,1-SUMIFS($H$5:$H$1000,$U$5:$U$1000,tblAct_RF[[#This Row],[Grupo (aux)]],$V$5:$V$1000,"Sub"))/(COUNTIFS($U$5:$U$1000,tblAct_RF[[#This Row],[Grupo (aux)]],$V$5:$V$1000,"Sub")-COUNTIFS($U$5:$U$1000,tblAct_RF[[#This Row],[Grupo (aux)]],$V$5:$V$1000,"Sub",$H$5:$H$1000,"&gt;0")),0)))</calculatedColumnFormula>
    </tableColumn>
    <tableColumn id="25" name="Avance propio (aux)">
      <calculatedColumnFormula>IF(tblAct_RF[[#This Row],[Tipo (aux)]]="","",IF(tblAct_RF[[#This Row],[Tipo (aux)]]="Sub",N(tblAct_RF[[#This Row],[% efectivo de la subactividad (aux)]])*IF(ISNUMBER(tblAct_RF[[#This Row],[Fecha de cumplimiento]]),1,MIN(1,MAX(0,IFERROR(LOOKUP(2,1/ISNUMBER(tblAct_RF[[#This Row],[Avance Semana 1 (%)]:[Avance Semana 4 (%)]]),tblAct_RF[[#This Row],[Avance Semana 1 (%)]:[Avance Semana 4 (%)]]),0)))),IF(ISNUMBER(tblAct_RF[[#This Row],[Fecha de cumplimiento]]),1,IFERROR(LOOKUP(2,1/(tblAct_RF[[#This Row],[Avance Semana 1 (%)]:[Avance Semana 4 (%)]]&lt;&gt;""),tblAct_RF[[#This Row],[Avance Semana 1 (%)]:[Avance Semana 4 (%)]]),0))))</calculatedColumnFormula>
    </tableColumn>
    <tableColumn id="26" name="Propio S1 (aux)">
      <calculatedColumnFormula>IF(tblAct_RF[[#This Row],[Tipo (aux)]]="","",IF(AND(ISNUMBER(tblAct_RF[[#This Row],[Fecha de cumplimiento]]),tblAct_RF[[#This Row],[Fecha de cumplimiento]]&lt;=IF(tblAct_RF[[#This Row],[Mes]]=MesCiclo,InicioCiclo,tblAct_RF[[#This Row],[Mes]]+MOD(2-WEEKDAY(tblAct_RF[[#This Row],[Mes]]),7))+6),1,IF(ISNUMBER(tblAct_RF[[#This Row],[Avance Semana 1 (%)]]),tblAct_RF[[#This Row],[Avance Semana 1 (%)]],0)))</calculatedColumnFormula>
    </tableColumn>
    <tableColumn id="27" name="Propio S2 (aux)">
      <calculatedColumnFormula>IF(tblAct_RF[[#This Row],[Tipo (aux)]]="","",IF(AND(ISNUMBER(tblAct_RF[[#This Row],[Fecha de cumplimiento]]),tblAct_RF[[#This Row],[Fecha de cumplimiento]]&lt;=IF(tblAct_RF[[#This Row],[Mes]]=MesCiclo,InicioCiclo,tblAct_RF[[#This Row],[Mes]]+MOD(2-WEEKDAY(tblAct_RF[[#This Row],[Mes]]),7))+13),1,IF(ISNUMBER(tblAct_RF[[#This Row],[Avance Semana 2 (%)]]),tblAct_RF[[#This Row],[Avance Semana 2 (%)]],tblAct_RF[[#This Row],[Propio S1 (aux)]])))</calculatedColumnFormula>
    </tableColumn>
    <tableColumn id="28" name="Propio S3 (aux)">
      <calculatedColumnFormula>IF(tblAct_RF[[#This Row],[Tipo (aux)]]="","",IF(AND(ISNUMBER(tblAct_RF[[#This Row],[Fecha de cumplimiento]]),tblAct_RF[[#This Row],[Fecha de cumplimiento]]&lt;=IF(tblAct_RF[[#This Row],[Mes]]=MesCiclo,InicioCiclo,tblAct_RF[[#This Row],[Mes]]+MOD(2-WEEKDAY(tblAct_RF[[#This Row],[Mes]]),7))+20),1,IF(ISNUMBER(tblAct_RF[[#This Row],[Avance Semana 3 (%)]]),tblAct_RF[[#This Row],[Avance Semana 3 (%)]],tblAct_RF[[#This Row],[Propio S2 (aux)]])))</calculatedColumnFormula>
    </tableColumn>
    <tableColumn id="29" name="Propio S4 (aux)">
      <calculatedColumnFormula>IF(tblAct_RF[[#This Row],[Tipo (aux)]]="","",IF(AND(ISNUMBER(tblAct_RF[[#This Row],[Fecha de cumplimiento]]),tblAct_RF[[#This Row],[Fecha de cumplimiento]]&lt;=IF(tblAct_RF[[#This Row],[Mes]]=MesCiclo,InicioCiclo,tblAct_RF[[#This Row],[Mes]]+MOD(2-WEEKDAY(tblAct_RF[[#This Row],[Mes]]),7))+27),1,IF(ISNUMBER(tblAct_RF[[#This Row],[Avance Semana 4 (%)]]),tblAct_RF[[#This Row],[Avance Semana 4 (%)]],tblAct_RF[[#This Row],[Propio S3 (aux)]])))</calculatedColumnFormula>
    </tableColumn>
    <tableColumn id="30" name="Sub cumplida S1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Row],[Mes]]),7))+6),1,MIN(1,MAX(0,IF(ISNUMBER(OFFSET(tblAct_RF[[#This Row],[Avance Semana 1 (%)]],0,0)),OFFSET(tblAct_RF[[#This Row],[Avance Semana 1 (%)]],0,0),0)))))</calculatedColumnFormula>
    </tableColumn>
    <tableColumn id="31" name="Sub cumplida S2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Row],[Mes]]),7))+13),1,MIN(1,MAX(0,IF(ISNUMBER(OFFSET(tblAct_RF[[#This Row],[Avance Semana 1 (%)]],0,1)),OFFSET(tblAct_RF[[#This Row],[Avance Semana 1 (%)]],0,1),IF(ISNUMBER(OFFSET(tblAct_RF[[#This Row],[Avance Semana 1 (%)]],0,0)),OFFSET(tblAct_RF[[#This Row],[Avance Semana 1 (%)]],0,0),0))))))</calculatedColumnFormula>
    </tableColumn>
    <tableColumn id="32" name="Sub cumplida S3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Row],[Mes]]),7))+20),1,MIN(1,MAX(0,IF(ISNUMBER(OFFSET(tblAct_RF[[#This Row],[Avance Semana 1 (%)]],0,2)),OFFSET(tblAct_RF[[#This Row],[Avance Semana 1 (%)]],0,2),IF(ISNUMBER(OFFSET(tblAct_RF[[#This Row],[Avance Semana 1 (%)]],0,1)),OFFSET(tblAct_RF[[#This Row],[Avance Semana 1 (%)]],0,1),IF(ISNUMBER(OFFSET(tblAct_RF[[#This Row],[Avance Semana 1 (%)]],0,0)),OFFSET(tblAct_RF[[#This Row],[Avance Semana 1 (%)]],0,0),0)))))))</calculatedColumnFormula>
    </tableColumn>
    <tableColumn id="33" name="Sub cumplida S4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Row],[Mes]]),7))+27),1,MIN(1,MAX(0,IF(ISNUMBER(OFFSET(tblAct_RF[[#This Row],[Avance Semana 1 (%)]],0,3)),OFFSET(tblAct_RF[[#This Row],[Avance Semana 1 (%)]],0,3),IF(ISNUMBER(OFFSET(tblAct_RF[[#This Row],[Avance Semana 1 (%)]],0,2)),OFFSET(tblAct_RF[[#This Row],[Avance Semana 1 (%)]],0,2),IF(ISNUMBER(OFFSET(tblAct_RF[[#This Row],[Avance Semana 1 (%)]],0,1)),OFFSET(tblAct_RF[[#This Row],[Avance Semana 1 (%)]],0,1),IF(ISNUMBER(OFFSET(tblAct_RF[[#This Row],[Avance Semana 1 (%)]],0,0)),OFFSET(tblAct_RF[[#This Row],[Avance Semana 1 (%)]],0,0),0))))))))</calculatedColumnFormula>
    </tableColumn>
    <tableColumn id="34" name="Efectivo S1 (aux)">
      <calculatedColumnFormula>IF(tblAct_RF[[#This Row],[Tipo (aux)]]="","",IF(AND(ISNUMBER(tblAct_RF[[#This Row],[Fecha de cumplimiento]]),tblAct_RF[[#This Row],[Fecha de cumplimiento]]&lt;=IF(tblAct_RF[[#This Row],[Mes]]=MesCiclo,InicioCiclo,tblAct_RF[[#This Row],[Mes]]+MOD(2-WEEKDAY(tblAct_RF[[#This Row],[Mes]]),7))+6),1,IF(N(tblAct_RF[[#This Row],[N subactividades (aux)]])&gt;0,MIN(1,SUMIFS($AD$5:$AD$1000,$U$5:$U$1000,ROW(),$V$5:$V$1000,"Sub")),tblAct_RF[[#This Row],[Propio S1 (aux)]])))</calculatedColumnFormula>
    </tableColumn>
    <tableColumn id="35" name="Efectivo S2 (aux)">
      <calculatedColumnFormula>IF(tblAct_RF[[#This Row],[Tipo (aux)]]="","",IF(AND(ISNUMBER(tblAct_RF[[#This Row],[Fecha de cumplimiento]]),tblAct_RF[[#This Row],[Fecha de cumplimiento]]&lt;=IF(tblAct_RF[[#This Row],[Mes]]=MesCiclo,InicioCiclo,tblAct_RF[[#This Row],[Mes]]+MOD(2-WEEKDAY(tblAct_RF[[#This Row],[Mes]]),7))+13),1,IF(N(tblAct_RF[[#This Row],[N subactividades (aux)]])&gt;0,MIN(1,SUMIFS($AE$5:$AE$1000,$U$5:$U$1000,ROW(),$V$5:$V$1000,"Sub")),tblAct_RF[[#This Row],[Propio S2 (aux)]])))</calculatedColumnFormula>
    </tableColumn>
    <tableColumn id="36" name="Efectivo S3 (aux)">
      <calculatedColumnFormula>IF(tblAct_RF[[#This Row],[Tipo (aux)]]="","",IF(AND(ISNUMBER(tblAct_RF[[#This Row],[Fecha de cumplimiento]]),tblAct_RF[[#This Row],[Fecha de cumplimiento]]&lt;=IF(tblAct_RF[[#This Row],[Mes]]=MesCiclo,InicioCiclo,tblAct_RF[[#This Row],[Mes]]+MOD(2-WEEKDAY(tblAct_RF[[#This Row],[Mes]]),7))+20),1,IF(N(tblAct_RF[[#This Row],[N subactividades (aux)]])&gt;0,MIN(1,SUMIFS($AF$5:$AF$1000,$U$5:$U$1000,ROW(),$V$5:$V$1000,"Sub")),tblAct_RF[[#This Row],[Propio S3 (aux)]])))</calculatedColumnFormula>
    </tableColumn>
    <tableColumn id="37" name="Efectivo S4 (aux)">
      <calculatedColumnFormula>IF(tblAct_RF[[#This Row],[Tipo (aux)]]="","",IF(AND(ISNUMBER(tblAct_RF[[#This Row],[Fecha de cumplimiento]]),tblAct_RF[[#This Row],[Fecha de cumplimiento]]&lt;=IF(tblAct_RF[[#This Row],[Mes]]=MesCiclo,InicioCiclo,tblAct_RF[[#This Row],[Mes]]+MOD(2-WEEKDAY(tblAct_RF[[#This Row],[Mes]]),7))+27),1,IF(N(tblAct_RF[[#This Row],[N subactividades (aux)]])&gt;0,MIN(1,SUMIFS($AG$5:$AG$1000,$U$5:$U$1000,ROW(),$V$5:$V$1000,"Sub")),tblAct_RF[[#This Row],[Propio S4 (aux)]])))</calculatedColumnFormula>
    </tableColumn>
    <tableColumn id="38" name="Peso efectivo (aux)">
      <calculatedColumnFormula>IF(tblAct_RF[[#This Row],[Tipo (aux)]]&lt;&gt;"Macro","",IF(COUNTIFS($S$5:$S$1000,tblAct_RF[[#This Row],[Mes]],$V$5:$V$1000,"Macro",$H$5:$H$1000,"&gt;0")=0,1/COUNTIFS($S$5:$S$1000,tblAct_RF[[#This Row],[Mes]],$V$5:$V$1000,"Macro"),IF(AND(ISNUMBER(tblAct_RF[[#This Row],[Peso / % de la subactividad]]),N(tblAct_RF[[#This Row],[Peso / % de la subactividad]])&gt;0),tblAct_RF[[#This Row],[Peso / % de la subactividad]],SUMIFS($H$5:$H$1000,$S$5:$S$1000,tblAct_RF[[#This Row],[Mes]],$V$5:$V$1000,"Macro")/COUNTIFS($S$5:$S$1000,tblAct_RF[[#This Row],[Mes]],$V$5:$V$1000,"Macro",$H$5:$H$1000,"&gt;0"))/(COUNTIFS($S$5:$S$1000,tblAct_RF[[#This Row],[Mes]],$V$5:$V$1000,"Macro")*SUMIFS($H$5:$H$1000,$S$5:$S$1000,tblAct_RF[[#This Row],[Mes]],$V$5:$V$1000,"Macro")/COUNTIFS($S$5:$S$1000,tblAct_RF[[#This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IF(LEFT(tblAct_RF[[#This Row],[Actividad]],11)="[Jefatura] ",IFERROR(MATCH("Riesgo Financiero|"&amp;MID(tblAct_RF[[#This Row],[Actividad]],12,500),rDname_ADM,0),0),"")</calculatedColumnFormula>
    </tableColumn>
    <tableColumn id="44" name="Inicio efectivo (aux)">
      <calculatedColumnFormula>IF(N(tblAct_RF[[#This Row],[Fila en Administración (aux)]])&gt;0,INDEX(rIni_ADM,tblAct_RF[[#This Row],[Fila en Administración (aux)]]),IF(ISNUMBER(tblAct_RF[[#This Row],[Fecha de inicio]]),tblAct_RF[[#This Row],[Fecha de inicio]],""))</calculatedColumnFormula>
    </tableColumn>
    <tableColumn id="45" name="Límite efectivo (aux)">
      <calculatedColumnFormula>IF(N(tblAct_RF[[#This Row],[Fila en Administración (aux)]])&gt;0,INDEX(rLim_ADM,tblAct_RF[[#This Row],[Fila en Administración (aux)]]),IF(ISNUMBER(tblAct_RF[[#This Row],[Fecha límite]]),tblAct_RF[[#This Row],[Fecha límite]],""))</calculatedColumnFormula>
    </tableColumn>
  </tableColumns>
  <tableStyleInfo name="TableStyleLight1" showRowStripes="0"/>
</table>
</file>

<file path=xl/tables/table7.xml><?xml version="1.0" encoding="utf-8"?>
<table xmlns="http://schemas.openxmlformats.org/spreadsheetml/2006/main" id="7" name="tblSem_RF" displayName="tblSem_RF"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8.xml><?xml version="1.0" encoding="utf-8"?>
<table xmlns="http://schemas.openxmlformats.org/spreadsheetml/2006/main" id="8" name="tblAct_ATR" displayName="tblAct_ATR" ref="A4:AS304" headerRowCount="1">
  <autoFilter ref="A4:AS304"/>
  <tableColumns count="45">
    <tableColumn id="1" name="N°">
      <calculatedColumnFormula>IF(NOT((COUNTA(tblAct_ATR[[#This Row],[Tipo]:[Delegar a]])+COUNTA(tblAct_ATR[[#This Row],[Fecha de cumplimiento]:[Peso / % de la subactividad]])+COUNTA(tblAct_ATR[[#This Row],[Observaciones]]))&gt;0),"",IF(tblAct_ATR[[#This Row],[Tipo (aux)]]="Macro",COUNTIFS(INDEX(tblAct_ATR[Tipo (aux)],1):tblAct_ATR[[#This Row],[Tipo (aux)]],"Macro",INDEX(tblAct_ATR[Mes],1):tblAct_ATR[[#This Row],[Mes]],tblAct_ATR[[#This Row],[Mes]]),IF(N(tblAct_ATR[[#This Row],[Grupo (aux)]])=0,"?",COUNTIFS(INDEX($V$5:$V$1000,1):INDEX($V$5:$V$1000,tblAct_ATR[[#This Row],[Grupo (aux)]]-4),"Macro",INDEX($S$5:$S$1000,1):INDEX($S$5:$S$1000,tblAct_ATR[[#This Row],[Grupo (aux)]]-4),INDEX($S$5:$S$1000,tblAct_ATR[[#This Row],[Grupo (aux)]]-4))&amp;"."&amp;COUNTIFS(INDEX(tblAct_ATR[Grupo (aux)],1):tblAct_ATR[[#This Row],[Grupo (aux)]],tblAct_ATR[[#This Row],[Grupo (aux)]],INDEX(tblAct_ATR[Tipo (aux)],1):tblAct_ATR[[#This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IF(OR(NOT((COUNTA(tblAct_ATR[[#This Row],[Tipo]:[Delegar a]])+COUNTA(tblAct_ATR[[#This Row],[Fecha de cumplimiento]:[Peso / % de la subactividad]])+COUNTA(tblAct_ATR[[#This Row],[Observaciones]]))&gt;0),tblAct_ATR[[#This Row],[Tipo (aux)]]="Sub"),"",IF(ISNUMBER(tblAct_ATR[[#This Row],[Fecha de cumplimiento]]),1,IF(N(tblAct_ATR[[#This Row],[N subactividades (aux)]])&gt;0,MIN(1,SUMIFS($Y$5:$Y$1000,$U$5:$U$1000,ROW(),$V$5:$V$1000,"Sub")),tblAct_ATR[[#This Row],[Avance propio (aux)]])))</calculatedColumnFormula>
    </tableColumn>
    <tableColumn id="14" name="Estado">
      <calculatedColumnFormula>IF(OR(tblAct_ATR[[#This Row],[% de Avance Total Actual]]="",tblAct_ATR[[#This Row],[Tipo (aux)]]="Sub"),"",IF(tblAct_ATR[[#This Row],[% de Avance Total Actual]]&gt;=1,"Completado",IF(tblAct_ATR[[#This Row],[% de Avance Total Actual]]&gt;0,"En curso","Pendiente")))</calculatedColumnFormula>
    </tableColumn>
    <tableColumn id="15" name="Alerta de plazo">
      <calculatedColumnFormula>IF(OR(NOT((COUNTA(tblAct_ATR[[#This Row],[Tipo]:[Delegar a]])+COUNTA(tblAct_ATR[[#This Row],[Fecha de cumplimiento]:[Peso / % de la subactividad]])+COUNTA(tblAct_ATR[[#This Row],[Observaciones]]))&gt;0),tblAct_ATR[[#This Row],[Tipo (aux)]]="Sub"),"",IF(ISNUMBER(tblAct_ATR[[#This Row],[Fecha de cumplimiento]]),IF(AND(ISNUMBER(tblAct_ATR[[#This Row],[Límite efectivo (aux)]]),tblAct_ATR[[#This Row],[Fecha de cumplimiento]]&gt;tblAct_ATR[[#This Row],[Límite efectivo (aux)]]),"Cumplida con "&amp;(tblAct_ATR[[#This Row],[Fecha de cumplimiento]]-tblAct_ATR[[#This Row],[Límite efectivo (aux)]])&amp;IF(tblAct_ATR[[#This Row],[Fecha de cumplimiento]]-tblAct_ATR[[#This Row],[Límite efectivo (aux)]]=1," día"," días")&amp;" de retraso","Cumplida"),IF(N(tblAct_ATR[[#This Row],[% de Avance Total Actual]])&gt;=1,"Cumplida",IF(NOT(ISNUMBER(tblAct_ATR[[#This Row],[Límite efectivo (aux)]])),"Sin fecha límite",IF(tblAct_ATR[[#This Row],[Límite efectivo (aux)]]&lt;FechaRef,"Vencida hace "&amp;(FechaRef-tblAct_ATR[[#This Row],[Límite efectivo (aux)]])&amp;IF(FechaRef-tblAct_ATR[[#This Row],[Límite efectivo (aux)]]=1," día"," días"),IF(tblAct_ATR[[#This Row],[Límite efectivo (aux)]]=FechaRef,"Vence hoy",IF(tblAct_ATR[[#This Row],[Límite efectivo (aux)]]-FechaRef&lt;=DiasAlerta,"Vence en "&amp;(tblAct_ATR[[#This Row],[Límite efectivo (aux)]]-FechaRef)&amp;IF(tblAct_ATR[[#This Row],[Límite efectivo (aux)]]-FechaRef=1," día"," días"),"En plazo")))))))</calculatedColumnFormula>
    </tableColumn>
    <tableColumn id="16" name="Seguimiento de la delegación"/>
    <tableColumn id="17" name="Observaciones"/>
    <tableColumn id="18" name="Revisión automática (alertas)">
      <calculatedColumnFormula>IF(NOT((COUNTA(tblAct_ATR[[#This Row],[Tipo]:[Delegar a]])+COUNTA(tblAct_ATR[[#This Row],[Fecha de cumplimiento]:[Peso / % de la subactividad]])+COUNTA(tblAct_ATR[[#This Row],[Observaciones]]))&gt;0),"",IF((IF(tblAct_ATR[[#This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 OK","⚠ "&amp;LEFT(IF(tblAct_ATR[[#This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",""),LEN(IF(tblAct_ATR[[#This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",""))-3)))</calculatedColumnFormula>
    </tableColumn>
    <tableColumn id="19" name="Mes">
      <calculatedColumnFormula>IF(NOT((COUNTA(tblAct_ATR[[#This Row],[Tipo]:[Delegar a]])+COUNTA(tblAct_ATR[[#This Row],[Fecha de cumplimiento]:[Peso / % de la subactividad]])+COUNTA(tblAct_ATR[[#This Row],[Observaciones]]))&gt;0),"",IF(AND(tblAct_ATR[[#This Row],[Tipo (aux)]]="Sub",N(tblAct_ATR[[#This Row],[Grupo (aux)]])&gt;0),IF(ISNUMBER(INDEX($AR$5:$AR$1000,tblAct_ATR[[#This Row],[Grupo (aux)]]-4)),DATE(YEAR(INDEX($AR$5:$AR$1000,tblAct_ATR[[#This Row],[Grupo (aux)]]-4)),MONTH(INDEX($AR$5:$AR$1000,tblAct_ATR[[#This Row],[Grupo (aux)]]-4)),1),IF(ISNUMBER(INDEX($AS$5:$AS$1000,tblAct_ATR[[#This Row],[Grupo (aux)]]-4)),DATE(YEAR(INDEX($AS$5:$AS$1000,tblAct_ATR[[#This Row],[Grupo (aux)]]-4)),MONTH(INDEX($AS$5:$AS$1000,tblAct_ATR[[#This Row],[Grupo (aux)]]-4)),1),MesCiclo)),IF(ISNUMBER(tblAct_ATR[[#This Row],[Inicio efectivo (aux)]]),DATE(YEAR(tblAct_ATR[[#This Row],[Inicio efectivo (aux)]]),MONTH(tblAct_ATR[[#This Row],[Inicio efectivo (aux)]]),1),IF(ISNUMBER(tblAct_ATR[[#This Row],[Límite efectivo (aux)]]),DATE(YEAR(tblAct_ATR[[#This Row],[Límite efectivo (aux)]]),MONTH(tblAct_ATR[[#This Row],[Límite efectivo (aux)]]),1),MesCiclo))))</calculatedColumnFormula>
    </tableColumn>
    <tableColumn id="20" name="Orden en el mes (aux)">
      <calculatedColumnFormula>IF(OR(tblAct_ATR[[#This Row],[Mes]]="",tblAct_ATR[[#This Row],[Mes]]&lt;&gt;MesCiclo,tblAct_ATR[[#This Row],[Tipo (aux)]]&lt;&gt;"Macro"),"",COUNTIFS(INDEX(tblAct_ATR[Mes],1):tblAct_ATR[[#This Row],[Mes]],MesCiclo,INDEX(tblAct_ATR[Tipo (aux)],1):tblAct_ATR[[#This Row],[Tipo (aux)]],"Macro"))</calculatedColumnFormula>
    </tableColumn>
    <tableColumn id="21" name="Grupo (aux)">
      <calculatedColumnFormula>IF(tblAct_ATR[[#This Row],[Tipo (aux)]]="","",IF(tblAct_ATR[[#This Row],[Tipo (aux)]]="Macro",ROW(),IFERROR(LOOKUP(2,1/(INDEX(tblAct_ATR[Tipo (aux)],1):tblAct_ATR[[#This Row],[Tipo (aux)]]="Macro"),ROW(INDEX(tblAct_ATR[Tipo (aux)],1):tblAct_ATR[[#This Row],[Tipo (aux)]])),0)))</calculatedColumnFormula>
    </tableColumn>
    <tableColumn id="22" name="Tipo (aux)">
      <calculatedColumnFormula>IF(NOT((COUNTA(tblAct_ATR[[#This Row],[Tipo]:[Delegar a]])+COUNTA(tblAct_ATR[[#This Row],[Fecha de cumplimiento]:[Peso / % de la subactividad]])+COUNTA(tblAct_ATR[[#This Row],[Observaciones]]))&gt;0),"",IF(tblAct_ATR[[#This Row],[Tipo]]="Subactividad","Sub","Macro"))</calculatedColumnFormula>
    </tableColumn>
    <tableColumn id="23" name="N subactividades (aux)">
      <calculatedColumnFormula>IF(tblAct_ATR[[#This Row],[Tipo (aux)]]="Macro",COUNTIFS($U$5:$U$1000,ROW(),$V$5:$V$1000,"Sub"),"")</calculatedColumnFormula>
    </tableColumn>
    <tableColumn id="24" name="% efectivo de la subactividad (aux)">
      <calculatedColumnFormula>IF(tblAct_ATR[[#This Row],[Tipo (aux)]]&lt;&gt;"Sub","",IF(AND(ISNUMBER(tblAct_ATR[[#This Row],[Peso / % de la subactividad]]),N(tblAct_ATR[[#This Row],[Peso / % de la subactividad]])&gt;0),tblAct_ATR[[#This Row],[Peso / % de la subactividad]],IFERROR(MAX(0,1-SUMIFS($H$5:$H$1000,$U$5:$U$1000,tblAct_ATR[[#This Row],[Grupo (aux)]],$V$5:$V$1000,"Sub"))/(COUNTIFS($U$5:$U$1000,tblAct_ATR[[#This Row],[Grupo (aux)]],$V$5:$V$1000,"Sub")-COUNTIFS($U$5:$U$1000,tblAct_ATR[[#This Row],[Grupo (aux)]],$V$5:$V$1000,"Sub",$H$5:$H$1000,"&gt;0")),0)))</calculatedColumnFormula>
    </tableColumn>
    <tableColumn id="25" name="Avance propio (aux)">
      <calculatedColumnFormula>IF(tblAct_ATR[[#This Row],[Tipo (aux)]]="","",IF(tblAct_ATR[[#This Row],[Tipo (aux)]]="Sub",N(tblAct_ATR[[#This Row],[% efectivo de la subactividad (aux)]])*IF(ISNUMBER(tblAct_ATR[[#This Row],[Fecha de cumplimiento]]),1,MIN(1,MAX(0,IFERROR(LOOKUP(2,1/ISNUMBER(tblAct_ATR[[#This Row],[Avance Semana 1 (%)]:[Avance Semana 4 (%)]]),tblAct_ATR[[#This Row],[Avance Semana 1 (%)]:[Avance Semana 4 (%)]]),0)))),IF(ISNUMBER(tblAct_ATR[[#This Row],[Fecha de cumplimiento]]),1,IFERROR(LOOKUP(2,1/(tblAct_ATR[[#This Row],[Avance Semana 1 (%)]:[Avance Semana 4 (%)]]&lt;&gt;""),tblAct_ATR[[#This Row],[Avance Semana 1 (%)]:[Avance Semana 4 (%)]]),0))))</calculatedColumnFormula>
    </tableColumn>
    <tableColumn id="26" name="Propio S1 (aux)">
      <calculatedColumnFormula>IF(tblAct_ATR[[#This Row],[Tipo (aux)]]="","",IF(AND(ISNUMBER(tblAct_ATR[[#This Row],[Fecha de cumplimiento]]),tblAct_ATR[[#This Row],[Fecha de cumplimiento]]&lt;=IF(tblAct_ATR[[#This Row],[Mes]]=MesCiclo,InicioCiclo,tblAct_ATR[[#This Row],[Mes]]+MOD(2-WEEKDAY(tblAct_ATR[[#This Row],[Mes]]),7))+6),1,IF(ISNUMBER(tblAct_ATR[[#This Row],[Avance Semana 1 (%)]]),tblAct_ATR[[#This Row],[Avance Semana 1 (%)]],0)))</calculatedColumnFormula>
    </tableColumn>
    <tableColumn id="27" name="Propio S2 (aux)">
      <calculatedColumnFormula>IF(tblAct_ATR[[#This Row],[Tipo (aux)]]="","",IF(AND(ISNUMBER(tblAct_ATR[[#This Row],[Fecha de cumplimiento]]),tblAct_ATR[[#This Row],[Fecha de cumplimiento]]&lt;=IF(tblAct_ATR[[#This Row],[Mes]]=MesCiclo,InicioCiclo,tblAct_ATR[[#This Row],[Mes]]+MOD(2-WEEKDAY(tblAct_ATR[[#This Row],[Mes]]),7))+13),1,IF(ISNUMBER(tblAct_ATR[[#This Row],[Avance Semana 2 (%)]]),tblAct_ATR[[#This Row],[Avance Semana 2 (%)]],tblAct_ATR[[#This Row],[Propio S1 (aux)]])))</calculatedColumnFormula>
    </tableColumn>
    <tableColumn id="28" name="Propio S3 (aux)">
      <calculatedColumnFormula>IF(tblAct_ATR[[#This Row],[Tipo (aux)]]="","",IF(AND(ISNUMBER(tblAct_ATR[[#This Row],[Fecha de cumplimiento]]),tblAct_ATR[[#This Row],[Fecha de cumplimiento]]&lt;=IF(tblAct_ATR[[#This Row],[Mes]]=MesCiclo,InicioCiclo,tblAct_ATR[[#This Row],[Mes]]+MOD(2-WEEKDAY(tblAct_ATR[[#This Row],[Mes]]),7))+20),1,IF(ISNUMBER(tblAct_ATR[[#This Row],[Avance Semana 3 (%)]]),tblAct_ATR[[#This Row],[Avance Semana 3 (%)]],tblAct_ATR[[#This Row],[Propio S2 (aux)]])))</calculatedColumnFormula>
    </tableColumn>
    <tableColumn id="29" name="Propio S4 (aux)">
      <calculatedColumnFormula>IF(tblAct_ATR[[#This Row],[Tipo (aux)]]="","",IF(AND(ISNUMBER(tblAct_ATR[[#This Row],[Fecha de cumplimiento]]),tblAct_ATR[[#This Row],[Fecha de cumplimiento]]&lt;=IF(tblAct_ATR[[#This Row],[Mes]]=MesCiclo,InicioCiclo,tblAct_ATR[[#This Row],[Mes]]+MOD(2-WEEKDAY(tblAct_ATR[[#This Row],[Mes]]),7))+27),1,IF(ISNUMBER(tblAct_ATR[[#This Row],[Avance Semana 4 (%)]]),tblAct_ATR[[#This Row],[Avance Semana 4 (%)]],tblAct_ATR[[#This Row],[Propio S3 (aux)]])))</calculatedColumnFormula>
    </tableColumn>
    <tableColumn id="30" name="Sub cumplida S1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Row],[Mes]]),7))+6),1,MIN(1,MAX(0,IF(ISNUMBER(OFFSET(tblAct_ATR[[#This Row],[Avance Semana 1 (%)]],0,0)),OFFSET(tblAct_ATR[[#This Row],[Avance Semana 1 (%)]],0,0),0)))))</calculatedColumnFormula>
    </tableColumn>
    <tableColumn id="31" name="Sub cumplida S2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Row],[Mes]]),7))+13),1,MIN(1,MAX(0,IF(ISNUMBER(OFFSET(tblAct_ATR[[#This Row],[Avance Semana 1 (%)]],0,1)),OFFSET(tblAct_ATR[[#This Row],[Avance Semana 1 (%)]],0,1),IF(ISNUMBER(OFFSET(tblAct_ATR[[#This Row],[Avance Semana 1 (%)]],0,0)),OFFSET(tblAct_ATR[[#This Row],[Avance Semana 1 (%)]],0,0),0))))))</calculatedColumnFormula>
    </tableColumn>
    <tableColumn id="32" name="Sub cumplida S3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Row],[Mes]]),7))+20),1,MIN(1,MAX(0,IF(ISNUMBER(OFFSET(tblAct_ATR[[#This Row],[Avance Semana 1 (%)]],0,2)),OFFSET(tblAct_ATR[[#This Row],[Avance Semana 1 (%)]],0,2),IF(ISNUMBER(OFFSET(tblAct_ATR[[#This Row],[Avance Semana 1 (%)]],0,1)),OFFSET(tblAct_ATR[[#This Row],[Avance Semana 1 (%)]],0,1),IF(ISNUMBER(OFFSET(tblAct_ATR[[#This Row],[Avance Semana 1 (%)]],0,0)),OFFSET(tblAct_ATR[[#This Row],[Avance Semana 1 (%)]],0,0),0)))))))</calculatedColumnFormula>
    </tableColumn>
    <tableColumn id="33" name="Sub cumplida S4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Row],[Mes]]),7))+27),1,MIN(1,MAX(0,IF(ISNUMBER(OFFSET(tblAct_ATR[[#This Row],[Avance Semana 1 (%)]],0,3)),OFFSET(tblAct_ATR[[#This Row],[Avance Semana 1 (%)]],0,3),IF(ISNUMBER(OFFSET(tblAct_ATR[[#This Row],[Avance Semana 1 (%)]],0,2)),OFFSET(tblAct_ATR[[#This Row],[Avance Semana 1 (%)]],0,2),IF(ISNUMBER(OFFSET(tblAct_ATR[[#This Row],[Avance Semana 1 (%)]],0,1)),OFFSET(tblAct_ATR[[#This Row],[Avance Semana 1 (%)]],0,1),IF(ISNUMBER(OFFSET(tblAct_ATR[[#This Row],[Avance Semana 1 (%)]],0,0)),OFFSET(tblAct_ATR[[#This Row],[Avance Semana 1 (%)]],0,0),0))))))))</calculatedColumnFormula>
    </tableColumn>
    <tableColumn id="34" name="Efectivo S1 (aux)">
      <calculatedColumnFormula>IF(tblAct_ATR[[#This Row],[Tipo (aux)]]="","",IF(AND(ISNUMBER(tblAct_ATR[[#This Row],[Fecha de cumplimiento]]),tblAct_ATR[[#This Row],[Fecha de cumplimiento]]&lt;=IF(tblAct_ATR[[#This Row],[Mes]]=MesCiclo,InicioCiclo,tblAct_ATR[[#This Row],[Mes]]+MOD(2-WEEKDAY(tblAct_ATR[[#This Row],[Mes]]),7))+6),1,IF(N(tblAct_ATR[[#This Row],[N subactividades (aux)]])&gt;0,MIN(1,SUMIFS($AD$5:$AD$1000,$U$5:$U$1000,ROW(),$V$5:$V$1000,"Sub")),tblAct_ATR[[#This Row],[Propio S1 (aux)]])))</calculatedColumnFormula>
    </tableColumn>
    <tableColumn id="35" name="Efectivo S2 (aux)">
      <calculatedColumnFormula>IF(tblAct_ATR[[#This Row],[Tipo (aux)]]="","",IF(AND(ISNUMBER(tblAct_ATR[[#This Row],[Fecha de cumplimiento]]),tblAct_ATR[[#This Row],[Fecha de cumplimiento]]&lt;=IF(tblAct_ATR[[#This Row],[Mes]]=MesCiclo,InicioCiclo,tblAct_ATR[[#This Row],[Mes]]+MOD(2-WEEKDAY(tblAct_ATR[[#This Row],[Mes]]),7))+13),1,IF(N(tblAct_ATR[[#This Row],[N subactividades (aux)]])&gt;0,MIN(1,SUMIFS($AE$5:$AE$1000,$U$5:$U$1000,ROW(),$V$5:$V$1000,"Sub")),tblAct_ATR[[#This Row],[Propio S2 (aux)]])))</calculatedColumnFormula>
    </tableColumn>
    <tableColumn id="36" name="Efectivo S3 (aux)">
      <calculatedColumnFormula>IF(tblAct_ATR[[#This Row],[Tipo (aux)]]="","",IF(AND(ISNUMBER(tblAct_ATR[[#This Row],[Fecha de cumplimiento]]),tblAct_ATR[[#This Row],[Fecha de cumplimiento]]&lt;=IF(tblAct_ATR[[#This Row],[Mes]]=MesCiclo,InicioCiclo,tblAct_ATR[[#This Row],[Mes]]+MOD(2-WEEKDAY(tblAct_ATR[[#This Row],[Mes]]),7))+20),1,IF(N(tblAct_ATR[[#This Row],[N subactividades (aux)]])&gt;0,MIN(1,SUMIFS($AF$5:$AF$1000,$U$5:$U$1000,ROW(),$V$5:$V$1000,"Sub")),tblAct_ATR[[#This Row],[Propio S3 (aux)]])))</calculatedColumnFormula>
    </tableColumn>
    <tableColumn id="37" name="Efectivo S4 (aux)">
      <calculatedColumnFormula>IF(tblAct_ATR[[#This Row],[Tipo (aux)]]="","",IF(AND(ISNUMBER(tblAct_ATR[[#This Row],[Fecha de cumplimiento]]),tblAct_ATR[[#This Row],[Fecha de cumplimiento]]&lt;=IF(tblAct_ATR[[#This Row],[Mes]]=MesCiclo,InicioCiclo,tblAct_ATR[[#This Row],[Mes]]+MOD(2-WEEKDAY(tblAct_ATR[[#This Row],[Mes]]),7))+27),1,IF(N(tblAct_ATR[[#This Row],[N subactividades (aux)]])&gt;0,MIN(1,SUMIFS($AG$5:$AG$1000,$U$5:$U$1000,ROW(),$V$5:$V$1000,"Sub")),tblAct_ATR[[#This Row],[Propio S4 (aux)]])))</calculatedColumnFormula>
    </tableColumn>
    <tableColumn id="38" name="Peso efectivo (aux)">
      <calculatedColumnFormula>IF(tblAct_ATR[[#This Row],[Tipo (aux)]]&lt;&gt;"Macro","",IF(COUNTIFS($S$5:$S$1000,tblAct_ATR[[#This Row],[Mes]],$V$5:$V$1000,"Macro",$H$5:$H$1000,"&gt;0")=0,1/COUNTIFS($S$5:$S$1000,tblAct_ATR[[#This Row],[Mes]],$V$5:$V$1000,"Macro"),IF(AND(ISNUMBER(tblAct_ATR[[#This Row],[Peso / % de la subactividad]]),N(tblAct_ATR[[#This Row],[Peso / % de la subactividad]])&gt;0),tblAct_ATR[[#This Row],[Peso / % de la subactividad]],SUMIFS($H$5:$H$1000,$S$5:$S$1000,tblAct_ATR[[#This Row],[Mes]],$V$5:$V$1000,"Macro")/COUNTIFS($S$5:$S$1000,tblAct_ATR[[#This Row],[Mes]],$V$5:$V$1000,"Macro",$H$5:$H$1000,"&gt;0"))/(COUNTIFS($S$5:$S$1000,tblAct_ATR[[#This Row],[Mes]],$V$5:$V$1000,"Macro")*SUMIFS($H$5:$H$1000,$S$5:$S$1000,tblAct_ATR[[#This Row],[Mes]],$V$5:$V$1000,"Macro")/COUNTIFS($S$5:$S$1000,tblAct_ATR[[#This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IF(LEFT(tblAct_ATR[[#This Row],[Actividad]],11)="[Jefatura] ",IFERROR(MATCH("Asistente Técnico de Riesgo|"&amp;MID(tblAct_ATR[[#This Row],[Actividad]],12,500),rDname_ADM,0),0),"")</calculatedColumnFormula>
    </tableColumn>
    <tableColumn id="44" name="Inicio efectivo (aux)">
      <calculatedColumnFormula>IF(N(tblAct_ATR[[#This Row],[Fila en Administración (aux)]])&gt;0,INDEX(rIni_ADM,tblAct_ATR[[#This Row],[Fila en Administración (aux)]]),IF(ISNUMBER(tblAct_ATR[[#This Row],[Fecha de inicio]]),tblAct_ATR[[#This Row],[Fecha de inicio]],""))</calculatedColumnFormula>
    </tableColumn>
    <tableColumn id="45" name="Límite efectivo (aux)">
      <calculatedColumnFormula>IF(N(tblAct_ATR[[#This Row],[Fila en Administración (aux)]])&gt;0,INDEX(rLim_ADM,tblAct_ATR[[#This Row],[Fila en Administración (aux)]]),IF(ISNUMBER(tblAct_ATR[[#This Row],[Fecha límite]]),tblAct_ATR[[#This Row],[Fecha límite]],""))</calculatedColumnFormula>
    </tableColumn>
  </tableColumns>
  <tableStyleInfo name="TableStyleLight1" showRowStripes="0"/>
</table>
</file>

<file path=xl/tables/table9.xml><?xml version="1.0" encoding="utf-8"?>
<table xmlns="http://schemas.openxmlformats.org/spreadsheetml/2006/main" id="9" name="tblSem_ATR" displayName="tblSem_ATR"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ronograma R. Operacional'!A1" TargetMode="External" Id="rId1"/><Relationship Type="http://schemas.openxmlformats.org/officeDocument/2006/relationships/hyperlink" Target="#'Cronograma R. Normativo'!A1" TargetMode="External" Id="rId2"/><Relationship Type="http://schemas.openxmlformats.org/officeDocument/2006/relationships/hyperlink" Target="#'Cronograma R. Financiero'!A1" TargetMode="External" Id="rId3"/><Relationship Type="http://schemas.openxmlformats.org/officeDocument/2006/relationships/hyperlink" Target="#'Cronograma Asistente T&#233;cnico'!A1" TargetMode="External" Id="rId4"/><Relationship Type="http://schemas.openxmlformats.org/officeDocument/2006/relationships/hyperlink" Target="#'Actividades R. Operacional'!A1" TargetMode="External" Id="rId5"/><Relationship Type="http://schemas.openxmlformats.org/officeDocument/2006/relationships/hyperlink" Target="#'Actividades R. Normativo'!A1" TargetMode="External" Id="rId6"/><Relationship Type="http://schemas.openxmlformats.org/officeDocument/2006/relationships/hyperlink" Target="#'Actividades R. Financiero'!A1" TargetMode="External" Id="rId7"/><Relationship Type="http://schemas.openxmlformats.org/officeDocument/2006/relationships/hyperlink" Target="#'Actividades Asistente T&#233;cnico'!A1" TargetMode="External" Id="rId8"/><Relationship Type="http://schemas.openxmlformats.org/officeDocument/2006/relationships/hyperlink" Target="#'Administraci&#243;n'!A1" TargetMode="External" Id="rId9"/><Relationship Type="http://schemas.openxmlformats.org/officeDocument/2006/relationships/drawing" Target="/xl/drawings/drawing1.xml" Id="rId10"/></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B1:P90"/>
  <sheetViews>
    <sheetView showGridLines="0" zoomScale="90" workbookViewId="0">
      <pane ySplit="2" topLeftCell="A3" activePane="bottomLeft" state="frozen"/>
      <selection pane="bottomLeft" activeCell="A1" sqref="A1"/>
    </sheetView>
  </sheetViews>
  <sheetFormatPr baseColWidth="8" defaultRowHeight="15"/>
  <cols>
    <col width="2" customWidth="1" min="1" max="1"/>
    <col width="30" customWidth="1" min="2" max="2"/>
    <col width="18" customWidth="1" min="3" max="3"/>
    <col width="16" customWidth="1" min="4" max="4"/>
    <col width="13" customWidth="1" min="5" max="5"/>
    <col width="13" customWidth="1" min="6" max="6"/>
    <col width="13" customWidth="1" min="7" max="7"/>
    <col width="13" customWidth="1" min="8" max="8"/>
    <col width="13" customWidth="1" min="9" max="9"/>
    <col width="13" customWidth="1" min="10" max="10"/>
    <col width="22" customWidth="1" min="11" max="11"/>
    <col width="20" customWidth="1" min="12" max="12"/>
    <col width="24" customWidth="1" min="13" max="13"/>
    <col width="2" customWidth="1" min="14" max="14"/>
    <col hidden="1" width="13" customWidth="1" min="16" max="16"/>
  </cols>
  <sheetData>
    <row r="1" ht="34" customHeight="1">
      <c r="B1" s="1" t="inlineStr">
        <is>
          <t>Dashboard Consolidado – Gestión de Riesgos · Ciclo mensual de 4 semanas</t>
        </is>
      </c>
      <c r="C1" s="1" t="n"/>
      <c r="D1" s="1" t="n"/>
      <c r="E1" s="1" t="n"/>
      <c r="F1" s="1" t="n"/>
      <c r="G1" s="1" t="n"/>
      <c r="H1" s="1" t="n"/>
      <c r="I1" s="1" t="n"/>
      <c r="J1" s="1" t="n"/>
      <c r="K1" s="1" t="n"/>
      <c r="L1" s="1" t="n"/>
      <c r="M1" s="1" t="n"/>
    </row>
    <row r="2" ht="22" customHeight="1">
      <c r="B2" s="2" t="inlineStr">
        <is>
          <t>Período:</t>
        </is>
      </c>
      <c r="C2" s="3">
        <f>MesCiclo</f>
        <v/>
      </c>
      <c r="D2" s="2" t="inlineStr">
        <is>
          <t>Semana actual:</t>
        </is>
      </c>
      <c r="E2" s="4">
        <f>SemanaActual</f>
        <v/>
      </c>
      <c r="F2" s="2" t="inlineStr">
        <is>
          <t>Fecha de corte:</t>
        </is>
      </c>
      <c r="G2" s="5">
        <f>FechaRef</f>
        <v/>
      </c>
      <c r="H2" s="6" t="inlineStr">
        <is>
          <t>Se actualiza solo con las hojas «Cronograma …» y «Actividades …» de cada puesto. El período y la semana se calculan con la fecha de hoy (ver Configuración).</t>
        </is>
      </c>
      <c r="I2" s="6" t="n"/>
      <c r="J2" s="6" t="n"/>
      <c r="K2" s="6" t="n"/>
      <c r="L2" s="6" t="n"/>
      <c r="M2" s="6" t="n"/>
    </row>
    <row r="4" ht="20" customHeight="1">
      <c r="B4" s="7" t="inlineStr">
        <is>
          <t>Avance general de las actividades</t>
        </is>
      </c>
      <c r="C4" s="7" t="n"/>
      <c r="D4" s="7" t="n"/>
      <c r="E4" s="7" t="inlineStr">
        <is>
          <t>Meta de cumplimiento</t>
        </is>
      </c>
      <c r="F4" s="7" t="n"/>
      <c r="G4" s="7" t="n"/>
      <c r="H4" s="7" t="inlineStr">
        <is>
          <t>Macroactividades registradas</t>
        </is>
      </c>
      <c r="I4" s="7" t="n"/>
      <c r="J4" s="7" t="n"/>
      <c r="K4" s="7" t="inlineStr">
        <is>
          <t>Actividades completadas</t>
        </is>
      </c>
      <c r="L4" s="7" t="n"/>
      <c r="M4" s="7" t="n"/>
    </row>
    <row r="5" ht="38" customHeight="1">
      <c r="B5" s="8">
        <f>IF('Calculos'!$E$8,'Calculos'!$F$8,"No definitivo")</f>
        <v/>
      </c>
      <c r="C5" s="9" t="n"/>
      <c r="D5" s="9" t="n"/>
      <c r="E5" s="8">
        <f>MetaFinal</f>
        <v/>
      </c>
      <c r="F5" s="9" t="n"/>
      <c r="G5" s="9" t="n"/>
      <c r="H5" s="10">
        <f>'Calculos'!$B$11</f>
        <v/>
      </c>
      <c r="I5" s="9" t="n"/>
      <c r="J5" s="9" t="n"/>
      <c r="K5" s="10">
        <f>'Calculos'!$N$8</f>
        <v/>
      </c>
      <c r="L5" s="9" t="n"/>
      <c r="M5" s="9" t="n"/>
    </row>
    <row r="6" ht="18" customHeight="1">
      <c r="B6" s="11">
        <f>IF('Calculos'!$E$8,"Promedio simple de los 4 puestos",IF('Calculos'!$C$8=0,"Ningún puesto con datos válidos","Provisional "&amp;TEXT('Calculos'!$D$8,"0%")&amp;" ("&amp;'Calculos'!$C$8&amp;" de 4 puestos válidos)"))</f>
        <v/>
      </c>
      <c r="C6" s="11" t="n"/>
      <c r="D6" s="11" t="n"/>
      <c r="E6" s="11" t="inlineStr">
        <is>
          <t>Al cierre de la Semana 4</t>
        </is>
      </c>
      <c r="F6" s="11" t="n"/>
      <c r="G6" s="11" t="n"/>
      <c r="H6" s="11">
        <f>"En los 4 cronogramas · "&amp;'Calculos'!$U$8&amp;" delegada(s) por la jefatura"</f>
        <v/>
      </c>
      <c r="I6" s="11" t="n"/>
      <c r="J6" s="11" t="n"/>
      <c r="K6" s="11">
        <f>IF('Calculos'!$B$11=0,"—",TEXT('Calculos'!$N$8/'Calculos'!$B$11,"0%")&amp;" del total")</f>
        <v/>
      </c>
      <c r="L6" s="11" t="n"/>
      <c r="M6" s="11" t="n"/>
    </row>
    <row r="7" ht="8" customHeight="1"/>
    <row r="8" ht="20" customHeight="1">
      <c r="B8" s="7" t="inlineStr">
        <is>
          <t>Actividades en curso</t>
        </is>
      </c>
      <c r="C8" s="7" t="n"/>
      <c r="D8" s="7" t="n"/>
      <c r="E8" s="7" t="inlineStr">
        <is>
          <t>Actividades pendientes</t>
        </is>
      </c>
      <c r="F8" s="7" t="n"/>
      <c r="G8" s="7" t="n"/>
      <c r="H8" s="7" t="inlineStr">
        <is>
          <t>Puestos que alcanzaron el 100%</t>
        </is>
      </c>
      <c r="I8" s="7" t="n"/>
      <c r="J8" s="7" t="n"/>
      <c r="K8" s="7" t="inlineStr">
        <is>
          <t>Actividades con alertas</t>
        </is>
      </c>
      <c r="L8" s="7" t="n"/>
      <c r="M8" s="7" t="n"/>
    </row>
    <row r="9" ht="38" customHeight="1">
      <c r="B9" s="10">
        <f>'Calculos'!$O$8</f>
        <v/>
      </c>
      <c r="C9" s="9" t="n"/>
      <c r="D9" s="9" t="n"/>
      <c r="E9" s="10">
        <f>'Calculos'!$P$8</f>
        <v/>
      </c>
      <c r="F9" s="9" t="n"/>
      <c r="G9" s="9" t="n"/>
      <c r="H9" s="12">
        <f>'Calculos'!$B$12</f>
        <v/>
      </c>
      <c r="I9" s="9" t="n"/>
      <c r="J9" s="9" t="n"/>
      <c r="K9" s="10">
        <f>'Calculos'!$R$8</f>
        <v/>
      </c>
      <c r="L9" s="9" t="n"/>
      <c r="M9" s="9" t="n"/>
    </row>
    <row r="10" ht="18" customHeight="1">
      <c r="B10" s="11" t="inlineStr">
        <is>
          <t>Avance &gt; 0% y &lt; 100%</t>
        </is>
      </c>
      <c r="C10" s="11" t="n"/>
      <c r="D10" s="11" t="n"/>
      <c r="E10" s="11">
        <f>"De todas las actividades, vencidas: "&amp;'Calculos'!$Q$8</f>
        <v/>
      </c>
      <c r="F10" s="11" t="n"/>
      <c r="G10" s="11" t="n"/>
      <c r="H10" s="11" t="inlineStr">
        <is>
          <t>Con ponderación válida</t>
        </is>
      </c>
      <c r="I10" s="11" t="n"/>
      <c r="J10" s="11" t="n"/>
      <c r="K10" s="11">
        <f>"Próximas a vencer: "&amp;'Calculos'!$B$13</f>
        <v/>
      </c>
      <c r="L10" s="11" t="n"/>
      <c r="M10" s="11" t="n"/>
    </row>
    <row r="12" ht="30" customHeight="1">
      <c r="B12" s="13">
        <f>IF('Calculos'!$E$8,"Avance general vs meta 100%","Avance PROVISIONAL vs meta")</f>
        <v/>
      </c>
      <c r="C12" s="14">
        <f>IF('Calculos'!$E$8,'Calculos'!$F$8,N('Calculos'!$D$8))</f>
        <v/>
      </c>
      <c r="D12" s="15" t="n"/>
      <c r="E12" s="15" t="n"/>
      <c r="F12" s="15" t="n"/>
      <c r="G12" s="16">
        <f>IF('Calculos'!$B$11=0,"⚠ No hay actividades registradas en este mes. Cada puesto registra sus actividades y pesos en su hoja «Cronograma …».",IF(NOT('Calculos'!$E$8),"⚠ Avance general NO definitivo: "&amp;(4-'Calculos'!$C$8)&amp;" puesto(s) sin actividades válidas o con pesos que no suman 100%.",IF('Calculos'!$M$8,"Actividades del mes: ¡Enhorabuena, completado anticipadamente!",IF('Calculos'!$L$8,"Actividades del mes completadas: meta del 100% alcanzada.","Actividades del mes en ejecución – Semana "&amp;SemanaActual&amp;" de 4."))))</f>
        <v/>
      </c>
      <c r="H12" s="16" t="n"/>
      <c r="I12" s="16" t="n"/>
      <c r="J12" s="16" t="n"/>
      <c r="K12" s="16" t="n"/>
      <c r="L12" s="16" t="n"/>
      <c r="M12" s="16" t="n"/>
    </row>
    <row r="14" ht="24" customHeight="1">
      <c r="B14" s="17" t="inlineStr">
        <is>
          <t>Avance individual por puesto (ponderado por el peso de cada actividad)</t>
        </is>
      </c>
      <c r="C14" s="17" t="n"/>
      <c r="D14" s="17" t="n"/>
      <c r="E14" s="17" t="n"/>
      <c r="F14" s="17" t="n"/>
      <c r="G14" s="17" t="n"/>
      <c r="H14" s="17" t="n"/>
      <c r="I14" s="17" t="n"/>
      <c r="J14" s="17" t="n"/>
      <c r="K14" s="17" t="n"/>
      <c r="L14" s="17" t="n"/>
      <c r="M14" s="17" t="n"/>
    </row>
    <row r="15" ht="30" customHeight="1">
      <c r="B15" s="7" t="inlineStr">
        <is>
          <t>Puesto</t>
        </is>
      </c>
      <c r="C15" s="7" t="inlineStr">
        <is>
          <t>Avance ponderado</t>
        </is>
      </c>
      <c r="D15" s="7" t="inlineStr">
        <is>
          <t>Progreso</t>
        </is>
      </c>
      <c r="E15" s="7" t="inlineStr">
        <is>
          <t>Total actividades</t>
        </is>
      </c>
      <c r="F15" s="7" t="inlineStr">
        <is>
          <t>Completadas</t>
        </is>
      </c>
      <c r="G15" s="7" t="inlineStr">
        <is>
          <t>En curso</t>
        </is>
      </c>
      <c r="H15" s="7" t="inlineStr">
        <is>
          <t>Pendientes</t>
        </is>
      </c>
      <c r="I15" s="7" t="inlineStr">
        <is>
          <t>Vencidas</t>
        </is>
      </c>
      <c r="J15" s="7" t="inlineStr">
        <is>
          <t>Con alertas</t>
        </is>
      </c>
      <c r="K15" s="7" t="inlineStr">
        <is>
          <t>Estado general</t>
        </is>
      </c>
      <c r="L15" s="7" t="inlineStr">
        <is>
          <t>Mensaje de finalización</t>
        </is>
      </c>
      <c r="M15" s="18" t="n"/>
    </row>
    <row r="16" ht="28" customHeight="1">
      <c r="B16" s="19">
        <f>'Calculos'!A4</f>
        <v/>
      </c>
      <c r="C16" s="20">
        <f>IF('Calculos'!B4=0,"Sin actividades",IF(NOT('Calculos'!E4),"Revisar pesos",'Calculos'!F4))</f>
        <v/>
      </c>
      <c r="D16" s="21">
        <f>IF(ISNUMBER(C16),C16,0)</f>
        <v/>
      </c>
      <c r="E16" s="22">
        <f>'Calculos'!B4</f>
        <v/>
      </c>
      <c r="F16" s="22">
        <f>'Calculos'!N4</f>
        <v/>
      </c>
      <c r="G16" s="22">
        <f>'Calculos'!O4</f>
        <v/>
      </c>
      <c r="H16" s="22">
        <f>'Calculos'!P4</f>
        <v/>
      </c>
      <c r="I16" s="22">
        <f>'Calculos'!Q4</f>
        <v/>
      </c>
      <c r="J16" s="22">
        <f>'Calculos'!R4</f>
        <v/>
      </c>
      <c r="K16" s="22">
        <f>IF('Calculos'!B4=0,"Sin actividades",IF(NOT('Calculos'!E4),"Pesos no válidos",IF('Calculos'!L4,"Completado",IF('Calculos'!F4&gt;0,"En curso","Pendiente"))))</f>
        <v/>
      </c>
      <c r="L16" s="22">
        <f>IF('Calculos'!B4=0,"⚠ Registrar actividades",IF(NOT('Calculos'!E4),"⚠ Corregir pesos no válidos",IF('Calculos'!M4,"¡Enhorabuena, completado anticipadamente!",IF('Calculos'!L4,"Completado","En ejecución"))))</f>
        <v/>
      </c>
      <c r="M16" s="22" t="n"/>
      <c r="P16" t="inlineStr">
        <is>
          <t>R. Operacional</t>
        </is>
      </c>
    </row>
    <row r="17" ht="28" customHeight="1">
      <c r="B17" s="23">
        <f>'Calculos'!A5</f>
        <v/>
      </c>
      <c r="C17" s="20">
        <f>IF('Calculos'!B5=0,"Sin actividades",IF(NOT('Calculos'!E5),"Revisar pesos",'Calculos'!F5))</f>
        <v/>
      </c>
      <c r="D17" s="21">
        <f>IF(ISNUMBER(C17),C17,0)</f>
        <v/>
      </c>
      <c r="E17" s="22">
        <f>'Calculos'!B5</f>
        <v/>
      </c>
      <c r="F17" s="22">
        <f>'Calculos'!N5</f>
        <v/>
      </c>
      <c r="G17" s="22">
        <f>'Calculos'!O5</f>
        <v/>
      </c>
      <c r="H17" s="22">
        <f>'Calculos'!P5</f>
        <v/>
      </c>
      <c r="I17" s="22">
        <f>'Calculos'!Q5</f>
        <v/>
      </c>
      <c r="J17" s="22">
        <f>'Calculos'!R5</f>
        <v/>
      </c>
      <c r="K17" s="22">
        <f>IF('Calculos'!B5=0,"Sin actividades",IF(NOT('Calculos'!E5),"Pesos no válidos",IF('Calculos'!L5,"Completado",IF('Calculos'!F5&gt;0,"En curso","Pendiente"))))</f>
        <v/>
      </c>
      <c r="L17" s="22">
        <f>IF('Calculos'!B5=0,"⚠ Registrar actividades",IF(NOT('Calculos'!E5),"⚠ Corregir pesos no válidos",IF('Calculos'!M5,"¡Enhorabuena, completado anticipadamente!",IF('Calculos'!L5,"Completado","En ejecución"))))</f>
        <v/>
      </c>
      <c r="M17" s="22" t="n"/>
      <c r="P17" t="inlineStr">
        <is>
          <t>R. Normativo</t>
        </is>
      </c>
    </row>
    <row r="18" ht="28" customHeight="1">
      <c r="B18" s="24">
        <f>'Calculos'!A6</f>
        <v/>
      </c>
      <c r="C18" s="20">
        <f>IF('Calculos'!B6=0,"Sin actividades",IF(NOT('Calculos'!E6),"Revisar pesos",'Calculos'!F6))</f>
        <v/>
      </c>
      <c r="D18" s="21">
        <f>IF(ISNUMBER(C18),C18,0)</f>
        <v/>
      </c>
      <c r="E18" s="22">
        <f>'Calculos'!B6</f>
        <v/>
      </c>
      <c r="F18" s="22">
        <f>'Calculos'!N6</f>
        <v/>
      </c>
      <c r="G18" s="22">
        <f>'Calculos'!O6</f>
        <v/>
      </c>
      <c r="H18" s="22">
        <f>'Calculos'!P6</f>
        <v/>
      </c>
      <c r="I18" s="22">
        <f>'Calculos'!Q6</f>
        <v/>
      </c>
      <c r="J18" s="22">
        <f>'Calculos'!R6</f>
        <v/>
      </c>
      <c r="K18" s="22">
        <f>IF('Calculos'!B6=0,"Sin actividades",IF(NOT('Calculos'!E6),"Pesos no válidos",IF('Calculos'!L6,"Completado",IF('Calculos'!F6&gt;0,"En curso","Pendiente"))))</f>
        <v/>
      </c>
      <c r="L18" s="22">
        <f>IF('Calculos'!B6=0,"⚠ Registrar actividades",IF(NOT('Calculos'!E6),"⚠ Corregir pesos no válidos",IF('Calculos'!M6,"¡Enhorabuena, completado anticipadamente!",IF('Calculos'!L6,"Completado","En ejecución"))))</f>
        <v/>
      </c>
      <c r="M18" s="22" t="n"/>
      <c r="P18" t="inlineStr">
        <is>
          <t>R. Financiero</t>
        </is>
      </c>
    </row>
    <row r="19" ht="28" customHeight="1">
      <c r="B19" s="25">
        <f>'Calculos'!A7</f>
        <v/>
      </c>
      <c r="C19" s="20">
        <f>IF('Calculos'!B7=0,"Sin actividades",IF(NOT('Calculos'!E7),"Revisar pesos",'Calculos'!F7))</f>
        <v/>
      </c>
      <c r="D19" s="21">
        <f>IF(ISNUMBER(C19),C19,0)</f>
        <v/>
      </c>
      <c r="E19" s="22">
        <f>'Calculos'!B7</f>
        <v/>
      </c>
      <c r="F19" s="22">
        <f>'Calculos'!N7</f>
        <v/>
      </c>
      <c r="G19" s="22">
        <f>'Calculos'!O7</f>
        <v/>
      </c>
      <c r="H19" s="22">
        <f>'Calculos'!P7</f>
        <v/>
      </c>
      <c r="I19" s="22">
        <f>'Calculos'!Q7</f>
        <v/>
      </c>
      <c r="J19" s="22">
        <f>'Calculos'!R7</f>
        <v/>
      </c>
      <c r="K19" s="22">
        <f>IF('Calculos'!B7=0,"Sin actividades",IF(NOT('Calculos'!E7),"Pesos no válidos",IF('Calculos'!L7,"Completado",IF('Calculos'!F7&gt;0,"En curso","Pendiente"))))</f>
        <v/>
      </c>
      <c r="L19" s="22">
        <f>IF('Calculos'!B7=0,"⚠ Registrar actividades",IF(NOT('Calculos'!E7),"⚠ Corregir pesos no válidos",IF('Calculos'!M7,"¡Enhorabuena, completado anticipadamente!",IF('Calculos'!L7,"Completado","En ejecución"))))</f>
        <v/>
      </c>
      <c r="M19" s="22" t="n"/>
      <c r="P19" t="inlineStr">
        <is>
          <t>Asistente Técnico</t>
        </is>
      </c>
    </row>
    <row r="20" ht="28" customHeight="1">
      <c r="B20" s="26" t="inlineStr">
        <is>
          <t>Total actividades</t>
        </is>
      </c>
      <c r="C20" s="27">
        <f>IF('Calculos'!$E$8,'Calculos'!$F$8,"No definitivo")</f>
        <v/>
      </c>
      <c r="D20" s="28">
        <f>IF(ISNUMBER(C20),C20,0)</f>
        <v/>
      </c>
      <c r="E20" s="29">
        <f>'Calculos'!B11</f>
        <v/>
      </c>
      <c r="F20" s="29">
        <f>'Calculos'!N8</f>
        <v/>
      </c>
      <c r="G20" s="29">
        <f>'Calculos'!O8</f>
        <v/>
      </c>
      <c r="H20" s="29">
        <f>'Calculos'!P8</f>
        <v/>
      </c>
      <c r="I20" s="29">
        <f>'Calculos'!Q8</f>
        <v/>
      </c>
      <c r="J20" s="29">
        <f>'Calculos'!R8</f>
        <v/>
      </c>
      <c r="K20" s="29">
        <f>IF('Calculos'!$E$8,"Promedio 4 puestos","No definitivo")</f>
        <v/>
      </c>
      <c r="L20" s="29">
        <f>IF(NOT('Calculos'!$E$8),"⚠ Completar configuración de todos los puestos",IF('Calculos'!$M$8,"¡Enhorabuena, completado anticipadamente!",IF('Calculos'!$L$8,"Completado","En ejecución")))</f>
        <v/>
      </c>
      <c r="M20" s="29" t="n"/>
    </row>
    <row r="22" ht="24" customHeight="1">
      <c r="B22" s="17" t="inlineStr">
        <is>
          <t>Seguimiento semanal: avance acumulado ponderado e incremento semanal</t>
        </is>
      </c>
      <c r="C22" s="17" t="n"/>
      <c r="D22" s="17" t="n"/>
      <c r="E22" s="17" t="n"/>
      <c r="F22" s="17" t="n"/>
      <c r="G22" s="17" t="n"/>
      <c r="H22" s="17" t="n"/>
      <c r="I22" s="17" t="n"/>
      <c r="J22" s="17" t="n"/>
      <c r="K22" s="17" t="n"/>
      <c r="L22" s="17" t="n"/>
      <c r="M22" s="17" t="n"/>
    </row>
    <row r="23">
      <c r="C23" s="30" t="inlineStr">
        <is>
          <t>Avance ACUMULADO ponderado al cierre de cada semana</t>
        </is>
      </c>
      <c r="D23" s="30" t="n"/>
      <c r="E23" s="30" t="n"/>
      <c r="F23" s="30" t="n"/>
      <c r="H23" s="30" t="inlineStr">
        <is>
          <t>INCREMENTO respecto a la semana anterior (puntos %)</t>
        </is>
      </c>
      <c r="I23" s="30" t="n"/>
      <c r="J23" s="30" t="n"/>
      <c r="K23" s="30" t="n"/>
      <c r="L23" s="30" t="inlineStr">
        <is>
          <t>Brecha vs meta 100%</t>
        </is>
      </c>
      <c r="M23" s="30" t="n"/>
    </row>
    <row r="24">
      <c r="B24" s="31" t="inlineStr">
        <is>
          <t>Puesto / Indicador</t>
        </is>
      </c>
      <c r="C24" s="31" t="inlineStr">
        <is>
          <t>Semana 1</t>
        </is>
      </c>
      <c r="D24" s="31" t="inlineStr">
        <is>
          <t>Semana 2</t>
        </is>
      </c>
      <c r="E24" s="31" t="inlineStr">
        <is>
          <t>Semana 3</t>
        </is>
      </c>
      <c r="F24" s="31" t="inlineStr">
        <is>
          <t>Semana 4</t>
        </is>
      </c>
      <c r="H24" s="31" t="inlineStr">
        <is>
          <t>Semana 1</t>
        </is>
      </c>
      <c r="I24" s="31" t="inlineStr">
        <is>
          <t>Semana 2</t>
        </is>
      </c>
      <c r="J24" s="31" t="inlineStr">
        <is>
          <t>Semana 3</t>
        </is>
      </c>
      <c r="K24" s="31" t="inlineStr">
        <is>
          <t>Semana 4</t>
        </is>
      </c>
      <c r="L24" s="31" t="inlineStr">
        <is>
          <t>Pendiente para la meta</t>
        </is>
      </c>
      <c r="M24" s="31" t="n"/>
    </row>
    <row r="25">
      <c r="B25" s="19">
        <f>'Calculos'!A4</f>
        <v/>
      </c>
      <c r="C25" s="20">
        <f>IF(NOT('Calculos'!G$10),"",IF('Calculos'!$E4,'Calculos'!G4,"–"))</f>
        <v/>
      </c>
      <c r="D25" s="20">
        <f>IF(NOT('Calculos'!H$10),"",IF('Calculos'!$E4,'Calculos'!H4,"–"))</f>
        <v/>
      </c>
      <c r="E25" s="20">
        <f>IF(NOT('Calculos'!I$10),"",IF('Calculos'!$E4,'Calculos'!I4,"–"))</f>
        <v/>
      </c>
      <c r="F25" s="20">
        <f>IF(NOT('Calculos'!J$10),"",IF('Calculos'!$E4,'Calculos'!J4,"–"))</f>
        <v/>
      </c>
      <c r="H25" s="32">
        <f>IF(ISNUMBER(C25),C25,"")</f>
        <v/>
      </c>
      <c r="I25" s="32">
        <f>IF(AND(ISNUMBER(D25),ISNUMBER(C25)),D25-C25,"")</f>
        <v/>
      </c>
      <c r="J25" s="32">
        <f>IF(AND(ISNUMBER(E25),ISNUMBER(D25)),E25-D25,"")</f>
        <v/>
      </c>
      <c r="K25" s="32">
        <f>IF(AND(ISNUMBER(F25),ISNUMBER(E25)),F25-E25,"")</f>
        <v/>
      </c>
      <c r="L25" s="20">
        <f>IFERROR(MetaFinal-LOOKUP(2,1/ISNUMBER(C25:F25),C25:F25),"")</f>
        <v/>
      </c>
      <c r="M25" s="22" t="n"/>
      <c r="P25" t="inlineStr">
        <is>
          <t>R. Operacional</t>
        </is>
      </c>
    </row>
    <row r="26">
      <c r="B26" s="23">
        <f>'Calculos'!A5</f>
        <v/>
      </c>
      <c r="C26" s="20">
        <f>IF(NOT('Calculos'!G$10),"",IF('Calculos'!$E5,'Calculos'!G5,"–"))</f>
        <v/>
      </c>
      <c r="D26" s="20">
        <f>IF(NOT('Calculos'!H$10),"",IF('Calculos'!$E5,'Calculos'!H5,"–"))</f>
        <v/>
      </c>
      <c r="E26" s="20">
        <f>IF(NOT('Calculos'!I$10),"",IF('Calculos'!$E5,'Calculos'!I5,"–"))</f>
        <v/>
      </c>
      <c r="F26" s="20">
        <f>IF(NOT('Calculos'!J$10),"",IF('Calculos'!$E5,'Calculos'!J5,"–"))</f>
        <v/>
      </c>
      <c r="H26" s="32">
        <f>IF(ISNUMBER(C26),C26,"")</f>
        <v/>
      </c>
      <c r="I26" s="32">
        <f>IF(AND(ISNUMBER(D26),ISNUMBER(C26)),D26-C26,"")</f>
        <v/>
      </c>
      <c r="J26" s="32">
        <f>IF(AND(ISNUMBER(E26),ISNUMBER(D26)),E26-D26,"")</f>
        <v/>
      </c>
      <c r="K26" s="32">
        <f>IF(AND(ISNUMBER(F26),ISNUMBER(E26)),F26-E26,"")</f>
        <v/>
      </c>
      <c r="L26" s="20">
        <f>IFERROR(MetaFinal-LOOKUP(2,1/ISNUMBER(C26:F26),C26:F26),"")</f>
        <v/>
      </c>
      <c r="M26" s="22" t="n"/>
      <c r="P26" t="inlineStr">
        <is>
          <t>R. Normativo</t>
        </is>
      </c>
    </row>
    <row r="27">
      <c r="B27" s="24">
        <f>'Calculos'!A6</f>
        <v/>
      </c>
      <c r="C27" s="20">
        <f>IF(NOT('Calculos'!G$10),"",IF('Calculos'!$E6,'Calculos'!G6,"–"))</f>
        <v/>
      </c>
      <c r="D27" s="20">
        <f>IF(NOT('Calculos'!H$10),"",IF('Calculos'!$E6,'Calculos'!H6,"–"))</f>
        <v/>
      </c>
      <c r="E27" s="20">
        <f>IF(NOT('Calculos'!I$10),"",IF('Calculos'!$E6,'Calculos'!I6,"–"))</f>
        <v/>
      </c>
      <c r="F27" s="20">
        <f>IF(NOT('Calculos'!J$10),"",IF('Calculos'!$E6,'Calculos'!J6,"–"))</f>
        <v/>
      </c>
      <c r="H27" s="32">
        <f>IF(ISNUMBER(C27),C27,"")</f>
        <v/>
      </c>
      <c r="I27" s="32">
        <f>IF(AND(ISNUMBER(D27),ISNUMBER(C27)),D27-C27,"")</f>
        <v/>
      </c>
      <c r="J27" s="32">
        <f>IF(AND(ISNUMBER(E27),ISNUMBER(D27)),E27-D27,"")</f>
        <v/>
      </c>
      <c r="K27" s="32">
        <f>IF(AND(ISNUMBER(F27),ISNUMBER(E27)),F27-E27,"")</f>
        <v/>
      </c>
      <c r="L27" s="20">
        <f>IFERROR(MetaFinal-LOOKUP(2,1/ISNUMBER(C27:F27),C27:F27),"")</f>
        <v/>
      </c>
      <c r="M27" s="22" t="n"/>
      <c r="P27" t="inlineStr">
        <is>
          <t>R. Financiero</t>
        </is>
      </c>
    </row>
    <row r="28">
      <c r="B28" s="25">
        <f>'Calculos'!A7</f>
        <v/>
      </c>
      <c r="C28" s="20">
        <f>IF(NOT('Calculos'!G$10),"",IF('Calculos'!$E7,'Calculos'!G7,"–"))</f>
        <v/>
      </c>
      <c r="D28" s="20">
        <f>IF(NOT('Calculos'!H$10),"",IF('Calculos'!$E7,'Calculos'!H7,"–"))</f>
        <v/>
      </c>
      <c r="E28" s="20">
        <f>IF(NOT('Calculos'!I$10),"",IF('Calculos'!$E7,'Calculos'!I7,"–"))</f>
        <v/>
      </c>
      <c r="F28" s="20">
        <f>IF(NOT('Calculos'!J$10),"",IF('Calculos'!$E7,'Calculos'!J7,"–"))</f>
        <v/>
      </c>
      <c r="H28" s="32">
        <f>IF(ISNUMBER(C28),C28,"")</f>
        <v/>
      </c>
      <c r="I28" s="32">
        <f>IF(AND(ISNUMBER(D28),ISNUMBER(C28)),D28-C28,"")</f>
        <v/>
      </c>
      <c r="J28" s="32">
        <f>IF(AND(ISNUMBER(E28),ISNUMBER(D28)),E28-D28,"")</f>
        <v/>
      </c>
      <c r="K28" s="32">
        <f>IF(AND(ISNUMBER(F28),ISNUMBER(E28)),F28-E28,"")</f>
        <v/>
      </c>
      <c r="L28" s="20">
        <f>IFERROR(MetaFinal-LOOKUP(2,1/ISNUMBER(C28:F28),C28:F28),"")</f>
        <v/>
      </c>
      <c r="M28" s="22" t="n"/>
      <c r="P28" t="inlineStr">
        <is>
          <t>Asistente Técnico</t>
        </is>
      </c>
    </row>
    <row r="29">
      <c r="B29" s="26" t="inlineStr">
        <is>
          <t>Avance general de las actividades</t>
        </is>
      </c>
      <c r="C29" s="27">
        <f>IF(NOT('Calculos'!G$10),"",IF('Calculos'!$E$8,'Calculos'!G8,"n/d"))</f>
        <v/>
      </c>
      <c r="D29" s="27">
        <f>IF(NOT('Calculos'!H$10),"",IF('Calculos'!$E$8,'Calculos'!H8,"n/d"))</f>
        <v/>
      </c>
      <c r="E29" s="27">
        <f>IF(NOT('Calculos'!I$10),"",IF('Calculos'!$E$8,'Calculos'!I8,"n/d"))</f>
        <v/>
      </c>
      <c r="F29" s="27">
        <f>IF(NOT('Calculos'!J$10),"",IF('Calculos'!$E$8,'Calculos'!J8,"n/d"))</f>
        <v/>
      </c>
      <c r="H29" s="33">
        <f>IF(ISNUMBER(C29),C29,"")</f>
        <v/>
      </c>
      <c r="I29" s="33">
        <f>IF(AND(ISNUMBER(D29),ISNUMBER(C29)),D29-C29,"")</f>
        <v/>
      </c>
      <c r="J29" s="33">
        <f>IF(AND(ISNUMBER(E29),ISNUMBER(D29)),E29-D29,"")</f>
        <v/>
      </c>
      <c r="K29" s="33">
        <f>IF(AND(ISNUMBER(F29),ISNUMBER(E29)),F29-E29,"")</f>
        <v/>
      </c>
      <c r="L29" s="27">
        <f>IFERROR(MetaFinal-LOOKUP(2,1/ISNUMBER(C29:F29),C29:F29),"")</f>
        <v/>
      </c>
      <c r="M29" s="29" t="n"/>
    </row>
    <row r="30">
      <c r="B30" s="34" t="inlineStr">
        <is>
          <t>Plan de referencia (supuesto)</t>
        </is>
      </c>
      <c r="C30" s="35">
        <f>INDEX(PlanRef,1)</f>
        <v/>
      </c>
      <c r="D30" s="35">
        <f>INDEX(PlanRef,2)</f>
        <v/>
      </c>
      <c r="E30" s="35">
        <f>INDEX(PlanRef,3)</f>
        <v/>
      </c>
      <c r="F30" s="35">
        <f>INDEX(PlanRef,4)</f>
        <v/>
      </c>
      <c r="H30" s="36" t="n"/>
      <c r="I30" s="36" t="n"/>
      <c r="J30" s="36" t="n"/>
      <c r="K30" s="36" t="n"/>
      <c r="L30" s="37" t="n"/>
      <c r="M30" s="37" t="n"/>
      <c r="P30" t="inlineStr">
        <is>
          <t>Plan de referencia</t>
        </is>
      </c>
    </row>
    <row r="31">
      <c r="B31" s="38" t="inlineStr">
        <is>
          <t>Meta final</t>
        </is>
      </c>
      <c r="C31" s="39">
        <f>MetaFinal</f>
        <v/>
      </c>
      <c r="D31" s="39">
        <f>MetaFinal</f>
        <v/>
      </c>
      <c r="E31" s="39">
        <f>MetaFinal</f>
        <v/>
      </c>
      <c r="F31" s="39">
        <f>MetaFinal</f>
        <v/>
      </c>
      <c r="H31" s="36" t="n"/>
      <c r="I31" s="36" t="n"/>
      <c r="J31" s="36" t="n"/>
      <c r="K31" s="36" t="n"/>
      <c r="L31" s="37" t="n"/>
      <c r="M31" s="37" t="n"/>
    </row>
    <row r="33" ht="26" customHeight="1">
      <c r="B33" s="40" t="inlineStr">
        <is>
          <t>Lectura: el acumulado NO se suma entre semanas; el incremento es la diferencia entre semanas consecutivas. «–» = puesto sin configuración válida; «n/d» = avance general no definitivo; celda vacía = semana aún no alcanzada. Ámbar = acumulado por debajo del plan de referencia.</t>
        </is>
      </c>
      <c r="C33" s="40" t="n"/>
      <c r="D33" s="40" t="n"/>
      <c r="E33" s="40" t="n"/>
      <c r="F33" s="40" t="n"/>
      <c r="G33" s="40" t="n"/>
      <c r="H33" s="40" t="n"/>
      <c r="I33" s="40" t="n"/>
      <c r="J33" s="40" t="n"/>
      <c r="K33" s="40" t="n"/>
      <c r="L33" s="40" t="n"/>
      <c r="M33" s="40" t="n"/>
    </row>
    <row r="68" ht="24" customHeight="1">
      <c r="B68" s="17" t="inlineStr">
        <is>
          <t>Control de calidad de datos</t>
        </is>
      </c>
      <c r="C68" s="17" t="n"/>
      <c r="D68" s="17" t="n"/>
      <c r="E68" s="17" t="n"/>
      <c r="F68" s="17" t="n"/>
      <c r="G68" s="17" t="n"/>
      <c r="H68" s="17" t="n"/>
      <c r="I68" s="17" t="n"/>
      <c r="J68" s="17" t="n"/>
      <c r="K68" s="17" t="n"/>
      <c r="L68" s="17" t="n"/>
      <c r="M68" s="17" t="n"/>
    </row>
    <row r="69">
      <c r="B69" s="7" t="inlineStr">
        <is>
          <t>Verificación</t>
        </is>
      </c>
      <c r="C69" s="7" t="n"/>
      <c r="D69" s="7" t="n"/>
      <c r="E69" s="7" t="n"/>
      <c r="F69" s="7" t="n"/>
      <c r="G69" s="7" t="inlineStr">
        <is>
          <t>Casos</t>
        </is>
      </c>
      <c r="H69" s="7" t="inlineStr">
        <is>
          <t>Resultado</t>
        </is>
      </c>
      <c r="I69" s="7" t="inlineStr">
        <is>
          <t>Acción sugerida</t>
        </is>
      </c>
      <c r="J69" s="7" t="n"/>
      <c r="K69" s="7" t="n"/>
      <c r="L69" s="7" t="n"/>
      <c r="M69" s="7" t="n"/>
    </row>
    <row r="70" ht="20" customHeight="1">
      <c r="B70" s="41" t="inlineStr">
        <is>
          <t>Puestos sin actividades registradas</t>
        </is>
      </c>
      <c r="C70" s="41" t="n"/>
      <c r="D70" s="41" t="n"/>
      <c r="E70" s="41" t="n"/>
      <c r="F70" s="41" t="n"/>
      <c r="G70" s="42">
        <f>COUNTIF('Calculos'!B4:B7,0)</f>
        <v/>
      </c>
      <c r="H70" s="43">
        <f>IF(G70=0,"✔ OK",IF("crit"="warn","● Atención","⚠ Revisar"))</f>
        <v/>
      </c>
      <c r="I70" s="44" t="inlineStr">
        <is>
          <t>Registrar al menos una macroactividad por puesto.</t>
        </is>
      </c>
      <c r="J70" s="44" t="n"/>
      <c r="K70" s="44" t="n"/>
      <c r="L70" s="44" t="n"/>
      <c r="M70" s="44" t="n"/>
    </row>
    <row r="71" ht="20" customHeight="1">
      <c r="B71" s="41" t="inlineStr">
        <is>
          <t>Puestos con pesos no válidos (fuera de 0–100%)</t>
        </is>
      </c>
      <c r="C71" s="41" t="n"/>
      <c r="D71" s="41" t="n"/>
      <c r="E71" s="41" t="n"/>
      <c r="F71" s="41" t="n"/>
      <c r="G71" s="42">
        <f>COUNTIFS('Calculos'!B4:B7,"&gt;0",'Calculos'!E4:E7,FALSE)</f>
        <v/>
      </c>
      <c r="H71" s="43">
        <f>IF(G71=0,"✔ OK",IF("crit"="warn","● Atención","⚠ Revisar"))</f>
        <v/>
      </c>
      <c r="I71" s="44" t="inlineStr">
        <is>
          <t>Corregir el peso (los pesos se ajustan solos a 100%).</t>
        </is>
      </c>
      <c r="J71" s="44" t="n"/>
      <c r="K71" s="44" t="n"/>
      <c r="L71" s="44" t="n"/>
      <c r="M71" s="44" t="n"/>
    </row>
    <row r="72" ht="20" customHeight="1">
      <c r="B72" s="41" t="inlineStr">
        <is>
          <t>Actividades con peso vacío o fuera de rango</t>
        </is>
      </c>
      <c r="C72" s="41" t="n"/>
      <c r="D72" s="41" t="n"/>
      <c r="E72" s="41" t="n"/>
      <c r="F72" s="41" t="n"/>
      <c r="G72" s="42">
        <f>SUMPRODUCT((rMes_RO=MesCiclo)*((ISNUMBER(SEARCH("Peso vacío",rValid_RO))+ISNUMBER(SEARCH("Peso fuera de rango",rValid_RO)))&gt;0))+SUMPRODUCT((rMes_RN=MesCiclo)*((ISNUMBER(SEARCH("Peso vacío",rValid_RN))+ISNUMBER(SEARCH("Peso fuera de rango",rValid_RN)))&gt;0))+SUMPRODUCT((rMes_RF=MesCiclo)*((ISNUMBER(SEARCH("Peso vacío",rValid_RF))+ISNUMBER(SEARCH("Peso fuera de rango",rValid_RF)))&gt;0))+SUMPRODUCT((rMes_ATR=MesCiclo)*((ISNUMBER(SEARCH("Peso vacío",rValid_ATR))+ISNUMBER(SEARCH("Peso fuera de rango",rValid_ATR)))&gt;0))</f>
        <v/>
      </c>
      <c r="H72" s="43">
        <f>IF(G72=0,"✔ OK",IF("crit"="warn","● Atención","⚠ Revisar"))</f>
        <v/>
      </c>
      <c r="I72" s="44" t="inlineStr">
        <is>
          <t>Ingresar un peso entre 0% y 100% (mayor que 0).</t>
        </is>
      </c>
      <c r="J72" s="44" t="n"/>
      <c r="K72" s="44" t="n"/>
      <c r="L72" s="44" t="n"/>
      <c r="M72" s="44" t="n"/>
    </row>
    <row r="73" ht="20" customHeight="1">
      <c r="B73" s="41" t="inlineStr">
        <is>
          <t>Actividades sin fecha límite</t>
        </is>
      </c>
      <c r="C73" s="41" t="n"/>
      <c r="D73" s="41" t="n"/>
      <c r="E73" s="41" t="n"/>
      <c r="F73" s="41" t="n"/>
      <c r="G73" s="42">
        <f>SUMPRODUCT((rMes_RO=MesCiclo)*((ISNUMBER(SEARCH("Sin fecha límite",rValid_RO)))&gt;0))+SUMPRODUCT((rMes_RN=MesCiclo)*((ISNUMBER(SEARCH("Sin fecha límite",rValid_RN)))&gt;0))+SUMPRODUCT((rMes_RF=MesCiclo)*((ISNUMBER(SEARCH("Sin fecha límite",rValid_RF)))&gt;0))+SUMPRODUCT((rMes_ATR=MesCiclo)*((ISNUMBER(SEARCH("Sin fecha límite",rValid_ATR)))&gt;0))</f>
        <v/>
      </c>
      <c r="H73" s="43">
        <f>IF(G73=0,"✔ OK",IF("crit"="warn","● Atención","⚠ Revisar"))</f>
        <v/>
      </c>
      <c r="I73" s="44" t="inlineStr">
        <is>
          <t>Registrar la fecha límite.</t>
        </is>
      </c>
      <c r="J73" s="44" t="n"/>
      <c r="K73" s="44" t="n"/>
      <c r="L73" s="44" t="n"/>
      <c r="M73" s="44" t="n"/>
    </row>
    <row r="74" ht="20" customHeight="1">
      <c r="B74" s="41" t="inlineStr">
        <is>
          <t>Fechas incoherentes o no válidas (incluye sin fecha de inicio)</t>
        </is>
      </c>
      <c r="C74" s="41" t="n"/>
      <c r="D74" s="41" t="n"/>
      <c r="E74" s="41" t="n"/>
      <c r="F74" s="41" t="n"/>
      <c r="G74" s="42">
        <f>SUMPRODUCT((rMes_RO=MesCiclo)*((ISNUMBER(SEARCH("Inicio posterior",rValid_RO))+ISNUMBER(SEARCH("Fecha no válida",rValid_RO))+ISNUMBER(SEARCH("Sin fecha de inicio",rValid_RO)))&gt;0))+SUMPRODUCT((rMes_RN=MesCiclo)*((ISNUMBER(SEARCH("Inicio posterior",rValid_RN))+ISNUMBER(SEARCH("Fecha no válida",rValid_RN))+ISNUMBER(SEARCH("Sin fecha de inicio",rValid_RN)))&gt;0))+SUMPRODUCT((rMes_RF=MesCiclo)*((ISNUMBER(SEARCH("Inicio posterior",rValid_RF))+ISNUMBER(SEARCH("Fecha no válida",rValid_RF))+ISNUMBER(SEARCH("Sin fecha de inicio",rValid_RF)))&gt;0))+SUMPRODUCT((rMes_ATR=MesCiclo)*((ISNUMBER(SEARCH("Inicio posterior",rValid_ATR))+ISNUMBER(SEARCH("Fecha no válida",rValid_ATR))+ISNUMBER(SEARCH("Sin fecha de inicio",rValid_ATR)))&gt;0))</f>
        <v/>
      </c>
      <c r="H74" s="43">
        <f>IF(G74=0,"✔ OK",IF("crit"="warn","● Atención","⚠ Revisar"))</f>
        <v/>
      </c>
      <c r="I74" s="44" t="inlineStr">
        <is>
          <t>La fecha de inicio debe ser anterior o igual a la fecha límite.</t>
        </is>
      </c>
      <c r="J74" s="44" t="n"/>
      <c r="K74" s="44" t="n"/>
      <c r="L74" s="44" t="n"/>
      <c r="M74" s="44" t="n"/>
    </row>
    <row r="75" ht="20" customHeight="1">
      <c r="B75" s="41" t="inlineStr">
        <is>
          <t>Porcentajes de avance &gt; 100%, &lt; 0% o no numéricos</t>
        </is>
      </c>
      <c r="C75" s="41" t="n"/>
      <c r="D75" s="41" t="n"/>
      <c r="E75" s="41" t="n"/>
      <c r="F75" s="41" t="n"/>
      <c r="G75" s="42">
        <f>SUMPRODUCT((rMes_RO=MesCiclo)*((ISNUMBER(SEARCH("Avance fuera de rango",rValid_RO)))&gt;0))+SUMPRODUCT((rMes_RN=MesCiclo)*((ISNUMBER(SEARCH("Avance fuera de rango",rValid_RN)))&gt;0))+SUMPRODUCT((rMes_RF=MesCiclo)*((ISNUMBER(SEARCH("Avance fuera de rango",rValid_RF)))&gt;0))+SUMPRODUCT((rMes_ATR=MesCiclo)*((ISNUMBER(SEARCH("Avance fuera de rango",rValid_ATR)))&gt;0))</f>
        <v/>
      </c>
      <c r="H75" s="43">
        <f>IF(G75=0,"✔ OK",IF("crit"="warn","● Atención","⚠ Revisar"))</f>
        <v/>
      </c>
      <c r="I75" s="44" t="inlineStr">
        <is>
          <t>Corregir: los avances deben estar entre 0% y 100%.</t>
        </is>
      </c>
      <c r="J75" s="44" t="n"/>
      <c r="K75" s="44" t="n"/>
      <c r="L75" s="44" t="n"/>
      <c r="M75" s="44" t="n"/>
    </row>
    <row r="76" ht="20" customHeight="1">
      <c r="B76" s="41" t="inlineStr">
        <is>
          <t>Avance semanal menor que el de una semana anterior</t>
        </is>
      </c>
      <c r="C76" s="41" t="n"/>
      <c r="D76" s="41" t="n"/>
      <c r="E76" s="41" t="n"/>
      <c r="F76" s="41" t="n"/>
      <c r="G76" s="42">
        <f>SUMPRODUCT((rMes_RO=MesCiclo)*((ISNUMBER(SEARCH("decreciente",rValid_RO)))&gt;0))+SUMPRODUCT((rMes_RN=MesCiclo)*((ISNUMBER(SEARCH("decreciente",rValid_RN)))&gt;0))+SUMPRODUCT((rMes_RF=MesCiclo)*((ISNUMBER(SEARCH("decreciente",rValid_RF)))&gt;0))+SUMPRODUCT((rMes_ATR=MesCiclo)*((ISNUMBER(SEARCH("decreciente",rValid_ATR)))&gt;0))</f>
        <v/>
      </c>
      <c r="H76" s="43">
        <f>IF(G76=0,"✔ OK",IF("crit"="warn","● Atención","⚠ Revisar"))</f>
        <v/>
      </c>
      <c r="I76" s="44" t="inlineStr">
        <is>
          <t>Revisar: el avance es acumulado y no debería disminuir.</t>
        </is>
      </c>
      <c r="J76" s="44" t="n"/>
      <c r="K76" s="44" t="n"/>
      <c r="L76" s="44" t="n"/>
      <c r="M76" s="44" t="n"/>
    </row>
    <row r="77" ht="20" customHeight="1">
      <c r="B77" s="41" t="inlineStr">
        <is>
          <t>Actividades vencidas no completadas</t>
        </is>
      </c>
      <c r="C77" s="41" t="n"/>
      <c r="D77" s="41" t="n"/>
      <c r="E77" s="41" t="n"/>
      <c r="F77" s="41" t="n"/>
      <c r="G77" s="42">
        <f>'Calculos'!Q8</f>
        <v/>
      </c>
      <c r="H77" s="43">
        <f>IF(G77=0,"✔ OK",IF("crit"="warn","● Atención","⚠ Revisar"))</f>
        <v/>
      </c>
      <c r="I77" s="44" t="inlineStr">
        <is>
          <t>Actualizar avance o reprogramar con justificación en Observaciones.</t>
        </is>
      </c>
      <c r="J77" s="44" t="n"/>
      <c r="K77" s="44" t="n"/>
      <c r="L77" s="44" t="n"/>
      <c r="M77" s="44" t="n"/>
    </row>
    <row r="78" ht="20" customHeight="1">
      <c r="B78" s="41" t="inlineStr">
        <is>
          <t>Actividades próximas a vencer (no completadas)</t>
        </is>
      </c>
      <c r="C78" s="41" t="n"/>
      <c r="D78" s="41" t="n"/>
      <c r="E78" s="41" t="n"/>
      <c r="F78" s="41" t="n"/>
      <c r="G78" s="42">
        <f>'Calculos'!B13</f>
        <v/>
      </c>
      <c r="H78" s="43">
        <f>IF(G78=0,"✔ OK",IF("warn"="warn","● Atención","⚠ Revisar"))</f>
        <v/>
      </c>
      <c r="I78" s="44" t="inlineStr">
        <is>
          <t>Alerta preventiva: priorizar seguimiento.</t>
        </is>
      </c>
      <c r="J78" s="44" t="n"/>
      <c r="K78" s="44" t="n"/>
      <c r="L78" s="44" t="n"/>
      <c r="M78" s="44" t="n"/>
    </row>
    <row r="79" ht="20" customHeight="1">
      <c r="B79" s="41" t="inlineStr">
        <is>
          <t>Filas con datos pero sin nombre de macroactividad</t>
        </is>
      </c>
      <c r="C79" s="41" t="n"/>
      <c r="D79" s="41" t="n"/>
      <c r="E79" s="41" t="n"/>
      <c r="F79" s="41" t="n"/>
      <c r="G79" s="42">
        <f>SUMPRODUCT((rMes_RO=MesCiclo)*((ISNUMBER(SEARCH("Macroactividad vacía",rValid_RO)))&gt;0))+SUMPRODUCT((rMes_RN=MesCiclo)*((ISNUMBER(SEARCH("Macroactividad vacía",rValid_RN)))&gt;0))+SUMPRODUCT((rMes_RF=MesCiclo)*((ISNUMBER(SEARCH("Macroactividad vacía",rValid_RF)))&gt;0))+SUMPRODUCT((rMes_ATR=MesCiclo)*((ISNUMBER(SEARCH("Macroactividad vacía",rValid_ATR)))&gt;0))</f>
        <v/>
      </c>
      <c r="H79" s="43">
        <f>IF(G79=0,"✔ OK",IF("crit"="warn","● Atención","⚠ Revisar"))</f>
        <v/>
      </c>
      <c r="I79" s="44" t="inlineStr">
        <is>
          <t>Escribir el nombre de la actividad.</t>
        </is>
      </c>
      <c r="J79" s="44" t="n"/>
      <c r="K79" s="44" t="n"/>
      <c r="L79" s="44" t="n"/>
      <c r="M79" s="44" t="n"/>
    </row>
    <row r="80" ht="20" customHeight="1">
      <c r="B80" s="41" t="inlineStr">
        <is>
          <t>Actividades vencidas sin observación que explique el incumplimiento</t>
        </is>
      </c>
      <c r="C80" s="41" t="n"/>
      <c r="D80" s="41" t="n"/>
      <c r="E80" s="41" t="n"/>
      <c r="F80" s="41" t="n"/>
      <c r="G80" s="42">
        <f>SUMPRODUCT((rMes_RO=MesCiclo)*((ISNUMBER(SEARCH("sin observación",rValid_RO)))&gt;0))+SUMPRODUCT((rMes_RN=MesCiclo)*((ISNUMBER(SEARCH("sin observación",rValid_RN)))&gt;0))+SUMPRODUCT((rMes_RF=MesCiclo)*((ISNUMBER(SEARCH("sin observación",rValid_RF)))&gt;0))+SUMPRODUCT((rMes_ATR=MesCiclo)*((ISNUMBER(SEARCH("sin observación",rValid_ATR)))&gt;0))</f>
        <v/>
      </c>
      <c r="H80" s="43">
        <f>IF(G80=0,"✔ OK",IF("crit"="warn","● Atención","⚠ Revisar"))</f>
        <v/>
      </c>
      <c r="I80" s="44" t="inlineStr">
        <is>
          <t>Escribir en Observaciones por qué no se cumplió y la nueva fecha prevista.</t>
        </is>
      </c>
      <c r="J80" s="44" t="n"/>
      <c r="K80" s="44" t="n"/>
      <c r="L80" s="44" t="n"/>
      <c r="M80" s="44" t="n"/>
    </row>
    <row r="81" ht="20" customHeight="1">
      <c r="B81" s="41" t="inlineStr">
        <is>
          <t>Avance general no definitivo (puestos no válidos)</t>
        </is>
      </c>
      <c r="C81" s="41" t="n"/>
      <c r="D81" s="41" t="n"/>
      <c r="E81" s="41" t="n"/>
      <c r="F81" s="41" t="n"/>
      <c r="G81" s="42">
        <f>4-'Calculos'!C8</f>
        <v/>
      </c>
      <c r="H81" s="43">
        <f>IF(G81=0,"✔ OK",IF("crit"="warn","● Atención","⚠ Revisar"))</f>
        <v/>
      </c>
      <c r="I81" s="44" t="inlineStr">
        <is>
          <t>El avance general solo es definitivo con los 4 puestos válidos.</t>
        </is>
      </c>
      <c r="J81" s="44" t="n"/>
      <c r="K81" s="44" t="n"/>
      <c r="L81" s="44" t="n"/>
      <c r="M81" s="44" t="n"/>
    </row>
    <row r="82" ht="26" customHeight="1">
      <c r="B82" s="40" t="inlineStr">
        <is>
          <t>Detalle por actividad: columna «Revisión automática (alertas)» de la hoja «Cronograma …» de cada puesto (filtrar por «⚠»). Pendiente normal = sin avance y dentro de plazo; Vencida = fecha límite anterior a la fecha de corte sin llegar a 100%.</t>
        </is>
      </c>
      <c r="C82" s="40" t="n"/>
      <c r="D82" s="40" t="n"/>
      <c r="E82" s="40" t="n"/>
      <c r="F82" s="40" t="n"/>
      <c r="G82" s="40" t="n"/>
      <c r="H82" s="40" t="n"/>
      <c r="I82" s="40" t="n"/>
      <c r="J82" s="40" t="n"/>
      <c r="K82" s="40" t="n"/>
      <c r="L82" s="40" t="n"/>
      <c r="M82" s="40" t="n"/>
    </row>
    <row r="84" ht="24" customHeight="1">
      <c r="B84" s="17" t="inlineStr">
        <is>
          <t>Entregas por semana y alertas de plazo (macroactividades completadas / programadas)</t>
        </is>
      </c>
      <c r="C84" s="17" t="n"/>
      <c r="D84" s="17" t="n"/>
      <c r="E84" s="17" t="n"/>
      <c r="F84" s="17" t="n"/>
      <c r="G84" s="17" t="n"/>
      <c r="H84" s="17" t="n"/>
      <c r="I84" s="17" t="n"/>
      <c r="J84" s="17" t="n"/>
      <c r="K84" s="17" t="n"/>
      <c r="L84" s="17" t="n"/>
      <c r="M84" s="17" t="n"/>
    </row>
    <row r="85">
      <c r="B85" s="7" t="inlineStr">
        <is>
          <t>Puesto</t>
        </is>
      </c>
      <c r="C85" s="7" t="inlineStr">
        <is>
          <t>Semana 1</t>
        </is>
      </c>
      <c r="D85" s="7" t="inlineStr">
        <is>
          <t>Semana 2</t>
        </is>
      </c>
      <c r="E85" s="7" t="inlineStr">
        <is>
          <t>Semana 3</t>
        </is>
      </c>
      <c r="F85" s="7" t="inlineStr">
        <is>
          <t>Semana 4</t>
        </is>
      </c>
      <c r="G85" s="7" t="inlineStr">
        <is>
          <t>Total</t>
        </is>
      </c>
      <c r="H85" s="7" t="inlineStr">
        <is>
          <t>Vencidas</t>
        </is>
      </c>
      <c r="I85" s="7" t="inlineStr">
        <is>
          <t>Por vencer</t>
        </is>
      </c>
      <c r="J85" s="7" t="inlineStr">
        <is>
          <t>Alerta de plazo (actividades y subactividades del mes)</t>
        </is>
      </c>
      <c r="K85" s="7" t="n"/>
      <c r="L85" s="7" t="n"/>
      <c r="M85" s="7" t="n"/>
    </row>
    <row r="86">
      <c r="B86" s="19">
        <f>'Calculos'!A4</f>
        <v/>
      </c>
      <c r="C86" s="22">
        <f>COUNTIFS(hSemana_RO,"Semana 1",hEstado_RO,"Completado",hTipo_RO,"Macro")&amp;" / "&amp;COUNTIFS(hSemana_RO,"Semana 1",hTipo_RO,"Macro")</f>
        <v/>
      </c>
      <c r="D86" s="22">
        <f>COUNTIFS(hSemana_RO,"Semana 2",hEstado_RO,"Completado",hTipo_RO,"Macro")&amp;" / "&amp;COUNTIFS(hSemana_RO,"Semana 2",hTipo_RO,"Macro")</f>
        <v/>
      </c>
      <c r="E86" s="22">
        <f>COUNTIFS(hSemana_RO,"Semana 3",hEstado_RO,"Completado",hTipo_RO,"Macro")&amp;" / "&amp;COUNTIFS(hSemana_RO,"Semana 3",hTipo_RO,"Macro")</f>
        <v/>
      </c>
      <c r="F86" s="22">
        <f>COUNTIFS(hSemana_RO,"Semana 4",hEstado_RO,"Completado",hTipo_RO,"Macro")&amp;" / "&amp;COUNTIFS(hSemana_RO,"Semana 4",hTipo_RO,"Macro")</f>
        <v/>
      </c>
      <c r="G86" s="22">
        <f>COUNTIFS(hEstado_RO,"Completado",hTipo_RO,"Macro")&amp;" / "&amp;COUNTIFS(hEstado_RO,"?*",hTipo_RO,"Macro")</f>
        <v/>
      </c>
      <c r="H86" s="22">
        <f>COUNTIFS(rMes_RO,MesCiclo,rAlerta_RO,"Vencida*")</f>
        <v/>
      </c>
      <c r="I86" s="22">
        <f>COUNTIFS(rMes_RO,MesCiclo,rAlerta_RO,"Vence*")</f>
        <v/>
      </c>
      <c r="J86" s="45">
        <f>IF(H86+I86=0,"✔ Sin vencidas ni por vencer",IF(H86&gt;0,"⚠ "&amp;H86&amp;" vencida(s) sin cumplir","")&amp;IF(AND(H86&gt;0,I86&gt;0),"  ·  ","")&amp;IF(I86&gt;0,I86&amp;" por vencer (≤ "&amp;DiasAlerta&amp;" días)",""))</f>
        <v/>
      </c>
      <c r="K86" s="45" t="n"/>
      <c r="L86" s="45" t="n"/>
      <c r="M86" s="45" t="n"/>
    </row>
    <row r="87">
      <c r="B87" s="23">
        <f>'Calculos'!A5</f>
        <v/>
      </c>
      <c r="C87" s="22">
        <f>COUNTIFS(hSemana_RN,"Semana 1",hEstado_RN,"Completado",hTipo_RN,"Macro")&amp;" / "&amp;COUNTIFS(hSemana_RN,"Semana 1",hTipo_RN,"Macro")</f>
        <v/>
      </c>
      <c r="D87" s="22">
        <f>COUNTIFS(hSemana_RN,"Semana 2",hEstado_RN,"Completado",hTipo_RN,"Macro")&amp;" / "&amp;COUNTIFS(hSemana_RN,"Semana 2",hTipo_RN,"Macro")</f>
        <v/>
      </c>
      <c r="E87" s="22">
        <f>COUNTIFS(hSemana_RN,"Semana 3",hEstado_RN,"Completado",hTipo_RN,"Macro")&amp;" / "&amp;COUNTIFS(hSemana_RN,"Semana 3",hTipo_RN,"Macro")</f>
        <v/>
      </c>
      <c r="F87" s="22">
        <f>COUNTIFS(hSemana_RN,"Semana 4",hEstado_RN,"Completado",hTipo_RN,"Macro")&amp;" / "&amp;COUNTIFS(hSemana_RN,"Semana 4",hTipo_RN,"Macro")</f>
        <v/>
      </c>
      <c r="G87" s="22">
        <f>COUNTIFS(hEstado_RN,"Completado",hTipo_RN,"Macro")&amp;" / "&amp;COUNTIFS(hEstado_RN,"?*",hTipo_RN,"Macro")</f>
        <v/>
      </c>
      <c r="H87" s="22">
        <f>COUNTIFS(rMes_RN,MesCiclo,rAlerta_RN,"Vencida*")</f>
        <v/>
      </c>
      <c r="I87" s="22">
        <f>COUNTIFS(rMes_RN,MesCiclo,rAlerta_RN,"Vence*")</f>
        <v/>
      </c>
      <c r="J87" s="45">
        <f>IF(H87+I87=0,"✔ Sin vencidas ni por vencer",IF(H87&gt;0,"⚠ "&amp;H87&amp;" vencida(s) sin cumplir","")&amp;IF(AND(H87&gt;0,I87&gt;0),"  ·  ","")&amp;IF(I87&gt;0,I87&amp;" por vencer (≤ "&amp;DiasAlerta&amp;" días)",""))</f>
        <v/>
      </c>
      <c r="K87" s="45" t="n"/>
      <c r="L87" s="45" t="n"/>
      <c r="M87" s="45" t="n"/>
    </row>
    <row r="88">
      <c r="B88" s="24">
        <f>'Calculos'!A6</f>
        <v/>
      </c>
      <c r="C88" s="22">
        <f>COUNTIFS(hSemana_RF,"Semana 1",hEstado_RF,"Completado",hTipo_RF,"Macro")&amp;" / "&amp;COUNTIFS(hSemana_RF,"Semana 1",hTipo_RF,"Macro")</f>
        <v/>
      </c>
      <c r="D88" s="22">
        <f>COUNTIFS(hSemana_RF,"Semana 2",hEstado_RF,"Completado",hTipo_RF,"Macro")&amp;" / "&amp;COUNTIFS(hSemana_RF,"Semana 2",hTipo_RF,"Macro")</f>
        <v/>
      </c>
      <c r="E88" s="22">
        <f>COUNTIFS(hSemana_RF,"Semana 3",hEstado_RF,"Completado",hTipo_RF,"Macro")&amp;" / "&amp;COUNTIFS(hSemana_RF,"Semana 3",hTipo_RF,"Macro")</f>
        <v/>
      </c>
      <c r="F88" s="22">
        <f>COUNTIFS(hSemana_RF,"Semana 4",hEstado_RF,"Completado",hTipo_RF,"Macro")&amp;" / "&amp;COUNTIFS(hSemana_RF,"Semana 4",hTipo_RF,"Macro")</f>
        <v/>
      </c>
      <c r="G88" s="22">
        <f>COUNTIFS(hEstado_RF,"Completado",hTipo_RF,"Macro")&amp;" / "&amp;COUNTIFS(hEstado_RF,"?*",hTipo_RF,"Macro")</f>
        <v/>
      </c>
      <c r="H88" s="22">
        <f>COUNTIFS(rMes_RF,MesCiclo,rAlerta_RF,"Vencida*")</f>
        <v/>
      </c>
      <c r="I88" s="22">
        <f>COUNTIFS(rMes_RF,MesCiclo,rAlerta_RF,"Vence*")</f>
        <v/>
      </c>
      <c r="J88" s="45">
        <f>IF(H88+I88=0,"✔ Sin vencidas ni por vencer",IF(H88&gt;0,"⚠ "&amp;H88&amp;" vencida(s) sin cumplir","")&amp;IF(AND(H88&gt;0,I88&gt;0),"  ·  ","")&amp;IF(I88&gt;0,I88&amp;" por vencer (≤ "&amp;DiasAlerta&amp;" días)",""))</f>
        <v/>
      </c>
      <c r="K88" s="45" t="n"/>
      <c r="L88" s="45" t="n"/>
      <c r="M88" s="45" t="n"/>
    </row>
    <row r="89">
      <c r="B89" s="25">
        <f>'Calculos'!A7</f>
        <v/>
      </c>
      <c r="C89" s="22">
        <f>COUNTIFS(hSemana_ATR,"Semana 1",hEstado_ATR,"Completado",hTipo_ATR,"Macro")&amp;" / "&amp;COUNTIFS(hSemana_ATR,"Semana 1",hTipo_ATR,"Macro")</f>
        <v/>
      </c>
      <c r="D89" s="22">
        <f>COUNTIFS(hSemana_ATR,"Semana 2",hEstado_ATR,"Completado",hTipo_ATR,"Macro")&amp;" / "&amp;COUNTIFS(hSemana_ATR,"Semana 2",hTipo_ATR,"Macro")</f>
        <v/>
      </c>
      <c r="E89" s="22">
        <f>COUNTIFS(hSemana_ATR,"Semana 3",hEstado_ATR,"Completado",hTipo_ATR,"Macro")&amp;" / "&amp;COUNTIFS(hSemana_ATR,"Semana 3",hTipo_ATR,"Macro")</f>
        <v/>
      </c>
      <c r="F89" s="22">
        <f>COUNTIFS(hSemana_ATR,"Semana 4",hEstado_ATR,"Completado",hTipo_ATR,"Macro")&amp;" / "&amp;COUNTIFS(hSemana_ATR,"Semana 4",hTipo_ATR,"Macro")</f>
        <v/>
      </c>
      <c r="G89" s="22">
        <f>COUNTIFS(hEstado_ATR,"Completado",hTipo_ATR,"Macro")&amp;" / "&amp;COUNTIFS(hEstado_ATR,"?*",hTipo_ATR,"Macro")</f>
        <v/>
      </c>
      <c r="H89" s="22">
        <f>COUNTIFS(rMes_ATR,MesCiclo,rAlerta_ATR,"Vencida*")</f>
        <v/>
      </c>
      <c r="I89" s="22">
        <f>COUNTIFS(rMes_ATR,MesCiclo,rAlerta_ATR,"Vence*")</f>
        <v/>
      </c>
      <c r="J89" s="45">
        <f>IF(H89+I89=0,"✔ Sin vencidas ni por vencer",IF(H89&gt;0,"⚠ "&amp;H89&amp;" vencida(s) sin cumplir","")&amp;IF(AND(H89&gt;0,I89&gt;0),"  ·  ","")&amp;IF(I89&gt;0,I89&amp;" por vencer (≤ "&amp;DiasAlerta&amp;" días)",""))</f>
        <v/>
      </c>
      <c r="K89" s="45" t="n"/>
      <c r="L89" s="45" t="n"/>
      <c r="M89" s="45" t="n"/>
    </row>
    <row r="90">
      <c r="B90" s="46" t="inlineStr">
        <is>
          <t>Administración (jefatura)</t>
        </is>
      </c>
      <c r="C90" s="22" t="inlineStr">
        <is>
          <t>—</t>
        </is>
      </c>
      <c r="D90" s="22" t="inlineStr">
        <is>
          <t>—</t>
        </is>
      </c>
      <c r="E90" s="22" t="inlineStr">
        <is>
          <t>—</t>
        </is>
      </c>
      <c r="F90" s="22" t="inlineStr">
        <is>
          <t>—</t>
        </is>
      </c>
      <c r="G90" s="22">
        <f>COUNTIFS(rMes_ADM,MesCiclo,rTipo_ADM,"Macro",rEstado_ADM,"Completado")&amp;" / "&amp;COUNTIFS(rMes_ADM,MesCiclo,rTipo_ADM,"Macro")</f>
        <v/>
      </c>
      <c r="H90" s="22">
        <f>COUNTIFS(rMes_ADM,MesCiclo,rAlerta_ADM,"Vencida*")</f>
        <v/>
      </c>
      <c r="I90" s="22">
        <f>COUNTIFS(rMes_ADM,MesCiclo,rAlerta_ADM,"Vence*")</f>
        <v/>
      </c>
      <c r="J90" s="45">
        <f>IF(H90+I90=0,"✔ Sin vencidas ni por vencer",IF(H90&gt;0,"⚠ "&amp;H90&amp;" vencida(s) sin cumplir","")&amp;IF(AND(H90&gt;0,I90&gt;0),"  ·  ","")&amp;IF(I90&gt;0,I90&amp;" por vencer (≤ "&amp;DiasAlerta&amp;" días)",""))</f>
        <v/>
      </c>
      <c r="K90" s="45" t="n"/>
      <c r="L90" s="45" t="n"/>
      <c r="M90" s="45" t="n"/>
    </row>
  </sheetData>
  <sheetProtection selectLockedCells="0" selectUnlockedCells="0" sheet="1" objects="0" insertRows="1" insertHyperlinks="1" autoFilter="1" scenarios="0" formatColumns="1" deleteColumns="1" insertColumns="1" pivotTables="1" deleteRows="1" formatCells="1" formatRows="1" sort="1"/>
  <mergeCells count="83">
    <mergeCell ref="L17:M17"/>
    <mergeCell ref="B81:F81"/>
    <mergeCell ref="I77:M77"/>
    <mergeCell ref="I80:M80"/>
    <mergeCell ref="L19:M19"/>
    <mergeCell ref="B71:F71"/>
    <mergeCell ref="L28:M28"/>
    <mergeCell ref="I70:M70"/>
    <mergeCell ref="I72:M72"/>
    <mergeCell ref="B84:M84"/>
    <mergeCell ref="G12:M12"/>
    <mergeCell ref="B6:D6"/>
    <mergeCell ref="L29:M29"/>
    <mergeCell ref="K10:M10"/>
    <mergeCell ref="H5:J5"/>
    <mergeCell ref="B4:D4"/>
    <mergeCell ref="L31:M31"/>
    <mergeCell ref="I79:M79"/>
    <mergeCell ref="I73:M73"/>
    <mergeCell ref="K9:M9"/>
    <mergeCell ref="K5:M5"/>
    <mergeCell ref="J86:M86"/>
    <mergeCell ref="B80:F80"/>
    <mergeCell ref="I74:M74"/>
    <mergeCell ref="L16:M16"/>
    <mergeCell ref="B8:D8"/>
    <mergeCell ref="B72:F72"/>
    <mergeCell ref="J90:M90"/>
    <mergeCell ref="B82:M82"/>
    <mergeCell ref="E6:G6"/>
    <mergeCell ref="H23:K23"/>
    <mergeCell ref="B10:D10"/>
    <mergeCell ref="B70:F70"/>
    <mergeCell ref="K8:M8"/>
    <mergeCell ref="B9:D9"/>
    <mergeCell ref="B68:M68"/>
    <mergeCell ref="L30:M30"/>
    <mergeCell ref="B5:D5"/>
    <mergeCell ref="L20:M20"/>
    <mergeCell ref="K4:M4"/>
    <mergeCell ref="B74:F74"/>
    <mergeCell ref="I78:M78"/>
    <mergeCell ref="E8:G8"/>
    <mergeCell ref="H4:J4"/>
    <mergeCell ref="B76:F76"/>
    <mergeCell ref="J85:M85"/>
    <mergeCell ref="H6:J6"/>
    <mergeCell ref="E10:G10"/>
    <mergeCell ref="B75:F75"/>
    <mergeCell ref="E9:G9"/>
    <mergeCell ref="I76:M76"/>
    <mergeCell ref="L24:M24"/>
    <mergeCell ref="L18:M18"/>
    <mergeCell ref="I75:M75"/>
    <mergeCell ref="L26:M26"/>
    <mergeCell ref="B73:F73"/>
    <mergeCell ref="J88:M88"/>
    <mergeCell ref="H8:J8"/>
    <mergeCell ref="L25:M25"/>
    <mergeCell ref="H10:J10"/>
    <mergeCell ref="C12:F12"/>
    <mergeCell ref="B22:M22"/>
    <mergeCell ref="E4:G4"/>
    <mergeCell ref="H9:J9"/>
    <mergeCell ref="C23:F23"/>
    <mergeCell ref="I81:M81"/>
    <mergeCell ref="B14:M14"/>
    <mergeCell ref="B1:M1"/>
    <mergeCell ref="H2:M2"/>
    <mergeCell ref="B77:F77"/>
    <mergeCell ref="L15:M15"/>
    <mergeCell ref="L23:M23"/>
    <mergeCell ref="I71:M71"/>
    <mergeCell ref="B33:M33"/>
    <mergeCell ref="B69:F69"/>
    <mergeCell ref="B78:F78"/>
    <mergeCell ref="K6:M6"/>
    <mergeCell ref="J87:M87"/>
    <mergeCell ref="J89:M89"/>
    <mergeCell ref="E5:G5"/>
    <mergeCell ref="L27:M27"/>
    <mergeCell ref="B79:F79"/>
    <mergeCell ref="I69:M69"/>
  </mergeCells>
  <conditionalFormatting sqref="B5">
    <cfRule type="expression" priority="1" dxfId="0">
      <formula>AND(ISNUMBER($B$5),$B$5&gt;=1)</formula>
    </cfRule>
    <cfRule type="expression" priority="2" dxfId="1">
      <formula>NOT(ISNUMBER($B$5))</formula>
    </cfRule>
  </conditionalFormatting>
  <conditionalFormatting sqref="K9">
    <cfRule type="expression" priority="3" dxfId="2">
      <formula>$K$9&gt;0</formula>
    </cfRule>
    <cfRule type="expression" priority="4" dxfId="0">
      <formula>$K$9=0</formula>
    </cfRule>
  </conditionalFormatting>
  <conditionalFormatting sqref="H9">
    <cfRule type="expression" priority="5" dxfId="0">
      <formula>$H$9=4</formula>
    </cfRule>
  </conditionalFormatting>
  <conditionalFormatting sqref="E9">
    <cfRule type="expression" priority="6" dxfId="0">
      <formula>$E$9&gt;0</formula>
    </cfRule>
  </conditionalFormatting>
  <conditionalFormatting sqref="C12:F12">
    <cfRule type="dataBar" priority="7">
      <dataBar showValue="1">
        <cfvo type="num" val="0"/>
        <cfvo type="num" val="1"/>
        <color rgb="002E75B6"/>
      </dataBar>
    </cfRule>
  </conditionalFormatting>
  <conditionalFormatting sqref="G12:M12">
    <cfRule type="expression" priority="8" dxfId="3" stopIfTrue="1">
      <formula>ISNUMBER(SEARCH("Enhorabuena",$G$12))</formula>
    </cfRule>
    <cfRule type="expression" priority="9" dxfId="0" stopIfTrue="1">
      <formula>ISNUMBER(SEARCH("ompletad",$G$12))</formula>
    </cfRule>
    <cfRule type="expression" priority="10" dxfId="2" stopIfTrue="1">
      <formula>LEFT($G$12,1)="⚠"</formula>
    </cfRule>
    <cfRule type="expression" priority="11" dxfId="4">
      <formula>ISNUMBER(SEARCH("ejecución",$G$12))</formula>
    </cfRule>
  </conditionalFormatting>
  <conditionalFormatting sqref="D16:D20">
    <cfRule type="dataBar" priority="12">
      <dataBar showValue="0">
        <cfvo type="num" val="0"/>
        <cfvo type="num" val="1"/>
        <color rgb="002E75B6"/>
      </dataBar>
    </cfRule>
  </conditionalFormatting>
  <conditionalFormatting sqref="C16:C20">
    <cfRule type="expression" priority="13" dxfId="0">
      <formula>AND(ISNUMBER(C16),C16&gt;=1)</formula>
    </cfRule>
    <cfRule type="expression" priority="14" dxfId="4">
      <formula>AND(ISNUMBER(C16),C16&gt;0,C16&lt;1)</formula>
    </cfRule>
    <cfRule type="expression" priority="15" dxfId="2">
      <formula>OR(NOT(ISNUMBER(C16)),C16=0)</formula>
    </cfRule>
  </conditionalFormatting>
  <conditionalFormatting sqref="K16:K20">
    <cfRule type="expression" priority="16" dxfId="0">
      <formula>K16="Completado"</formula>
    </cfRule>
    <cfRule type="expression" priority="17" dxfId="4">
      <formula>K16="En curso"</formula>
    </cfRule>
    <cfRule type="expression" priority="18" dxfId="1">
      <formula>OR(K16="Sin actividades",K16="Pesos no válidos",K16="No definitivo")</formula>
    </cfRule>
    <cfRule type="expression" priority="19" dxfId="5">
      <formula>K16="Pendiente"</formula>
    </cfRule>
  </conditionalFormatting>
  <conditionalFormatting sqref="I16:J20">
    <cfRule type="expression" priority="20" dxfId="6">
      <formula>I16&gt;0</formula>
    </cfRule>
  </conditionalFormatting>
  <conditionalFormatting sqref="L16:M20">
    <cfRule type="expression" priority="21" dxfId="3" stopIfTrue="1">
      <formula>ISNUMBER(SEARCH("Enhorabuena",$L16))</formula>
    </cfRule>
    <cfRule type="expression" priority="22" dxfId="0" stopIfTrue="1">
      <formula>ISNUMBER(SEARCH("ompletad",$L16))</formula>
    </cfRule>
    <cfRule type="expression" priority="23" dxfId="2" stopIfTrue="1">
      <formula>LEFT($L16,1)="⚠"</formula>
    </cfRule>
    <cfRule type="expression" priority="24" dxfId="4">
      <formula>ISNUMBER(SEARCH("ejecución",$L16))</formula>
    </cfRule>
  </conditionalFormatting>
  <conditionalFormatting sqref="C25:F29">
    <cfRule type="expression" priority="25" dxfId="0">
      <formula>AND(ISNUMBER(C25),C25&gt;=1)</formula>
    </cfRule>
    <cfRule type="expression" priority="26" dxfId="7">
      <formula>AND(ISNUMBER(C25),C25&lt;INDEX(PlanRef,COLUMN(C25)-2))</formula>
    </cfRule>
  </conditionalFormatting>
  <conditionalFormatting sqref="H25:K29">
    <cfRule type="expression" priority="27" dxfId="2">
      <formula>AND(ISNUMBER(H25),H25&lt;0)</formula>
    </cfRule>
  </conditionalFormatting>
  <conditionalFormatting sqref="H70:H81">
    <cfRule type="expression" priority="28" dxfId="0">
      <formula>LEFT(H70,1)="✔"</formula>
    </cfRule>
    <cfRule type="expression" priority="29" dxfId="1">
      <formula>LEFT(H70,1)="●"</formula>
    </cfRule>
    <cfRule type="expression" priority="30" dxfId="2">
      <formula>LEFT(H70,1)="⚠"</formula>
    </cfRule>
  </conditionalFormatting>
  <conditionalFormatting sqref="H86:H90">
    <cfRule type="expression" priority="31" dxfId="8">
      <formula>H86&gt;0</formula>
    </cfRule>
  </conditionalFormatting>
  <conditionalFormatting sqref="I86:I90">
    <cfRule type="expression" priority="32" dxfId="9">
      <formula>I86&gt;0</formula>
    </cfRule>
  </conditionalFormatting>
  <conditionalFormatting sqref="J86:M90">
    <cfRule type="expression" priority="33" dxfId="8" stopIfTrue="1">
      <formula>$H86&gt;0</formula>
    </cfRule>
    <cfRule type="expression" priority="34" dxfId="9" stopIfTrue="1">
      <formula>$I86&gt;0</formula>
    </cfRule>
    <cfRule type="expression" priority="35" dxfId="0">
      <formula>LEFT($J86,1)="✔"</formula>
    </cfRule>
  </conditionalFormatting>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86" r:id="rId5"/>
    <hyperlink xmlns:r="http://schemas.openxmlformats.org/officeDocument/2006/relationships" ref="B87" r:id="rId6"/>
    <hyperlink xmlns:r="http://schemas.openxmlformats.org/officeDocument/2006/relationships" ref="B88" r:id="rId7"/>
    <hyperlink xmlns:r="http://schemas.openxmlformats.org/officeDocument/2006/relationships" ref="B89" r:id="rId8"/>
    <hyperlink xmlns:r="http://schemas.openxmlformats.org/officeDocument/2006/relationships" ref="B90" r:id="rId9"/>
  </hyperlinks>
  <pageMargins left="0.3" right="0.3" top="0.4" bottom="0.4" header="0.5" footer="0.5"/>
  <pageSetup orientation="landscape" paperSize="1" fitToHeight="0" fitToWidth="1"/>
  <headerFooter>
    <oddHeader/>
    <oddFooter>&amp;CPágina &amp;P de &amp;N</oddFooter>
    <evenHeader/>
    <evenFooter/>
    <firstHeader/>
    <firstFooter/>
  </headerFooter>
  <rowBreaks count="2" manualBreakCount="2">
    <brk id="34" min="0" max="16383" man="1"/>
    <brk id="66" min="0" max="16383" man="1"/>
  </rowBreaks>
  <drawing xmlns:r="http://schemas.openxmlformats.org/officeDocument/2006/relationships" r:id="rId10"/>
</worksheet>
</file>

<file path=xl/worksheets/sheet2.xml><?xml version="1.0" encoding="utf-8"?>
<worksheet xmlns="http://schemas.openxmlformats.org/spreadsheetml/2006/main">
  <sheetPr>
    <tabColor rgb="00595959"/>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47" t="inlineStr">
        <is>
          <t>Administración (jefatura) – Actividades de la jefatura</t>
        </is>
      </c>
      <c r="B1" s="47" t="n"/>
      <c r="C1" s="47" t="n"/>
      <c r="D1" s="47" t="n"/>
      <c r="E1" s="47" t="n"/>
      <c r="F1" s="47" t="n"/>
      <c r="G1" s="47" t="n"/>
      <c r="H1" s="47" t="n"/>
      <c r="I1" s="47" t="n"/>
      <c r="J1" s="47" t="n"/>
      <c r="K1" s="47" t="n"/>
      <c r="L1" s="47" t="n"/>
      <c r="M1" s="47" t="n"/>
      <c r="N1" s="47" t="n"/>
      <c r="O1" s="47" t="n"/>
      <c r="P1" s="47" t="n"/>
      <c r="Q1" s="47" t="n"/>
      <c r="R1" s="47" t="n"/>
      <c r="S1" s="47"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5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53" t="inlineStr">
        <is>
          <t>En «Delegar a» elija el puesto: la actividad le llega a su Cronograma y aquí verá su avance.</t>
        </is>
      </c>
      <c r="R3" s="53" t="n"/>
      <c r="S3" s="53" t="n"/>
    </row>
    <row r="4" ht="42" customHeight="1">
      <c r="A4" s="54" t="inlineStr">
        <is>
          <t>N°</t>
        </is>
      </c>
      <c r="B4" s="55" t="inlineStr">
        <is>
          <t>Tipo</t>
        </is>
      </c>
      <c r="C4" s="55" t="inlineStr">
        <is>
          <t>Actividad</t>
        </is>
      </c>
      <c r="D4" s="55" t="inlineStr">
        <is>
          <t>Delegar a</t>
        </is>
      </c>
      <c r="E4" s="55" t="inlineStr">
        <is>
          <t>Fecha de inicio</t>
        </is>
      </c>
      <c r="F4" s="55" t="inlineStr">
        <is>
          <t>Fecha límite</t>
        </is>
      </c>
      <c r="G4" s="55" t="inlineStr">
        <is>
          <t>Fecha de cumplimiento</t>
        </is>
      </c>
      <c r="H4" s="55" t="inlineStr">
        <is>
          <t>Peso / % de la subactividad</t>
        </is>
      </c>
      <c r="I4" s="55" t="inlineStr">
        <is>
          <t>Avance Semana 1 (%)</t>
        </is>
      </c>
      <c r="J4" s="55" t="inlineStr">
        <is>
          <t>Avance Semana 2 (%)</t>
        </is>
      </c>
      <c r="K4" s="55" t="inlineStr">
        <is>
          <t>Avance Semana 3 (%)</t>
        </is>
      </c>
      <c r="L4" s="55" t="inlineStr">
        <is>
          <t>Avance Semana 4 (%)</t>
        </is>
      </c>
      <c r="M4" s="54" t="inlineStr">
        <is>
          <t>% de Avance Total Actual</t>
        </is>
      </c>
      <c r="N4" s="54" t="inlineStr">
        <is>
          <t>Estado</t>
        </is>
      </c>
      <c r="O4" s="54" t="inlineStr">
        <is>
          <t>Alerta de plazo</t>
        </is>
      </c>
      <c r="P4" s="54" t="inlineStr">
        <is>
          <t>Seguimiento de la delegación</t>
        </is>
      </c>
      <c r="Q4" s="55"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t="n"/>
      <c r="F5" s="59" t="n"/>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IF(NOT((COUNTA($B5:$D5)+COUNTA($G5:$H5)+COUNTA($Q5))&gt;0),"",IF(AND($D5&lt;&gt;"",$V5="Macro"),IF(N($AM5)&gt;0,N(CHOOSE(MATCH($D5,ListaPuestos,0),INDEX('Cronograma R. Operacional'!$M$5:$M$1000,$AM5),INDEX('Cronograma R. Normativo'!$M$5:$M$1000,$AM5),INDEX('Cronograma R. Financiero'!$M$5:$M$1000,$AM5),INDEX('Cronograma Asistente Técnico'!$M$5:$M$1000,$AM5))),0),IF(ISNUMBER($G5),1,IF(N($W5)&gt;0,MIN(1,SUMIFS($Y$5:$Y$1000,$U$5:$U$1000,ROW(),$V$5:$V$1000,"Sub")),$Y5))))</f>
        <v/>
      </c>
      <c r="N5" s="56">
        <f>IF(OR($M5="",$V5="Sub"),"",IF($M5&gt;=1,"Completado",IF($M5&gt;0,"En curso","Pendiente")))</f>
        <v/>
      </c>
      <c r="O5" s="56">
        <f>IF(NOT((COUNTA($B5:$D5)+COUNTA($G5:$H5)+COUNTA($Q5))&gt;0),"",IF(AND(AND($D5&lt;&gt;"",$V5="Macro"),N($AM5)&gt;0),CHOOSE(MATCH($D5,ListaPuestos,0),INDEX('Cronograma R. Operacional'!$O$5:$O$1000,$AM5),INDEX('Cronograma R. Normativo'!$O$5:$O$1000,$AM5),INDEX('Cronograma R. Financiero'!$O$5:$O$1000,$AM5),INDEX('Cronograma Asistente Técnico'!$O$5:$O$1000,$AM5))&amp;"",IF(ISNUMBER($G5),IF(AND(ISNUMBER($AS5),$G5&gt;$AS5),"Cumplida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f>IF(NOT((COUNTA($B5:$D5)+COUNTA($G5:$H5)+COUNTA($Q5))&gt;0),"",IF($D5="","Propia",IF($V5&lt;&gt;"Macro","Solo se delegan macroactividades",IF(N($AM5)&gt;0,"✔ Recibida por "&amp;$D5,"⚠ "&amp;$D5&amp;" aún no la agrega"))))</f>
        <v/>
      </c>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f>IF(NOT(AND($D5&lt;&gt;"",$V5="Macro")),"",IFERROR(CHOOSE(MATCH($D5,ListaPuestos,0),MATCH("[Jefatura] "&amp;$C5,'Cronograma R. Operacional'!$C$5:$C$1000,0),MATCH("[Jefatura] "&amp;$C5,'Cronograma R. Normativo'!$C$5:$C$1000,0),MATCH("[Jefatura] "&amp;$C5,'Cronograma R. Financiero'!$C$5:$C$1000,0),MATCH("[Jefatura] "&amp;$C5,'Cronograma Asistente Técnico'!$C$5:$C$1000,0)),0))</f>
        <v/>
      </c>
      <c r="AN5" s="62">
        <f>IF(AND(AND($D5&lt;&gt;"",$V5="Macro"),$S5=MesCiclo),COUNTIFS($D$5:$D5,$D5,$S$5:$S5,MesCiclo,$V$5:$V5,"Macro"),"")</f>
        <v/>
      </c>
      <c r="AO5" s="62">
        <f>IF($AN5="","",$D5&amp;"|"&amp;$AN5)</f>
        <v/>
      </c>
      <c r="AP5" s="62">
        <f>IF(AND($D5&lt;&gt;"",$V5="Macro"),$D5&amp;"|"&amp;$C5,"")</f>
        <v/>
      </c>
      <c r="AQ5" s="62">
        <f>""</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t="n"/>
      <c r="F6" s="59" t="n"/>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IF(NOT((COUNTA($B6:$D6)+COUNTA($G6:$H6)+COUNTA($Q6))&gt;0),"",IF(AND($D6&lt;&gt;"",$V6="Macro"),IF(N($AM6)&gt;0,N(CHOOSE(MATCH($D6,ListaPuestos,0),INDEX('Cronograma R. Operacional'!$M$5:$M$1000,$AM6),INDEX('Cronograma R. Normativo'!$M$5:$M$1000,$AM6),INDEX('Cronograma R. Financiero'!$M$5:$M$1000,$AM6),INDEX('Cronograma Asistente Técnico'!$M$5:$M$1000,$AM6))),0),IF(ISNUMBER($G6),1,IF(N($W6)&gt;0,MIN(1,SUMIFS($Y$5:$Y$1000,$U$5:$U$1000,ROW(),$V$5:$V$1000,"Sub")),$Y6))))</f>
        <v/>
      </c>
      <c r="N6" s="56">
        <f>IF(OR($M6="",$V6="Sub"),"",IF($M6&gt;=1,"Completado",IF($M6&gt;0,"En curso","Pendiente")))</f>
        <v/>
      </c>
      <c r="O6" s="56">
        <f>IF(NOT((COUNTA($B6:$D6)+COUNTA($G6:$H6)+COUNTA($Q6))&gt;0),"",IF(AND(AND($D6&lt;&gt;"",$V6="Macro"),N($AM6)&gt;0),CHOOSE(MATCH($D6,ListaPuestos,0),INDEX('Cronograma R. Operacional'!$O$5:$O$1000,$AM6),INDEX('Cronograma R. Normativo'!$O$5:$O$1000,$AM6),INDEX('Cronograma R. Financiero'!$O$5:$O$1000,$AM6),INDEX('Cronograma Asistente Técnico'!$O$5:$O$1000,$AM6))&amp;"",IF(ISNUMBER($G6),IF(AND(ISNUMBER($AS6),$G6&gt;$AS6),"Cumplida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f>IF(NOT((COUNTA($B6:$D6)+COUNTA($G6:$H6)+COUNTA($Q6))&gt;0),"",IF($D6="","Propia",IF($V6&lt;&gt;"Macro","Solo se delegan macroactividades",IF(N($AM6)&gt;0,"✔ Recibida por "&amp;$D6,"⚠ "&amp;$D6&amp;" aún no la agrega"))))</f>
        <v/>
      </c>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f>IF(NOT(AND($D6&lt;&gt;"",$V6="Macro")),"",IFERROR(CHOOSE(MATCH($D6,ListaPuestos,0),MATCH("[Jefatura] "&amp;$C6,'Cronograma R. Operacional'!$C$5:$C$1000,0),MATCH("[Jefatura] "&amp;$C6,'Cronograma R. Normativo'!$C$5:$C$1000,0),MATCH("[Jefatura] "&amp;$C6,'Cronograma R. Financiero'!$C$5:$C$1000,0),MATCH("[Jefatura] "&amp;$C6,'Cronograma Asistente Técnico'!$C$5:$C$1000,0)),0))</f>
        <v/>
      </c>
      <c r="AN6" s="62">
        <f>IF(AND(AND($D6&lt;&gt;"",$V6="Macro"),$S6=MesCiclo),COUNTIFS($D$5:$D6,$D6,$S$5:$S6,MesCiclo,$V$5:$V6,"Macro"),"")</f>
        <v/>
      </c>
      <c r="AO6" s="62">
        <f>IF($AN6="","",$D6&amp;"|"&amp;$AN6)</f>
        <v/>
      </c>
      <c r="AP6" s="62">
        <f>IF(AND($D6&lt;&gt;"",$V6="Macro"),$D6&amp;"|"&amp;$C6,"")</f>
        <v/>
      </c>
      <c r="AQ6" s="62">
        <f>""</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t="n"/>
      <c r="F7" s="59" t="n"/>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IF(NOT((COUNTA($B7:$D7)+COUNTA($G7:$H7)+COUNTA($Q7))&gt;0),"",IF(AND($D7&lt;&gt;"",$V7="Macro"),IF(N($AM7)&gt;0,N(CHOOSE(MATCH($D7,ListaPuestos,0),INDEX('Cronograma R. Operacional'!$M$5:$M$1000,$AM7),INDEX('Cronograma R. Normativo'!$M$5:$M$1000,$AM7),INDEX('Cronograma R. Financiero'!$M$5:$M$1000,$AM7),INDEX('Cronograma Asistente Técnico'!$M$5:$M$1000,$AM7))),0),IF(ISNUMBER($G7),1,IF(N($W7)&gt;0,MIN(1,SUMIFS($Y$5:$Y$1000,$U$5:$U$1000,ROW(),$V$5:$V$1000,"Sub")),$Y7))))</f>
        <v/>
      </c>
      <c r="N7" s="56">
        <f>IF(OR($M7="",$V7="Sub"),"",IF($M7&gt;=1,"Completado",IF($M7&gt;0,"En curso","Pendiente")))</f>
        <v/>
      </c>
      <c r="O7" s="56">
        <f>IF(NOT((COUNTA($B7:$D7)+COUNTA($G7:$H7)+COUNTA($Q7))&gt;0),"",IF(AND(AND($D7&lt;&gt;"",$V7="Macro"),N($AM7)&gt;0),CHOOSE(MATCH($D7,ListaPuestos,0),INDEX('Cronograma R. Operacional'!$O$5:$O$1000,$AM7),INDEX('Cronograma R. Normativo'!$O$5:$O$1000,$AM7),INDEX('Cronograma R. Financiero'!$O$5:$O$1000,$AM7),INDEX('Cronograma Asistente Técnico'!$O$5:$O$1000,$AM7))&amp;"",IF(ISNUMBER($G7),IF(AND(ISNUMBER($AS7),$G7&gt;$AS7),"Cumplida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f>IF(NOT((COUNTA($B7:$D7)+COUNTA($G7:$H7)+COUNTA($Q7))&gt;0),"",IF($D7="","Propia",IF($V7&lt;&gt;"Macro","Solo se delegan macroactividades",IF(N($AM7)&gt;0,"✔ Recibida por "&amp;$D7,"⚠ "&amp;$D7&amp;" aún no la agrega"))))</f>
        <v/>
      </c>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f>IF(NOT(AND($D7&lt;&gt;"",$V7="Macro")),"",IFERROR(CHOOSE(MATCH($D7,ListaPuestos,0),MATCH("[Jefatura] "&amp;$C7,'Cronograma R. Operacional'!$C$5:$C$1000,0),MATCH("[Jefatura] "&amp;$C7,'Cronograma R. Normativo'!$C$5:$C$1000,0),MATCH("[Jefatura] "&amp;$C7,'Cronograma R. Financiero'!$C$5:$C$1000,0),MATCH("[Jefatura] "&amp;$C7,'Cronograma Asistente Técnico'!$C$5:$C$1000,0)),0))</f>
        <v/>
      </c>
      <c r="AN7" s="62">
        <f>IF(AND(AND($D7&lt;&gt;"",$V7="Macro"),$S7=MesCiclo),COUNTIFS($D$5:$D7,$D7,$S$5:$S7,MesCiclo,$V$5:$V7,"Macro"),"")</f>
        <v/>
      </c>
      <c r="AO7" s="62">
        <f>IF($AN7="","",$D7&amp;"|"&amp;$AN7)</f>
        <v/>
      </c>
      <c r="AP7" s="62">
        <f>IF(AND($D7&lt;&gt;"",$V7="Macro"),$D7&amp;"|"&amp;$C7,"")</f>
        <v/>
      </c>
      <c r="AQ7" s="62">
        <f>""</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t="n"/>
      <c r="F8" s="59" t="n"/>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IF(NOT((COUNTA($B8:$D8)+COUNTA($G8:$H8)+COUNTA($Q8))&gt;0),"",IF(AND($D8&lt;&gt;"",$V8="Macro"),IF(N($AM8)&gt;0,N(CHOOSE(MATCH($D8,ListaPuestos,0),INDEX('Cronograma R. Operacional'!$M$5:$M$1000,$AM8),INDEX('Cronograma R. Normativo'!$M$5:$M$1000,$AM8),INDEX('Cronograma R. Financiero'!$M$5:$M$1000,$AM8),INDEX('Cronograma Asistente Técnico'!$M$5:$M$1000,$AM8))),0),IF(ISNUMBER($G8),1,IF(N($W8)&gt;0,MIN(1,SUMIFS($Y$5:$Y$1000,$U$5:$U$1000,ROW(),$V$5:$V$1000,"Sub")),$Y8))))</f>
        <v/>
      </c>
      <c r="N8" s="56">
        <f>IF(OR($M8="",$V8="Sub"),"",IF($M8&gt;=1,"Completado",IF($M8&gt;0,"En curso","Pendiente")))</f>
        <v/>
      </c>
      <c r="O8" s="56">
        <f>IF(NOT((COUNTA($B8:$D8)+COUNTA($G8:$H8)+COUNTA($Q8))&gt;0),"",IF(AND(AND($D8&lt;&gt;"",$V8="Macro"),N($AM8)&gt;0),CHOOSE(MATCH($D8,ListaPuestos,0),INDEX('Cronograma R. Operacional'!$O$5:$O$1000,$AM8),INDEX('Cronograma R. Normativo'!$O$5:$O$1000,$AM8),INDEX('Cronograma R. Financiero'!$O$5:$O$1000,$AM8),INDEX('Cronograma Asistente Técnico'!$O$5:$O$1000,$AM8))&amp;"",IF(ISNUMBER($G8),IF(AND(ISNUMBER($AS8),$G8&gt;$AS8),"Cumplida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f>IF(NOT((COUNTA($B8:$D8)+COUNTA($G8:$H8)+COUNTA($Q8))&gt;0),"",IF($D8="","Propia",IF($V8&lt;&gt;"Macro","Solo se delegan macroactividades",IF(N($AM8)&gt;0,"✔ Recibida por "&amp;$D8,"⚠ "&amp;$D8&amp;" aún no la agrega"))))</f>
        <v/>
      </c>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f>IF(NOT(AND($D8&lt;&gt;"",$V8="Macro")),"",IFERROR(CHOOSE(MATCH($D8,ListaPuestos,0),MATCH("[Jefatura] "&amp;$C8,'Cronograma R. Operacional'!$C$5:$C$1000,0),MATCH("[Jefatura] "&amp;$C8,'Cronograma R. Normativo'!$C$5:$C$1000,0),MATCH("[Jefatura] "&amp;$C8,'Cronograma R. Financiero'!$C$5:$C$1000,0),MATCH("[Jefatura] "&amp;$C8,'Cronograma Asistente Técnico'!$C$5:$C$1000,0)),0))</f>
        <v/>
      </c>
      <c r="AN8" s="62">
        <f>IF(AND(AND($D8&lt;&gt;"",$V8="Macro"),$S8=MesCiclo),COUNTIFS($D$5:$D8,$D8,$S$5:$S8,MesCiclo,$V$5:$V8,"Macro"),"")</f>
        <v/>
      </c>
      <c r="AO8" s="62">
        <f>IF($AN8="","",$D8&amp;"|"&amp;$AN8)</f>
        <v/>
      </c>
      <c r="AP8" s="62">
        <f>IF(AND($D8&lt;&gt;"",$V8="Macro"),$D8&amp;"|"&amp;$C8,"")</f>
        <v/>
      </c>
      <c r="AQ8" s="62">
        <f>""</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t="n"/>
      <c r="F9" s="59" t="n"/>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IF(NOT((COUNTA($B9:$D9)+COUNTA($G9:$H9)+COUNTA($Q9))&gt;0),"",IF(AND($D9&lt;&gt;"",$V9="Macro"),IF(N($AM9)&gt;0,N(CHOOSE(MATCH($D9,ListaPuestos,0),INDEX('Cronograma R. Operacional'!$M$5:$M$1000,$AM9),INDEX('Cronograma R. Normativo'!$M$5:$M$1000,$AM9),INDEX('Cronograma R. Financiero'!$M$5:$M$1000,$AM9),INDEX('Cronograma Asistente Técnico'!$M$5:$M$1000,$AM9))),0),IF(ISNUMBER($G9),1,IF(N($W9)&gt;0,MIN(1,SUMIFS($Y$5:$Y$1000,$U$5:$U$1000,ROW(),$V$5:$V$1000,"Sub")),$Y9))))</f>
        <v/>
      </c>
      <c r="N9" s="56">
        <f>IF(OR($M9="",$V9="Sub"),"",IF($M9&gt;=1,"Completado",IF($M9&gt;0,"En curso","Pendiente")))</f>
        <v/>
      </c>
      <c r="O9" s="56">
        <f>IF(NOT((COUNTA($B9:$D9)+COUNTA($G9:$H9)+COUNTA($Q9))&gt;0),"",IF(AND(AND($D9&lt;&gt;"",$V9="Macro"),N($AM9)&gt;0),CHOOSE(MATCH($D9,ListaPuestos,0),INDEX('Cronograma R. Operacional'!$O$5:$O$1000,$AM9),INDEX('Cronograma R. Normativo'!$O$5:$O$1000,$AM9),INDEX('Cronograma R. Financiero'!$O$5:$O$1000,$AM9),INDEX('Cronograma Asistente Técnico'!$O$5:$O$1000,$AM9))&amp;"",IF(ISNUMBER($G9),IF(AND(ISNUMBER($AS9),$G9&gt;$AS9),"Cumplida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f>IF(NOT((COUNTA($B9:$D9)+COUNTA($G9:$H9)+COUNTA($Q9))&gt;0),"",IF($D9="","Propia",IF($V9&lt;&gt;"Macro","Solo se delegan macroactividades",IF(N($AM9)&gt;0,"✔ Recibida por "&amp;$D9,"⚠ "&amp;$D9&amp;" aún no la agrega"))))</f>
        <v/>
      </c>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f>IF(NOT(AND($D9&lt;&gt;"",$V9="Macro")),"",IFERROR(CHOOSE(MATCH($D9,ListaPuestos,0),MATCH("[Jefatura] "&amp;$C9,'Cronograma R. Operacional'!$C$5:$C$1000,0),MATCH("[Jefatura] "&amp;$C9,'Cronograma R. Normativo'!$C$5:$C$1000,0),MATCH("[Jefatura] "&amp;$C9,'Cronograma R. Financiero'!$C$5:$C$1000,0),MATCH("[Jefatura] "&amp;$C9,'Cronograma Asistente Técnico'!$C$5:$C$1000,0)),0))</f>
        <v/>
      </c>
      <c r="AN9" s="62">
        <f>IF(AND(AND($D9&lt;&gt;"",$V9="Macro"),$S9=MesCiclo),COUNTIFS($D$5:$D9,$D9,$S$5:$S9,MesCiclo,$V$5:$V9,"Macro"),"")</f>
        <v/>
      </c>
      <c r="AO9" s="62">
        <f>IF($AN9="","",$D9&amp;"|"&amp;$AN9)</f>
        <v/>
      </c>
      <c r="AP9" s="62">
        <f>IF(AND($D9&lt;&gt;"",$V9="Macro"),$D9&amp;"|"&amp;$C9,"")</f>
        <v/>
      </c>
      <c r="AQ9" s="62">
        <f>""</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t="n"/>
      <c r="F10" s="59" t="n"/>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IF(NOT((COUNTA($B10:$D10)+COUNTA($G10:$H10)+COUNTA($Q10))&gt;0),"",IF(AND($D10&lt;&gt;"",$V10="Macro"),IF(N($AM10)&gt;0,N(CHOOSE(MATCH($D10,ListaPuestos,0),INDEX('Cronograma R. Operacional'!$M$5:$M$1000,$AM10),INDEX('Cronograma R. Normativo'!$M$5:$M$1000,$AM10),INDEX('Cronograma R. Financiero'!$M$5:$M$1000,$AM10),INDEX('Cronograma Asistente Técnico'!$M$5:$M$1000,$AM10))),0),IF(ISNUMBER($G10),1,IF(N($W10)&gt;0,MIN(1,SUMIFS($Y$5:$Y$1000,$U$5:$U$1000,ROW(),$V$5:$V$1000,"Sub")),$Y10))))</f>
        <v/>
      </c>
      <c r="N10" s="56">
        <f>IF(OR($M10="",$V10="Sub"),"",IF($M10&gt;=1,"Completado",IF($M10&gt;0,"En curso","Pendiente")))</f>
        <v/>
      </c>
      <c r="O10" s="56">
        <f>IF(NOT((COUNTA($B10:$D10)+COUNTA($G10:$H10)+COUNTA($Q10))&gt;0),"",IF(AND(AND($D10&lt;&gt;"",$V10="Macro"),N($AM10)&gt;0),CHOOSE(MATCH($D10,ListaPuestos,0),INDEX('Cronograma R. Operacional'!$O$5:$O$1000,$AM10),INDEX('Cronograma R. Normativo'!$O$5:$O$1000,$AM10),INDEX('Cronograma R. Financiero'!$O$5:$O$1000,$AM10),INDEX('Cronograma Asistente Técnico'!$O$5:$O$1000,$AM10))&amp;"",IF(ISNUMBER($G10),IF(AND(ISNUMBER($AS10),$G10&gt;$AS10),"Cumplida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f>IF(NOT((COUNTA($B10:$D10)+COUNTA($G10:$H10)+COUNTA($Q10))&gt;0),"",IF($D10="","Propia",IF($V10&lt;&gt;"Macro","Solo se delegan macroactividades",IF(N($AM10)&gt;0,"✔ Recibida por "&amp;$D10,"⚠ "&amp;$D10&amp;" aún no la agrega"))))</f>
        <v/>
      </c>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f>IF(NOT(AND($D10&lt;&gt;"",$V10="Macro")),"",IFERROR(CHOOSE(MATCH($D10,ListaPuestos,0),MATCH("[Jefatura] "&amp;$C10,'Cronograma R. Operacional'!$C$5:$C$1000,0),MATCH("[Jefatura] "&amp;$C10,'Cronograma R. Normativo'!$C$5:$C$1000,0),MATCH("[Jefatura] "&amp;$C10,'Cronograma R. Financiero'!$C$5:$C$1000,0),MATCH("[Jefatura] "&amp;$C10,'Cronograma Asistente Técnico'!$C$5:$C$1000,0)),0))</f>
        <v/>
      </c>
      <c r="AN10" s="62">
        <f>IF(AND(AND($D10&lt;&gt;"",$V10="Macro"),$S10=MesCiclo),COUNTIFS($D$5:$D10,$D10,$S$5:$S10,MesCiclo,$V$5:$V10,"Macro"),"")</f>
        <v/>
      </c>
      <c r="AO10" s="62">
        <f>IF($AN10="","",$D10&amp;"|"&amp;$AN10)</f>
        <v/>
      </c>
      <c r="AP10" s="62">
        <f>IF(AND($D10&lt;&gt;"",$V10="Macro"),$D10&amp;"|"&amp;$C10,"")</f>
        <v/>
      </c>
      <c r="AQ10" s="62">
        <f>""</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t="n"/>
      <c r="F11" s="59" t="n"/>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IF(NOT((COUNTA($B11:$D11)+COUNTA($G11:$H11)+COUNTA($Q11))&gt;0),"",IF(AND($D11&lt;&gt;"",$V11="Macro"),IF(N($AM11)&gt;0,N(CHOOSE(MATCH($D11,ListaPuestos,0),INDEX('Cronograma R. Operacional'!$M$5:$M$1000,$AM11),INDEX('Cronograma R. Normativo'!$M$5:$M$1000,$AM11),INDEX('Cronograma R. Financiero'!$M$5:$M$1000,$AM11),INDEX('Cronograma Asistente Técnico'!$M$5:$M$1000,$AM11))),0),IF(ISNUMBER($G11),1,IF(N($W11)&gt;0,MIN(1,SUMIFS($Y$5:$Y$1000,$U$5:$U$1000,ROW(),$V$5:$V$1000,"Sub")),$Y11))))</f>
        <v/>
      </c>
      <c r="N11" s="56">
        <f>IF(OR($M11="",$V11="Sub"),"",IF($M11&gt;=1,"Completado",IF($M11&gt;0,"En curso","Pendiente")))</f>
        <v/>
      </c>
      <c r="O11" s="56">
        <f>IF(NOT((COUNTA($B11:$D11)+COUNTA($G11:$H11)+COUNTA($Q11))&gt;0),"",IF(AND(AND($D11&lt;&gt;"",$V11="Macro"),N($AM11)&gt;0),CHOOSE(MATCH($D11,ListaPuestos,0),INDEX('Cronograma R. Operacional'!$O$5:$O$1000,$AM11),INDEX('Cronograma R. Normativo'!$O$5:$O$1000,$AM11),INDEX('Cronograma R. Financiero'!$O$5:$O$1000,$AM11),INDEX('Cronograma Asistente Técnico'!$O$5:$O$1000,$AM11))&amp;"",IF(ISNUMBER($G11),IF(AND(ISNUMBER($AS11),$G11&gt;$AS11),"Cumplida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f>IF(NOT((COUNTA($B11:$D11)+COUNTA($G11:$H11)+COUNTA($Q11))&gt;0),"",IF($D11="","Propia",IF($V11&lt;&gt;"Macro","Solo se delegan macroactividades",IF(N($AM11)&gt;0,"✔ Recibida por "&amp;$D11,"⚠ "&amp;$D11&amp;" aún no la agrega"))))</f>
        <v/>
      </c>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f>IF(NOT(AND($D11&lt;&gt;"",$V11="Macro")),"",IFERROR(CHOOSE(MATCH($D11,ListaPuestos,0),MATCH("[Jefatura] "&amp;$C11,'Cronograma R. Operacional'!$C$5:$C$1000,0),MATCH("[Jefatura] "&amp;$C11,'Cronograma R. Normativo'!$C$5:$C$1000,0),MATCH("[Jefatura] "&amp;$C11,'Cronograma R. Financiero'!$C$5:$C$1000,0),MATCH("[Jefatura] "&amp;$C11,'Cronograma Asistente Técnico'!$C$5:$C$1000,0)),0))</f>
        <v/>
      </c>
      <c r="AN11" s="62">
        <f>IF(AND(AND($D11&lt;&gt;"",$V11="Macro"),$S11=MesCiclo),COUNTIFS($D$5:$D11,$D11,$S$5:$S11,MesCiclo,$V$5:$V11,"Macro"),"")</f>
        <v/>
      </c>
      <c r="AO11" s="62">
        <f>IF($AN11="","",$D11&amp;"|"&amp;$AN11)</f>
        <v/>
      </c>
      <c r="AP11" s="62">
        <f>IF(AND($D11&lt;&gt;"",$V11="Macro"),$D11&amp;"|"&amp;$C11,"")</f>
        <v/>
      </c>
      <c r="AQ11" s="62">
        <f>""</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t="n"/>
      <c r="F12" s="59" t="n"/>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IF(NOT((COUNTA($B12:$D12)+COUNTA($G12:$H12)+COUNTA($Q12))&gt;0),"",IF(AND($D12&lt;&gt;"",$V12="Macro"),IF(N($AM12)&gt;0,N(CHOOSE(MATCH($D12,ListaPuestos,0),INDEX('Cronograma R. Operacional'!$M$5:$M$1000,$AM12),INDEX('Cronograma R. Normativo'!$M$5:$M$1000,$AM12),INDEX('Cronograma R. Financiero'!$M$5:$M$1000,$AM12),INDEX('Cronograma Asistente Técnico'!$M$5:$M$1000,$AM12))),0),IF(ISNUMBER($G12),1,IF(N($W12)&gt;0,MIN(1,SUMIFS($Y$5:$Y$1000,$U$5:$U$1000,ROW(),$V$5:$V$1000,"Sub")),$Y12))))</f>
        <v/>
      </c>
      <c r="N12" s="56">
        <f>IF(OR($M12="",$V12="Sub"),"",IF($M12&gt;=1,"Completado",IF($M12&gt;0,"En curso","Pendiente")))</f>
        <v/>
      </c>
      <c r="O12" s="56">
        <f>IF(NOT((COUNTA($B12:$D12)+COUNTA($G12:$H12)+COUNTA($Q12))&gt;0),"",IF(AND(AND($D12&lt;&gt;"",$V12="Macro"),N($AM12)&gt;0),CHOOSE(MATCH($D12,ListaPuestos,0),INDEX('Cronograma R. Operacional'!$O$5:$O$1000,$AM12),INDEX('Cronograma R. Normativo'!$O$5:$O$1000,$AM12),INDEX('Cronograma R. Financiero'!$O$5:$O$1000,$AM12),INDEX('Cronograma Asistente Técnico'!$O$5:$O$1000,$AM12))&amp;"",IF(ISNUMBER($G12),IF(AND(ISNUMBER($AS12),$G12&gt;$AS12),"Cumplida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f>IF(NOT((COUNTA($B12:$D12)+COUNTA($G12:$H12)+COUNTA($Q12))&gt;0),"",IF($D12="","Propia",IF($V12&lt;&gt;"Macro","Solo se delegan macroactividades",IF(N($AM12)&gt;0,"✔ Recibida por "&amp;$D12,"⚠ "&amp;$D12&amp;" aún no la agrega"))))</f>
        <v/>
      </c>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f>IF(NOT(AND($D12&lt;&gt;"",$V12="Macro")),"",IFERROR(CHOOSE(MATCH($D12,ListaPuestos,0),MATCH("[Jefatura] "&amp;$C12,'Cronograma R. Operacional'!$C$5:$C$1000,0),MATCH("[Jefatura] "&amp;$C12,'Cronograma R. Normativo'!$C$5:$C$1000,0),MATCH("[Jefatura] "&amp;$C12,'Cronograma R. Financiero'!$C$5:$C$1000,0),MATCH("[Jefatura] "&amp;$C12,'Cronograma Asistente Técnico'!$C$5:$C$1000,0)),0))</f>
        <v/>
      </c>
      <c r="AN12" s="62">
        <f>IF(AND(AND($D12&lt;&gt;"",$V12="Macro"),$S12=MesCiclo),COUNTIFS($D$5:$D12,$D12,$S$5:$S12,MesCiclo,$V$5:$V12,"Macro"),"")</f>
        <v/>
      </c>
      <c r="AO12" s="62">
        <f>IF($AN12="","",$D12&amp;"|"&amp;$AN12)</f>
        <v/>
      </c>
      <c r="AP12" s="62">
        <f>IF(AND($D12&lt;&gt;"",$V12="Macro"),$D12&amp;"|"&amp;$C12,"")</f>
        <v/>
      </c>
      <c r="AQ12" s="62">
        <f>""</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t="n"/>
      <c r="F13" s="59" t="n"/>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IF(NOT((COUNTA($B13:$D13)+COUNTA($G13:$H13)+COUNTA($Q13))&gt;0),"",IF(AND($D13&lt;&gt;"",$V13="Macro"),IF(N($AM13)&gt;0,N(CHOOSE(MATCH($D13,ListaPuestos,0),INDEX('Cronograma R. Operacional'!$M$5:$M$1000,$AM13),INDEX('Cronograma R. Normativo'!$M$5:$M$1000,$AM13),INDEX('Cronograma R. Financiero'!$M$5:$M$1000,$AM13),INDEX('Cronograma Asistente Técnico'!$M$5:$M$1000,$AM13))),0),IF(ISNUMBER($G13),1,IF(N($W13)&gt;0,MIN(1,SUMIFS($Y$5:$Y$1000,$U$5:$U$1000,ROW(),$V$5:$V$1000,"Sub")),$Y13))))</f>
        <v/>
      </c>
      <c r="N13" s="56">
        <f>IF(OR($M13="",$V13="Sub"),"",IF($M13&gt;=1,"Completado",IF($M13&gt;0,"En curso","Pendiente")))</f>
        <v/>
      </c>
      <c r="O13" s="56">
        <f>IF(NOT((COUNTA($B13:$D13)+COUNTA($G13:$H13)+COUNTA($Q13))&gt;0),"",IF(AND(AND($D13&lt;&gt;"",$V13="Macro"),N($AM13)&gt;0),CHOOSE(MATCH($D13,ListaPuestos,0),INDEX('Cronograma R. Operacional'!$O$5:$O$1000,$AM13),INDEX('Cronograma R. Normativo'!$O$5:$O$1000,$AM13),INDEX('Cronograma R. Financiero'!$O$5:$O$1000,$AM13),INDEX('Cronograma Asistente Técnico'!$O$5:$O$1000,$AM13))&amp;"",IF(ISNUMBER($G13),IF(AND(ISNUMBER($AS13),$G13&gt;$AS13),"Cumplida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f>IF(NOT((COUNTA($B13:$D13)+COUNTA($G13:$H13)+COUNTA($Q13))&gt;0),"",IF($D13="","Propia",IF($V13&lt;&gt;"Macro","Solo se delegan macroactividades",IF(N($AM13)&gt;0,"✔ Recibida por "&amp;$D13,"⚠ "&amp;$D13&amp;" aún no la agrega"))))</f>
        <v/>
      </c>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f>IF(NOT(AND($D13&lt;&gt;"",$V13="Macro")),"",IFERROR(CHOOSE(MATCH($D13,ListaPuestos,0),MATCH("[Jefatura] "&amp;$C13,'Cronograma R. Operacional'!$C$5:$C$1000,0),MATCH("[Jefatura] "&amp;$C13,'Cronograma R. Normativo'!$C$5:$C$1000,0),MATCH("[Jefatura] "&amp;$C13,'Cronograma R. Financiero'!$C$5:$C$1000,0),MATCH("[Jefatura] "&amp;$C13,'Cronograma Asistente Técnico'!$C$5:$C$1000,0)),0))</f>
        <v/>
      </c>
      <c r="AN13" s="62">
        <f>IF(AND(AND($D13&lt;&gt;"",$V13="Macro"),$S13=MesCiclo),COUNTIFS($D$5:$D13,$D13,$S$5:$S13,MesCiclo,$V$5:$V13,"Macro"),"")</f>
        <v/>
      </c>
      <c r="AO13" s="62">
        <f>IF($AN13="","",$D13&amp;"|"&amp;$AN13)</f>
        <v/>
      </c>
      <c r="AP13" s="62">
        <f>IF(AND($D13&lt;&gt;"",$V13="Macro"),$D13&amp;"|"&amp;$C13,"")</f>
        <v/>
      </c>
      <c r="AQ13" s="62">
        <f>""</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t="n"/>
      <c r="F14" s="59" t="n"/>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IF(NOT((COUNTA($B14:$D14)+COUNTA($G14:$H14)+COUNTA($Q14))&gt;0),"",IF(AND($D14&lt;&gt;"",$V14="Macro"),IF(N($AM14)&gt;0,N(CHOOSE(MATCH($D14,ListaPuestos,0),INDEX('Cronograma R. Operacional'!$M$5:$M$1000,$AM14),INDEX('Cronograma R. Normativo'!$M$5:$M$1000,$AM14),INDEX('Cronograma R. Financiero'!$M$5:$M$1000,$AM14),INDEX('Cronograma Asistente Técnico'!$M$5:$M$1000,$AM14))),0),IF(ISNUMBER($G14),1,IF(N($W14)&gt;0,MIN(1,SUMIFS($Y$5:$Y$1000,$U$5:$U$1000,ROW(),$V$5:$V$1000,"Sub")),$Y14))))</f>
        <v/>
      </c>
      <c r="N14" s="56">
        <f>IF(OR($M14="",$V14="Sub"),"",IF($M14&gt;=1,"Completado",IF($M14&gt;0,"En curso","Pendiente")))</f>
        <v/>
      </c>
      <c r="O14" s="56">
        <f>IF(NOT((COUNTA($B14:$D14)+COUNTA($G14:$H14)+COUNTA($Q14))&gt;0),"",IF(AND(AND($D14&lt;&gt;"",$V14="Macro"),N($AM14)&gt;0),CHOOSE(MATCH($D14,ListaPuestos,0),INDEX('Cronograma R. Operacional'!$O$5:$O$1000,$AM14),INDEX('Cronograma R. Normativo'!$O$5:$O$1000,$AM14),INDEX('Cronograma R. Financiero'!$O$5:$O$1000,$AM14),INDEX('Cronograma Asistente Técnico'!$O$5:$O$1000,$AM14))&amp;"",IF(ISNUMBER($G14),IF(AND(ISNUMBER($AS14),$G14&gt;$AS14),"Cumplida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f>IF(NOT((COUNTA($B14:$D14)+COUNTA($G14:$H14)+COUNTA($Q14))&gt;0),"",IF($D14="","Propia",IF($V14&lt;&gt;"Macro","Solo se delegan macroactividades",IF(N($AM14)&gt;0,"✔ Recibida por "&amp;$D14,"⚠ "&amp;$D14&amp;" aún no la agrega"))))</f>
        <v/>
      </c>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f>IF(NOT(AND($D14&lt;&gt;"",$V14="Macro")),"",IFERROR(CHOOSE(MATCH($D14,ListaPuestos,0),MATCH("[Jefatura] "&amp;$C14,'Cronograma R. Operacional'!$C$5:$C$1000,0),MATCH("[Jefatura] "&amp;$C14,'Cronograma R. Normativo'!$C$5:$C$1000,0),MATCH("[Jefatura] "&amp;$C14,'Cronograma R. Financiero'!$C$5:$C$1000,0),MATCH("[Jefatura] "&amp;$C14,'Cronograma Asistente Técnico'!$C$5:$C$1000,0)),0))</f>
        <v/>
      </c>
      <c r="AN14" s="62">
        <f>IF(AND(AND($D14&lt;&gt;"",$V14="Macro"),$S14=MesCiclo),COUNTIFS($D$5:$D14,$D14,$S$5:$S14,MesCiclo,$V$5:$V14,"Macro"),"")</f>
        <v/>
      </c>
      <c r="AO14" s="62">
        <f>IF($AN14="","",$D14&amp;"|"&amp;$AN14)</f>
        <v/>
      </c>
      <c r="AP14" s="62">
        <f>IF(AND($D14&lt;&gt;"",$V14="Macro"),$D14&amp;"|"&amp;$C14,"")</f>
        <v/>
      </c>
      <c r="AQ14" s="62">
        <f>""</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t="n"/>
      <c r="F15" s="59" t="n"/>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IF(NOT((COUNTA($B15:$D15)+COUNTA($G15:$H15)+COUNTA($Q15))&gt;0),"",IF(AND($D15&lt;&gt;"",$V15="Macro"),IF(N($AM15)&gt;0,N(CHOOSE(MATCH($D15,ListaPuestos,0),INDEX('Cronograma R. Operacional'!$M$5:$M$1000,$AM15),INDEX('Cronograma R. Normativo'!$M$5:$M$1000,$AM15),INDEX('Cronograma R. Financiero'!$M$5:$M$1000,$AM15),INDEX('Cronograma Asistente Técnico'!$M$5:$M$1000,$AM15))),0),IF(ISNUMBER($G15),1,IF(N($W15)&gt;0,MIN(1,SUMIFS($Y$5:$Y$1000,$U$5:$U$1000,ROW(),$V$5:$V$1000,"Sub")),$Y15))))</f>
        <v/>
      </c>
      <c r="N15" s="56">
        <f>IF(OR($M15="",$V15="Sub"),"",IF($M15&gt;=1,"Completado",IF($M15&gt;0,"En curso","Pendiente")))</f>
        <v/>
      </c>
      <c r="O15" s="56">
        <f>IF(NOT((COUNTA($B15:$D15)+COUNTA($G15:$H15)+COUNTA($Q15))&gt;0),"",IF(AND(AND($D15&lt;&gt;"",$V15="Macro"),N($AM15)&gt;0),CHOOSE(MATCH($D15,ListaPuestos,0),INDEX('Cronograma R. Operacional'!$O$5:$O$1000,$AM15),INDEX('Cronograma R. Normativo'!$O$5:$O$1000,$AM15),INDEX('Cronograma R. Financiero'!$O$5:$O$1000,$AM15),INDEX('Cronograma Asistente Técnico'!$O$5:$O$1000,$AM15))&amp;"",IF(ISNUMBER($G15),IF(AND(ISNUMBER($AS15),$G15&gt;$AS15),"Cumplida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f>IF(NOT((COUNTA($B15:$D15)+COUNTA($G15:$H15)+COUNTA($Q15))&gt;0),"",IF($D15="","Propia",IF($V15&lt;&gt;"Macro","Solo se delegan macroactividades",IF(N($AM15)&gt;0,"✔ Recibida por "&amp;$D15,"⚠ "&amp;$D15&amp;" aún no la agrega"))))</f>
        <v/>
      </c>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f>IF(NOT(AND($D15&lt;&gt;"",$V15="Macro")),"",IFERROR(CHOOSE(MATCH($D15,ListaPuestos,0),MATCH("[Jefatura] "&amp;$C15,'Cronograma R. Operacional'!$C$5:$C$1000,0),MATCH("[Jefatura] "&amp;$C15,'Cronograma R. Normativo'!$C$5:$C$1000,0),MATCH("[Jefatura] "&amp;$C15,'Cronograma R. Financiero'!$C$5:$C$1000,0),MATCH("[Jefatura] "&amp;$C15,'Cronograma Asistente Técnico'!$C$5:$C$1000,0)),0))</f>
        <v/>
      </c>
      <c r="AN15" s="62">
        <f>IF(AND(AND($D15&lt;&gt;"",$V15="Macro"),$S15=MesCiclo),COUNTIFS($D$5:$D15,$D15,$S$5:$S15,MesCiclo,$V$5:$V15,"Macro"),"")</f>
        <v/>
      </c>
      <c r="AO15" s="62">
        <f>IF($AN15="","",$D15&amp;"|"&amp;$AN15)</f>
        <v/>
      </c>
      <c r="AP15" s="62">
        <f>IF(AND($D15&lt;&gt;"",$V15="Macro"),$D15&amp;"|"&amp;$C15,"")</f>
        <v/>
      </c>
      <c r="AQ15" s="62">
        <f>""</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t="n"/>
      <c r="F16" s="59" t="n"/>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IF(NOT((COUNTA($B16:$D16)+COUNTA($G16:$H16)+COUNTA($Q16))&gt;0),"",IF(AND($D16&lt;&gt;"",$V16="Macro"),IF(N($AM16)&gt;0,N(CHOOSE(MATCH($D16,ListaPuestos,0),INDEX('Cronograma R. Operacional'!$M$5:$M$1000,$AM16),INDEX('Cronograma R. Normativo'!$M$5:$M$1000,$AM16),INDEX('Cronograma R. Financiero'!$M$5:$M$1000,$AM16),INDEX('Cronograma Asistente Técnico'!$M$5:$M$1000,$AM16))),0),IF(ISNUMBER($G16),1,IF(N($W16)&gt;0,MIN(1,SUMIFS($Y$5:$Y$1000,$U$5:$U$1000,ROW(),$V$5:$V$1000,"Sub")),$Y16))))</f>
        <v/>
      </c>
      <c r="N16" s="56">
        <f>IF(OR($M16="",$V16="Sub"),"",IF($M16&gt;=1,"Completado",IF($M16&gt;0,"En curso","Pendiente")))</f>
        <v/>
      </c>
      <c r="O16" s="56">
        <f>IF(NOT((COUNTA($B16:$D16)+COUNTA($G16:$H16)+COUNTA($Q16))&gt;0),"",IF(AND(AND($D16&lt;&gt;"",$V16="Macro"),N($AM16)&gt;0),CHOOSE(MATCH($D16,ListaPuestos,0),INDEX('Cronograma R. Operacional'!$O$5:$O$1000,$AM16),INDEX('Cronograma R. Normativo'!$O$5:$O$1000,$AM16),INDEX('Cronograma R. Financiero'!$O$5:$O$1000,$AM16),INDEX('Cronograma Asistente Técnico'!$O$5:$O$1000,$AM16))&amp;"",IF(ISNUMBER($G16),IF(AND(ISNUMBER($AS16),$G16&gt;$AS16),"Cumplida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f>IF(NOT((COUNTA($B16:$D16)+COUNTA($G16:$H16)+COUNTA($Q16))&gt;0),"",IF($D16="","Propia",IF($V16&lt;&gt;"Macro","Solo se delegan macroactividades",IF(N($AM16)&gt;0,"✔ Recibida por "&amp;$D16,"⚠ "&amp;$D16&amp;" aún no la agrega"))))</f>
        <v/>
      </c>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f>IF(NOT(AND($D16&lt;&gt;"",$V16="Macro")),"",IFERROR(CHOOSE(MATCH($D16,ListaPuestos,0),MATCH("[Jefatura] "&amp;$C16,'Cronograma R. Operacional'!$C$5:$C$1000,0),MATCH("[Jefatura] "&amp;$C16,'Cronograma R. Normativo'!$C$5:$C$1000,0),MATCH("[Jefatura] "&amp;$C16,'Cronograma R. Financiero'!$C$5:$C$1000,0),MATCH("[Jefatura] "&amp;$C16,'Cronograma Asistente Técnico'!$C$5:$C$1000,0)),0))</f>
        <v/>
      </c>
      <c r="AN16" s="62">
        <f>IF(AND(AND($D16&lt;&gt;"",$V16="Macro"),$S16=MesCiclo),COUNTIFS($D$5:$D16,$D16,$S$5:$S16,MesCiclo,$V$5:$V16,"Macro"),"")</f>
        <v/>
      </c>
      <c r="AO16" s="62">
        <f>IF($AN16="","",$D16&amp;"|"&amp;$AN16)</f>
        <v/>
      </c>
      <c r="AP16" s="62">
        <f>IF(AND($D16&lt;&gt;"",$V16="Macro"),$D16&amp;"|"&amp;$C16,"")</f>
        <v/>
      </c>
      <c r="AQ16" s="62">
        <f>""</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t="n"/>
      <c r="F17" s="59" t="n"/>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IF(NOT((COUNTA($B17:$D17)+COUNTA($G17:$H17)+COUNTA($Q17))&gt;0),"",IF(AND($D17&lt;&gt;"",$V17="Macro"),IF(N($AM17)&gt;0,N(CHOOSE(MATCH($D17,ListaPuestos,0),INDEX('Cronograma R. Operacional'!$M$5:$M$1000,$AM17),INDEX('Cronograma R. Normativo'!$M$5:$M$1000,$AM17),INDEX('Cronograma R. Financiero'!$M$5:$M$1000,$AM17),INDEX('Cronograma Asistente Técnico'!$M$5:$M$1000,$AM17))),0),IF(ISNUMBER($G17),1,IF(N($W17)&gt;0,MIN(1,SUMIFS($Y$5:$Y$1000,$U$5:$U$1000,ROW(),$V$5:$V$1000,"Sub")),$Y17))))</f>
        <v/>
      </c>
      <c r="N17" s="56">
        <f>IF(OR($M17="",$V17="Sub"),"",IF($M17&gt;=1,"Completado",IF($M17&gt;0,"En curso","Pendiente")))</f>
        <v/>
      </c>
      <c r="O17" s="56">
        <f>IF(NOT((COUNTA($B17:$D17)+COUNTA($G17:$H17)+COUNTA($Q17))&gt;0),"",IF(AND(AND($D17&lt;&gt;"",$V17="Macro"),N($AM17)&gt;0),CHOOSE(MATCH($D17,ListaPuestos,0),INDEX('Cronograma R. Operacional'!$O$5:$O$1000,$AM17),INDEX('Cronograma R. Normativo'!$O$5:$O$1000,$AM17),INDEX('Cronograma R. Financiero'!$O$5:$O$1000,$AM17),INDEX('Cronograma Asistente Técnico'!$O$5:$O$1000,$AM17))&amp;"",IF(ISNUMBER($G17),IF(AND(ISNUMBER($AS17),$G17&gt;$AS17),"Cumplida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f>IF(NOT((COUNTA($B17:$D17)+COUNTA($G17:$H17)+COUNTA($Q17))&gt;0),"",IF($D17="","Propia",IF($V17&lt;&gt;"Macro","Solo se delegan macroactividades",IF(N($AM17)&gt;0,"✔ Recibida por "&amp;$D17,"⚠ "&amp;$D17&amp;" aún no la agrega"))))</f>
        <v/>
      </c>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f>IF(NOT(AND($D17&lt;&gt;"",$V17="Macro")),"",IFERROR(CHOOSE(MATCH($D17,ListaPuestos,0),MATCH("[Jefatura] "&amp;$C17,'Cronograma R. Operacional'!$C$5:$C$1000,0),MATCH("[Jefatura] "&amp;$C17,'Cronograma R. Normativo'!$C$5:$C$1000,0),MATCH("[Jefatura] "&amp;$C17,'Cronograma R. Financiero'!$C$5:$C$1000,0),MATCH("[Jefatura] "&amp;$C17,'Cronograma Asistente Técnico'!$C$5:$C$1000,0)),0))</f>
        <v/>
      </c>
      <c r="AN17" s="62">
        <f>IF(AND(AND($D17&lt;&gt;"",$V17="Macro"),$S17=MesCiclo),COUNTIFS($D$5:$D17,$D17,$S$5:$S17,MesCiclo,$V$5:$V17,"Macro"),"")</f>
        <v/>
      </c>
      <c r="AO17" s="62">
        <f>IF($AN17="","",$D17&amp;"|"&amp;$AN17)</f>
        <v/>
      </c>
      <c r="AP17" s="62">
        <f>IF(AND($D17&lt;&gt;"",$V17="Macro"),$D17&amp;"|"&amp;$C17,"")</f>
        <v/>
      </c>
      <c r="AQ17" s="62">
        <f>""</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t="n"/>
      <c r="F18" s="59" t="n"/>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IF(NOT((COUNTA($B18:$D18)+COUNTA($G18:$H18)+COUNTA($Q18))&gt;0),"",IF(AND($D18&lt;&gt;"",$V18="Macro"),IF(N($AM18)&gt;0,N(CHOOSE(MATCH($D18,ListaPuestos,0),INDEX('Cronograma R. Operacional'!$M$5:$M$1000,$AM18),INDEX('Cronograma R. Normativo'!$M$5:$M$1000,$AM18),INDEX('Cronograma R. Financiero'!$M$5:$M$1000,$AM18),INDEX('Cronograma Asistente Técnico'!$M$5:$M$1000,$AM18))),0),IF(ISNUMBER($G18),1,IF(N($W18)&gt;0,MIN(1,SUMIFS($Y$5:$Y$1000,$U$5:$U$1000,ROW(),$V$5:$V$1000,"Sub")),$Y18))))</f>
        <v/>
      </c>
      <c r="N18" s="56">
        <f>IF(OR($M18="",$V18="Sub"),"",IF($M18&gt;=1,"Completado",IF($M18&gt;0,"En curso","Pendiente")))</f>
        <v/>
      </c>
      <c r="O18" s="56">
        <f>IF(NOT((COUNTA($B18:$D18)+COUNTA($G18:$H18)+COUNTA($Q18))&gt;0),"",IF(AND(AND($D18&lt;&gt;"",$V18="Macro"),N($AM18)&gt;0),CHOOSE(MATCH($D18,ListaPuestos,0),INDEX('Cronograma R. Operacional'!$O$5:$O$1000,$AM18),INDEX('Cronograma R. Normativo'!$O$5:$O$1000,$AM18),INDEX('Cronograma R. Financiero'!$O$5:$O$1000,$AM18),INDEX('Cronograma Asistente Técnico'!$O$5:$O$1000,$AM18))&amp;"",IF(ISNUMBER($G18),IF(AND(ISNUMBER($AS18),$G18&gt;$AS18),"Cumplida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f>IF(NOT((COUNTA($B18:$D18)+COUNTA($G18:$H18)+COUNTA($Q18))&gt;0),"",IF($D18="","Propia",IF($V18&lt;&gt;"Macro","Solo se delegan macroactividades",IF(N($AM18)&gt;0,"✔ Recibida por "&amp;$D18,"⚠ "&amp;$D18&amp;" aún no la agrega"))))</f>
        <v/>
      </c>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f>IF(NOT(AND($D18&lt;&gt;"",$V18="Macro")),"",IFERROR(CHOOSE(MATCH($D18,ListaPuestos,0),MATCH("[Jefatura] "&amp;$C18,'Cronograma R. Operacional'!$C$5:$C$1000,0),MATCH("[Jefatura] "&amp;$C18,'Cronograma R. Normativo'!$C$5:$C$1000,0),MATCH("[Jefatura] "&amp;$C18,'Cronograma R. Financiero'!$C$5:$C$1000,0),MATCH("[Jefatura] "&amp;$C18,'Cronograma Asistente Técnico'!$C$5:$C$1000,0)),0))</f>
        <v/>
      </c>
      <c r="AN18" s="62">
        <f>IF(AND(AND($D18&lt;&gt;"",$V18="Macro"),$S18=MesCiclo),COUNTIFS($D$5:$D18,$D18,$S$5:$S18,MesCiclo,$V$5:$V18,"Macro"),"")</f>
        <v/>
      </c>
      <c r="AO18" s="62">
        <f>IF($AN18="","",$D18&amp;"|"&amp;$AN18)</f>
        <v/>
      </c>
      <c r="AP18" s="62">
        <f>IF(AND($D18&lt;&gt;"",$V18="Macro"),$D18&amp;"|"&amp;$C18,"")</f>
        <v/>
      </c>
      <c r="AQ18" s="62">
        <f>""</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t="n"/>
      <c r="F19" s="59" t="n"/>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IF(NOT((COUNTA($B19:$D19)+COUNTA($G19:$H19)+COUNTA($Q19))&gt;0),"",IF(AND($D19&lt;&gt;"",$V19="Macro"),IF(N($AM19)&gt;0,N(CHOOSE(MATCH($D19,ListaPuestos,0),INDEX('Cronograma R. Operacional'!$M$5:$M$1000,$AM19),INDEX('Cronograma R. Normativo'!$M$5:$M$1000,$AM19),INDEX('Cronograma R. Financiero'!$M$5:$M$1000,$AM19),INDEX('Cronograma Asistente Técnico'!$M$5:$M$1000,$AM19))),0),IF(ISNUMBER($G19),1,IF(N($W19)&gt;0,MIN(1,SUMIFS($Y$5:$Y$1000,$U$5:$U$1000,ROW(),$V$5:$V$1000,"Sub")),$Y19))))</f>
        <v/>
      </c>
      <c r="N19" s="56">
        <f>IF(OR($M19="",$V19="Sub"),"",IF($M19&gt;=1,"Completado",IF($M19&gt;0,"En curso","Pendiente")))</f>
        <v/>
      </c>
      <c r="O19" s="56">
        <f>IF(NOT((COUNTA($B19:$D19)+COUNTA($G19:$H19)+COUNTA($Q19))&gt;0),"",IF(AND(AND($D19&lt;&gt;"",$V19="Macro"),N($AM19)&gt;0),CHOOSE(MATCH($D19,ListaPuestos,0),INDEX('Cronograma R. Operacional'!$O$5:$O$1000,$AM19),INDEX('Cronograma R. Normativo'!$O$5:$O$1000,$AM19),INDEX('Cronograma R. Financiero'!$O$5:$O$1000,$AM19),INDEX('Cronograma Asistente Técnico'!$O$5:$O$1000,$AM19))&amp;"",IF(ISNUMBER($G19),IF(AND(ISNUMBER($AS19),$G19&gt;$AS19),"Cumplida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f>IF(NOT((COUNTA($B19:$D19)+COUNTA($G19:$H19)+COUNTA($Q19))&gt;0),"",IF($D19="","Propia",IF($V19&lt;&gt;"Macro","Solo se delegan macroactividades",IF(N($AM19)&gt;0,"✔ Recibida por "&amp;$D19,"⚠ "&amp;$D19&amp;" aún no la agrega"))))</f>
        <v/>
      </c>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f>IF(NOT(AND($D19&lt;&gt;"",$V19="Macro")),"",IFERROR(CHOOSE(MATCH($D19,ListaPuestos,0),MATCH("[Jefatura] "&amp;$C19,'Cronograma R. Operacional'!$C$5:$C$1000,0),MATCH("[Jefatura] "&amp;$C19,'Cronograma R. Normativo'!$C$5:$C$1000,0),MATCH("[Jefatura] "&amp;$C19,'Cronograma R. Financiero'!$C$5:$C$1000,0),MATCH("[Jefatura] "&amp;$C19,'Cronograma Asistente Técnico'!$C$5:$C$1000,0)),0))</f>
        <v/>
      </c>
      <c r="AN19" s="62">
        <f>IF(AND(AND($D19&lt;&gt;"",$V19="Macro"),$S19=MesCiclo),COUNTIFS($D$5:$D19,$D19,$S$5:$S19,MesCiclo,$V$5:$V19,"Macro"),"")</f>
        <v/>
      </c>
      <c r="AO19" s="62">
        <f>IF($AN19="","",$D19&amp;"|"&amp;$AN19)</f>
        <v/>
      </c>
      <c r="AP19" s="62">
        <f>IF(AND($D19&lt;&gt;"",$V19="Macro"),$D19&amp;"|"&amp;$C19,"")</f>
        <v/>
      </c>
      <c r="AQ19" s="62">
        <f>""</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t="n"/>
      <c r="F20" s="59" t="n"/>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IF(NOT((COUNTA($B20:$D20)+COUNTA($G20:$H20)+COUNTA($Q20))&gt;0),"",IF(AND($D20&lt;&gt;"",$V20="Macro"),IF(N($AM20)&gt;0,N(CHOOSE(MATCH($D20,ListaPuestos,0),INDEX('Cronograma R. Operacional'!$M$5:$M$1000,$AM20),INDEX('Cronograma R. Normativo'!$M$5:$M$1000,$AM20),INDEX('Cronograma R. Financiero'!$M$5:$M$1000,$AM20),INDEX('Cronograma Asistente Técnico'!$M$5:$M$1000,$AM20))),0),IF(ISNUMBER($G20),1,IF(N($W20)&gt;0,MIN(1,SUMIFS($Y$5:$Y$1000,$U$5:$U$1000,ROW(),$V$5:$V$1000,"Sub")),$Y20))))</f>
        <v/>
      </c>
      <c r="N20" s="56">
        <f>IF(OR($M20="",$V20="Sub"),"",IF($M20&gt;=1,"Completado",IF($M20&gt;0,"En curso","Pendiente")))</f>
        <v/>
      </c>
      <c r="O20" s="56">
        <f>IF(NOT((COUNTA($B20:$D20)+COUNTA($G20:$H20)+COUNTA($Q20))&gt;0),"",IF(AND(AND($D20&lt;&gt;"",$V20="Macro"),N($AM20)&gt;0),CHOOSE(MATCH($D20,ListaPuestos,0),INDEX('Cronograma R. Operacional'!$O$5:$O$1000,$AM20),INDEX('Cronograma R. Normativo'!$O$5:$O$1000,$AM20),INDEX('Cronograma R. Financiero'!$O$5:$O$1000,$AM20),INDEX('Cronograma Asistente Técnico'!$O$5:$O$1000,$AM20))&amp;"",IF(ISNUMBER($G20),IF(AND(ISNUMBER($AS20),$G20&gt;$AS20),"Cumplida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f>IF(NOT((COUNTA($B20:$D20)+COUNTA($G20:$H20)+COUNTA($Q20))&gt;0),"",IF($D20="","Propia",IF($V20&lt;&gt;"Macro","Solo se delegan macroactividades",IF(N($AM20)&gt;0,"✔ Recibida por "&amp;$D20,"⚠ "&amp;$D20&amp;" aún no la agrega"))))</f>
        <v/>
      </c>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f>IF(NOT(AND($D20&lt;&gt;"",$V20="Macro")),"",IFERROR(CHOOSE(MATCH($D20,ListaPuestos,0),MATCH("[Jefatura] "&amp;$C20,'Cronograma R. Operacional'!$C$5:$C$1000,0),MATCH("[Jefatura] "&amp;$C20,'Cronograma R. Normativo'!$C$5:$C$1000,0),MATCH("[Jefatura] "&amp;$C20,'Cronograma R. Financiero'!$C$5:$C$1000,0),MATCH("[Jefatura] "&amp;$C20,'Cronograma Asistente Técnico'!$C$5:$C$1000,0)),0))</f>
        <v/>
      </c>
      <c r="AN20" s="62">
        <f>IF(AND(AND($D20&lt;&gt;"",$V20="Macro"),$S20=MesCiclo),COUNTIFS($D$5:$D20,$D20,$S$5:$S20,MesCiclo,$V$5:$V20,"Macro"),"")</f>
        <v/>
      </c>
      <c r="AO20" s="62">
        <f>IF($AN20="","",$D20&amp;"|"&amp;$AN20)</f>
        <v/>
      </c>
      <c r="AP20" s="62">
        <f>IF(AND($D20&lt;&gt;"",$V20="Macro"),$D20&amp;"|"&amp;$C20,"")</f>
        <v/>
      </c>
      <c r="AQ20" s="62">
        <f>""</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t="n"/>
      <c r="F21" s="59" t="n"/>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IF(NOT((COUNTA($B21:$D21)+COUNTA($G21:$H21)+COUNTA($Q21))&gt;0),"",IF(AND($D21&lt;&gt;"",$V21="Macro"),IF(N($AM21)&gt;0,N(CHOOSE(MATCH($D21,ListaPuestos,0),INDEX('Cronograma R. Operacional'!$M$5:$M$1000,$AM21),INDEX('Cronograma R. Normativo'!$M$5:$M$1000,$AM21),INDEX('Cronograma R. Financiero'!$M$5:$M$1000,$AM21),INDEX('Cronograma Asistente Técnico'!$M$5:$M$1000,$AM21))),0),IF(ISNUMBER($G21),1,IF(N($W21)&gt;0,MIN(1,SUMIFS($Y$5:$Y$1000,$U$5:$U$1000,ROW(),$V$5:$V$1000,"Sub")),$Y21))))</f>
        <v/>
      </c>
      <c r="N21" s="56">
        <f>IF(OR($M21="",$V21="Sub"),"",IF($M21&gt;=1,"Completado",IF($M21&gt;0,"En curso","Pendiente")))</f>
        <v/>
      </c>
      <c r="O21" s="56">
        <f>IF(NOT((COUNTA($B21:$D21)+COUNTA($G21:$H21)+COUNTA($Q21))&gt;0),"",IF(AND(AND($D21&lt;&gt;"",$V21="Macro"),N($AM21)&gt;0),CHOOSE(MATCH($D21,ListaPuestos,0),INDEX('Cronograma R. Operacional'!$O$5:$O$1000,$AM21),INDEX('Cronograma R. Normativo'!$O$5:$O$1000,$AM21),INDEX('Cronograma R. Financiero'!$O$5:$O$1000,$AM21),INDEX('Cronograma Asistente Técnico'!$O$5:$O$1000,$AM21))&amp;"",IF(ISNUMBER($G21),IF(AND(ISNUMBER($AS21),$G21&gt;$AS21),"Cumplida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f>IF(NOT((COUNTA($B21:$D21)+COUNTA($G21:$H21)+COUNTA($Q21))&gt;0),"",IF($D21="","Propia",IF($V21&lt;&gt;"Macro","Solo se delegan macroactividades",IF(N($AM21)&gt;0,"✔ Recibida por "&amp;$D21,"⚠ "&amp;$D21&amp;" aún no la agrega"))))</f>
        <v/>
      </c>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f>IF(NOT(AND($D21&lt;&gt;"",$V21="Macro")),"",IFERROR(CHOOSE(MATCH($D21,ListaPuestos,0),MATCH("[Jefatura] "&amp;$C21,'Cronograma R. Operacional'!$C$5:$C$1000,0),MATCH("[Jefatura] "&amp;$C21,'Cronograma R. Normativo'!$C$5:$C$1000,0),MATCH("[Jefatura] "&amp;$C21,'Cronograma R. Financiero'!$C$5:$C$1000,0),MATCH("[Jefatura] "&amp;$C21,'Cronograma Asistente Técnico'!$C$5:$C$1000,0)),0))</f>
        <v/>
      </c>
      <c r="AN21" s="62">
        <f>IF(AND(AND($D21&lt;&gt;"",$V21="Macro"),$S21=MesCiclo),COUNTIFS($D$5:$D21,$D21,$S$5:$S21,MesCiclo,$V$5:$V21,"Macro"),"")</f>
        <v/>
      </c>
      <c r="AO21" s="62">
        <f>IF($AN21="","",$D21&amp;"|"&amp;$AN21)</f>
        <v/>
      </c>
      <c r="AP21" s="62">
        <f>IF(AND($D21&lt;&gt;"",$V21="Macro"),$D21&amp;"|"&amp;$C21,"")</f>
        <v/>
      </c>
      <c r="AQ21" s="62">
        <f>""</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t="n"/>
      <c r="F22" s="59" t="n"/>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IF(NOT((COUNTA($B22:$D22)+COUNTA($G22:$H22)+COUNTA($Q22))&gt;0),"",IF(AND($D22&lt;&gt;"",$V22="Macro"),IF(N($AM22)&gt;0,N(CHOOSE(MATCH($D22,ListaPuestos,0),INDEX('Cronograma R. Operacional'!$M$5:$M$1000,$AM22),INDEX('Cronograma R. Normativo'!$M$5:$M$1000,$AM22),INDEX('Cronograma R. Financiero'!$M$5:$M$1000,$AM22),INDEX('Cronograma Asistente Técnico'!$M$5:$M$1000,$AM22))),0),IF(ISNUMBER($G22),1,IF(N($W22)&gt;0,MIN(1,SUMIFS($Y$5:$Y$1000,$U$5:$U$1000,ROW(),$V$5:$V$1000,"Sub")),$Y22))))</f>
        <v/>
      </c>
      <c r="N22" s="56">
        <f>IF(OR($M22="",$V22="Sub"),"",IF($M22&gt;=1,"Completado",IF($M22&gt;0,"En curso","Pendiente")))</f>
        <v/>
      </c>
      <c r="O22" s="56">
        <f>IF(NOT((COUNTA($B22:$D22)+COUNTA($G22:$H22)+COUNTA($Q22))&gt;0),"",IF(AND(AND($D22&lt;&gt;"",$V22="Macro"),N($AM22)&gt;0),CHOOSE(MATCH($D22,ListaPuestos,0),INDEX('Cronograma R. Operacional'!$O$5:$O$1000,$AM22),INDEX('Cronograma R. Normativo'!$O$5:$O$1000,$AM22),INDEX('Cronograma R. Financiero'!$O$5:$O$1000,$AM22),INDEX('Cronograma Asistente Técnico'!$O$5:$O$1000,$AM22))&amp;"",IF(ISNUMBER($G22),IF(AND(ISNUMBER($AS22),$G22&gt;$AS22),"Cumplida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f>IF(NOT((COUNTA($B22:$D22)+COUNTA($G22:$H22)+COUNTA($Q22))&gt;0),"",IF($D22="","Propia",IF($V22&lt;&gt;"Macro","Solo se delegan macroactividades",IF(N($AM22)&gt;0,"✔ Recibida por "&amp;$D22,"⚠ "&amp;$D22&amp;" aún no la agrega"))))</f>
        <v/>
      </c>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f>IF(NOT(AND($D22&lt;&gt;"",$V22="Macro")),"",IFERROR(CHOOSE(MATCH($D22,ListaPuestos,0),MATCH("[Jefatura] "&amp;$C22,'Cronograma R. Operacional'!$C$5:$C$1000,0),MATCH("[Jefatura] "&amp;$C22,'Cronograma R. Normativo'!$C$5:$C$1000,0),MATCH("[Jefatura] "&amp;$C22,'Cronograma R. Financiero'!$C$5:$C$1000,0),MATCH("[Jefatura] "&amp;$C22,'Cronograma Asistente Técnico'!$C$5:$C$1000,0)),0))</f>
        <v/>
      </c>
      <c r="AN22" s="62">
        <f>IF(AND(AND($D22&lt;&gt;"",$V22="Macro"),$S22=MesCiclo),COUNTIFS($D$5:$D22,$D22,$S$5:$S22,MesCiclo,$V$5:$V22,"Macro"),"")</f>
        <v/>
      </c>
      <c r="AO22" s="62">
        <f>IF($AN22="","",$D22&amp;"|"&amp;$AN22)</f>
        <v/>
      </c>
      <c r="AP22" s="62">
        <f>IF(AND($D22&lt;&gt;"",$V22="Macro"),$D22&amp;"|"&amp;$C22,"")</f>
        <v/>
      </c>
      <c r="AQ22" s="62">
        <f>""</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t="n"/>
      <c r="F23" s="59" t="n"/>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IF(NOT((COUNTA($B23:$D23)+COUNTA($G23:$H23)+COUNTA($Q23))&gt;0),"",IF(AND($D23&lt;&gt;"",$V23="Macro"),IF(N($AM23)&gt;0,N(CHOOSE(MATCH($D23,ListaPuestos,0),INDEX('Cronograma R. Operacional'!$M$5:$M$1000,$AM23),INDEX('Cronograma R. Normativo'!$M$5:$M$1000,$AM23),INDEX('Cronograma R. Financiero'!$M$5:$M$1000,$AM23),INDEX('Cronograma Asistente Técnico'!$M$5:$M$1000,$AM23))),0),IF(ISNUMBER($G23),1,IF(N($W23)&gt;0,MIN(1,SUMIFS($Y$5:$Y$1000,$U$5:$U$1000,ROW(),$V$5:$V$1000,"Sub")),$Y23))))</f>
        <v/>
      </c>
      <c r="N23" s="56">
        <f>IF(OR($M23="",$V23="Sub"),"",IF($M23&gt;=1,"Completado",IF($M23&gt;0,"En curso","Pendiente")))</f>
        <v/>
      </c>
      <c r="O23" s="56">
        <f>IF(NOT((COUNTA($B23:$D23)+COUNTA($G23:$H23)+COUNTA($Q23))&gt;0),"",IF(AND(AND($D23&lt;&gt;"",$V23="Macro"),N($AM23)&gt;0),CHOOSE(MATCH($D23,ListaPuestos,0),INDEX('Cronograma R. Operacional'!$O$5:$O$1000,$AM23),INDEX('Cronograma R. Normativo'!$O$5:$O$1000,$AM23),INDEX('Cronograma R. Financiero'!$O$5:$O$1000,$AM23),INDEX('Cronograma Asistente Técnico'!$O$5:$O$1000,$AM23))&amp;"",IF(ISNUMBER($G23),IF(AND(ISNUMBER($AS23),$G23&gt;$AS23),"Cumplida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f>IF(NOT((COUNTA($B23:$D23)+COUNTA($G23:$H23)+COUNTA($Q23))&gt;0),"",IF($D23="","Propia",IF($V23&lt;&gt;"Macro","Solo se delegan macroactividades",IF(N($AM23)&gt;0,"✔ Recibida por "&amp;$D23,"⚠ "&amp;$D23&amp;" aún no la agrega"))))</f>
        <v/>
      </c>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f>IF(NOT(AND($D23&lt;&gt;"",$V23="Macro")),"",IFERROR(CHOOSE(MATCH($D23,ListaPuestos,0),MATCH("[Jefatura] "&amp;$C23,'Cronograma R. Operacional'!$C$5:$C$1000,0),MATCH("[Jefatura] "&amp;$C23,'Cronograma R. Normativo'!$C$5:$C$1000,0),MATCH("[Jefatura] "&amp;$C23,'Cronograma R. Financiero'!$C$5:$C$1000,0),MATCH("[Jefatura] "&amp;$C23,'Cronograma Asistente Técnico'!$C$5:$C$1000,0)),0))</f>
        <v/>
      </c>
      <c r="AN23" s="62">
        <f>IF(AND(AND($D23&lt;&gt;"",$V23="Macro"),$S23=MesCiclo),COUNTIFS($D$5:$D23,$D23,$S$5:$S23,MesCiclo,$V$5:$V23,"Macro"),"")</f>
        <v/>
      </c>
      <c r="AO23" s="62">
        <f>IF($AN23="","",$D23&amp;"|"&amp;$AN23)</f>
        <v/>
      </c>
      <c r="AP23" s="62">
        <f>IF(AND($D23&lt;&gt;"",$V23="Macro"),$D23&amp;"|"&amp;$C23,"")</f>
        <v/>
      </c>
      <c r="AQ23" s="62">
        <f>""</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t="n"/>
      <c r="F24" s="59" t="n"/>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IF(NOT((COUNTA($B24:$D24)+COUNTA($G24:$H24)+COUNTA($Q24))&gt;0),"",IF(AND($D24&lt;&gt;"",$V24="Macro"),IF(N($AM24)&gt;0,N(CHOOSE(MATCH($D24,ListaPuestos,0),INDEX('Cronograma R. Operacional'!$M$5:$M$1000,$AM24),INDEX('Cronograma R. Normativo'!$M$5:$M$1000,$AM24),INDEX('Cronograma R. Financiero'!$M$5:$M$1000,$AM24),INDEX('Cronograma Asistente Técnico'!$M$5:$M$1000,$AM24))),0),IF(ISNUMBER($G24),1,IF(N($W24)&gt;0,MIN(1,SUMIFS($Y$5:$Y$1000,$U$5:$U$1000,ROW(),$V$5:$V$1000,"Sub")),$Y24))))</f>
        <v/>
      </c>
      <c r="N24" s="56">
        <f>IF(OR($M24="",$V24="Sub"),"",IF($M24&gt;=1,"Completado",IF($M24&gt;0,"En curso","Pendiente")))</f>
        <v/>
      </c>
      <c r="O24" s="56">
        <f>IF(NOT((COUNTA($B24:$D24)+COUNTA($G24:$H24)+COUNTA($Q24))&gt;0),"",IF(AND(AND($D24&lt;&gt;"",$V24="Macro"),N($AM24)&gt;0),CHOOSE(MATCH($D24,ListaPuestos,0),INDEX('Cronograma R. Operacional'!$O$5:$O$1000,$AM24),INDEX('Cronograma R. Normativo'!$O$5:$O$1000,$AM24),INDEX('Cronograma R. Financiero'!$O$5:$O$1000,$AM24),INDEX('Cronograma Asistente Técnico'!$O$5:$O$1000,$AM24))&amp;"",IF(ISNUMBER($G24),IF(AND(ISNUMBER($AS24),$G24&gt;$AS24),"Cumplida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f>IF(NOT((COUNTA($B24:$D24)+COUNTA($G24:$H24)+COUNTA($Q24))&gt;0),"",IF($D24="","Propia",IF($V24&lt;&gt;"Macro","Solo se delegan macroactividades",IF(N($AM24)&gt;0,"✔ Recibida por "&amp;$D24,"⚠ "&amp;$D24&amp;" aún no la agrega"))))</f>
        <v/>
      </c>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f>IF(NOT(AND($D24&lt;&gt;"",$V24="Macro")),"",IFERROR(CHOOSE(MATCH($D24,ListaPuestos,0),MATCH("[Jefatura] "&amp;$C24,'Cronograma R. Operacional'!$C$5:$C$1000,0),MATCH("[Jefatura] "&amp;$C24,'Cronograma R. Normativo'!$C$5:$C$1000,0),MATCH("[Jefatura] "&amp;$C24,'Cronograma R. Financiero'!$C$5:$C$1000,0),MATCH("[Jefatura] "&amp;$C24,'Cronograma Asistente Técnico'!$C$5:$C$1000,0)),0))</f>
        <v/>
      </c>
      <c r="AN24" s="62">
        <f>IF(AND(AND($D24&lt;&gt;"",$V24="Macro"),$S24=MesCiclo),COUNTIFS($D$5:$D24,$D24,$S$5:$S24,MesCiclo,$V$5:$V24,"Macro"),"")</f>
        <v/>
      </c>
      <c r="AO24" s="62">
        <f>IF($AN24="","",$D24&amp;"|"&amp;$AN24)</f>
        <v/>
      </c>
      <c r="AP24" s="62">
        <f>IF(AND($D24&lt;&gt;"",$V24="Macro"),$D24&amp;"|"&amp;$C24,"")</f>
        <v/>
      </c>
      <c r="AQ24" s="62">
        <f>""</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t="n"/>
      <c r="F25" s="59" t="n"/>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IF(NOT((COUNTA($B25:$D25)+COUNTA($G25:$H25)+COUNTA($Q25))&gt;0),"",IF(AND($D25&lt;&gt;"",$V25="Macro"),IF(N($AM25)&gt;0,N(CHOOSE(MATCH($D25,ListaPuestos,0),INDEX('Cronograma R. Operacional'!$M$5:$M$1000,$AM25),INDEX('Cronograma R. Normativo'!$M$5:$M$1000,$AM25),INDEX('Cronograma R. Financiero'!$M$5:$M$1000,$AM25),INDEX('Cronograma Asistente Técnico'!$M$5:$M$1000,$AM25))),0),IF(ISNUMBER($G25),1,IF(N($W25)&gt;0,MIN(1,SUMIFS($Y$5:$Y$1000,$U$5:$U$1000,ROW(),$V$5:$V$1000,"Sub")),$Y25))))</f>
        <v/>
      </c>
      <c r="N25" s="56">
        <f>IF(OR($M25="",$V25="Sub"),"",IF($M25&gt;=1,"Completado",IF($M25&gt;0,"En curso","Pendiente")))</f>
        <v/>
      </c>
      <c r="O25" s="56">
        <f>IF(NOT((COUNTA($B25:$D25)+COUNTA($G25:$H25)+COUNTA($Q25))&gt;0),"",IF(AND(AND($D25&lt;&gt;"",$V25="Macro"),N($AM25)&gt;0),CHOOSE(MATCH($D25,ListaPuestos,0),INDEX('Cronograma R. Operacional'!$O$5:$O$1000,$AM25),INDEX('Cronograma R. Normativo'!$O$5:$O$1000,$AM25),INDEX('Cronograma R. Financiero'!$O$5:$O$1000,$AM25),INDEX('Cronograma Asistente Técnico'!$O$5:$O$1000,$AM25))&amp;"",IF(ISNUMBER($G25),IF(AND(ISNUMBER($AS25),$G25&gt;$AS25),"Cumplida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f>IF(NOT((COUNTA($B25:$D25)+COUNTA($G25:$H25)+COUNTA($Q25))&gt;0),"",IF($D25="","Propia",IF($V25&lt;&gt;"Macro","Solo se delegan macroactividades",IF(N($AM25)&gt;0,"✔ Recibida por "&amp;$D25,"⚠ "&amp;$D25&amp;" aún no la agrega"))))</f>
        <v/>
      </c>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f>IF(NOT(AND($D25&lt;&gt;"",$V25="Macro")),"",IFERROR(CHOOSE(MATCH($D25,ListaPuestos,0),MATCH("[Jefatura] "&amp;$C25,'Cronograma R. Operacional'!$C$5:$C$1000,0),MATCH("[Jefatura] "&amp;$C25,'Cronograma R. Normativo'!$C$5:$C$1000,0),MATCH("[Jefatura] "&amp;$C25,'Cronograma R. Financiero'!$C$5:$C$1000,0),MATCH("[Jefatura] "&amp;$C25,'Cronograma Asistente Técnico'!$C$5:$C$1000,0)),0))</f>
        <v/>
      </c>
      <c r="AN25" s="62">
        <f>IF(AND(AND($D25&lt;&gt;"",$V25="Macro"),$S25=MesCiclo),COUNTIFS($D$5:$D25,$D25,$S$5:$S25,MesCiclo,$V$5:$V25,"Macro"),"")</f>
        <v/>
      </c>
      <c r="AO25" s="62">
        <f>IF($AN25="","",$D25&amp;"|"&amp;$AN25)</f>
        <v/>
      </c>
      <c r="AP25" s="62">
        <f>IF(AND($D25&lt;&gt;"",$V25="Macro"),$D25&amp;"|"&amp;$C25,"")</f>
        <v/>
      </c>
      <c r="AQ25" s="62">
        <f>""</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t="n"/>
      <c r="F26" s="59" t="n"/>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IF(NOT((COUNTA($B26:$D26)+COUNTA($G26:$H26)+COUNTA($Q26))&gt;0),"",IF(AND($D26&lt;&gt;"",$V26="Macro"),IF(N($AM26)&gt;0,N(CHOOSE(MATCH($D26,ListaPuestos,0),INDEX('Cronograma R. Operacional'!$M$5:$M$1000,$AM26),INDEX('Cronograma R. Normativo'!$M$5:$M$1000,$AM26),INDEX('Cronograma R. Financiero'!$M$5:$M$1000,$AM26),INDEX('Cronograma Asistente Técnico'!$M$5:$M$1000,$AM26))),0),IF(ISNUMBER($G26),1,IF(N($W26)&gt;0,MIN(1,SUMIFS($Y$5:$Y$1000,$U$5:$U$1000,ROW(),$V$5:$V$1000,"Sub")),$Y26))))</f>
        <v/>
      </c>
      <c r="N26" s="56">
        <f>IF(OR($M26="",$V26="Sub"),"",IF($M26&gt;=1,"Completado",IF($M26&gt;0,"En curso","Pendiente")))</f>
        <v/>
      </c>
      <c r="O26" s="56">
        <f>IF(NOT((COUNTA($B26:$D26)+COUNTA($G26:$H26)+COUNTA($Q26))&gt;0),"",IF(AND(AND($D26&lt;&gt;"",$V26="Macro"),N($AM26)&gt;0),CHOOSE(MATCH($D26,ListaPuestos,0),INDEX('Cronograma R. Operacional'!$O$5:$O$1000,$AM26),INDEX('Cronograma R. Normativo'!$O$5:$O$1000,$AM26),INDEX('Cronograma R. Financiero'!$O$5:$O$1000,$AM26),INDEX('Cronograma Asistente Técnico'!$O$5:$O$1000,$AM26))&amp;"",IF(ISNUMBER($G26),IF(AND(ISNUMBER($AS26),$G26&gt;$AS26),"Cumplida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f>IF(NOT((COUNTA($B26:$D26)+COUNTA($G26:$H26)+COUNTA($Q26))&gt;0),"",IF($D26="","Propia",IF($V26&lt;&gt;"Macro","Solo se delegan macroactividades",IF(N($AM26)&gt;0,"✔ Recibida por "&amp;$D26,"⚠ "&amp;$D26&amp;" aún no la agrega"))))</f>
        <v/>
      </c>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f>IF(NOT(AND($D26&lt;&gt;"",$V26="Macro")),"",IFERROR(CHOOSE(MATCH($D26,ListaPuestos,0),MATCH("[Jefatura] "&amp;$C26,'Cronograma R. Operacional'!$C$5:$C$1000,0),MATCH("[Jefatura] "&amp;$C26,'Cronograma R. Normativo'!$C$5:$C$1000,0),MATCH("[Jefatura] "&amp;$C26,'Cronograma R. Financiero'!$C$5:$C$1000,0),MATCH("[Jefatura] "&amp;$C26,'Cronograma Asistente Técnico'!$C$5:$C$1000,0)),0))</f>
        <v/>
      </c>
      <c r="AN26" s="62">
        <f>IF(AND(AND($D26&lt;&gt;"",$V26="Macro"),$S26=MesCiclo),COUNTIFS($D$5:$D26,$D26,$S$5:$S26,MesCiclo,$V$5:$V26,"Macro"),"")</f>
        <v/>
      </c>
      <c r="AO26" s="62">
        <f>IF($AN26="","",$D26&amp;"|"&amp;$AN26)</f>
        <v/>
      </c>
      <c r="AP26" s="62">
        <f>IF(AND($D26&lt;&gt;"",$V26="Macro"),$D26&amp;"|"&amp;$C26,"")</f>
        <v/>
      </c>
      <c r="AQ26" s="62">
        <f>""</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t="n"/>
      <c r="F27" s="59" t="n"/>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IF(NOT((COUNTA($B27:$D27)+COUNTA($G27:$H27)+COUNTA($Q27))&gt;0),"",IF(AND($D27&lt;&gt;"",$V27="Macro"),IF(N($AM27)&gt;0,N(CHOOSE(MATCH($D27,ListaPuestos,0),INDEX('Cronograma R. Operacional'!$M$5:$M$1000,$AM27),INDEX('Cronograma R. Normativo'!$M$5:$M$1000,$AM27),INDEX('Cronograma R. Financiero'!$M$5:$M$1000,$AM27),INDEX('Cronograma Asistente Técnico'!$M$5:$M$1000,$AM27))),0),IF(ISNUMBER($G27),1,IF(N($W27)&gt;0,MIN(1,SUMIFS($Y$5:$Y$1000,$U$5:$U$1000,ROW(),$V$5:$V$1000,"Sub")),$Y27))))</f>
        <v/>
      </c>
      <c r="N27" s="56">
        <f>IF(OR($M27="",$V27="Sub"),"",IF($M27&gt;=1,"Completado",IF($M27&gt;0,"En curso","Pendiente")))</f>
        <v/>
      </c>
      <c r="O27" s="56">
        <f>IF(NOT((COUNTA($B27:$D27)+COUNTA($G27:$H27)+COUNTA($Q27))&gt;0),"",IF(AND(AND($D27&lt;&gt;"",$V27="Macro"),N($AM27)&gt;0),CHOOSE(MATCH($D27,ListaPuestos,0),INDEX('Cronograma R. Operacional'!$O$5:$O$1000,$AM27),INDEX('Cronograma R. Normativo'!$O$5:$O$1000,$AM27),INDEX('Cronograma R. Financiero'!$O$5:$O$1000,$AM27),INDEX('Cronograma Asistente Técnico'!$O$5:$O$1000,$AM27))&amp;"",IF(ISNUMBER($G27),IF(AND(ISNUMBER($AS27),$G27&gt;$AS27),"Cumplida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f>IF(NOT((COUNTA($B27:$D27)+COUNTA($G27:$H27)+COUNTA($Q27))&gt;0),"",IF($D27="","Propia",IF($V27&lt;&gt;"Macro","Solo se delegan macroactividades",IF(N($AM27)&gt;0,"✔ Recibida por "&amp;$D27,"⚠ "&amp;$D27&amp;" aún no la agrega"))))</f>
        <v/>
      </c>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f>IF(NOT(AND($D27&lt;&gt;"",$V27="Macro")),"",IFERROR(CHOOSE(MATCH($D27,ListaPuestos,0),MATCH("[Jefatura] "&amp;$C27,'Cronograma R. Operacional'!$C$5:$C$1000,0),MATCH("[Jefatura] "&amp;$C27,'Cronograma R. Normativo'!$C$5:$C$1000,0),MATCH("[Jefatura] "&amp;$C27,'Cronograma R. Financiero'!$C$5:$C$1000,0),MATCH("[Jefatura] "&amp;$C27,'Cronograma Asistente Técnico'!$C$5:$C$1000,0)),0))</f>
        <v/>
      </c>
      <c r="AN27" s="62">
        <f>IF(AND(AND($D27&lt;&gt;"",$V27="Macro"),$S27=MesCiclo),COUNTIFS($D$5:$D27,$D27,$S$5:$S27,MesCiclo,$V$5:$V27,"Macro"),"")</f>
        <v/>
      </c>
      <c r="AO27" s="62">
        <f>IF($AN27="","",$D27&amp;"|"&amp;$AN27)</f>
        <v/>
      </c>
      <c r="AP27" s="62">
        <f>IF(AND($D27&lt;&gt;"",$V27="Macro"),$D27&amp;"|"&amp;$C27,"")</f>
        <v/>
      </c>
      <c r="AQ27" s="62">
        <f>""</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t="n"/>
      <c r="F28" s="59" t="n"/>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IF(NOT((COUNTA($B28:$D28)+COUNTA($G28:$H28)+COUNTA($Q28))&gt;0),"",IF(AND($D28&lt;&gt;"",$V28="Macro"),IF(N($AM28)&gt;0,N(CHOOSE(MATCH($D28,ListaPuestos,0),INDEX('Cronograma R. Operacional'!$M$5:$M$1000,$AM28),INDEX('Cronograma R. Normativo'!$M$5:$M$1000,$AM28),INDEX('Cronograma R. Financiero'!$M$5:$M$1000,$AM28),INDEX('Cronograma Asistente Técnico'!$M$5:$M$1000,$AM28))),0),IF(ISNUMBER($G28),1,IF(N($W28)&gt;0,MIN(1,SUMIFS($Y$5:$Y$1000,$U$5:$U$1000,ROW(),$V$5:$V$1000,"Sub")),$Y28))))</f>
        <v/>
      </c>
      <c r="N28" s="56">
        <f>IF(OR($M28="",$V28="Sub"),"",IF($M28&gt;=1,"Completado",IF($M28&gt;0,"En curso","Pendiente")))</f>
        <v/>
      </c>
      <c r="O28" s="56">
        <f>IF(NOT((COUNTA($B28:$D28)+COUNTA($G28:$H28)+COUNTA($Q28))&gt;0),"",IF(AND(AND($D28&lt;&gt;"",$V28="Macro"),N($AM28)&gt;0),CHOOSE(MATCH($D28,ListaPuestos,0),INDEX('Cronograma R. Operacional'!$O$5:$O$1000,$AM28),INDEX('Cronograma R. Normativo'!$O$5:$O$1000,$AM28),INDEX('Cronograma R. Financiero'!$O$5:$O$1000,$AM28),INDEX('Cronograma Asistente Técnico'!$O$5:$O$1000,$AM28))&amp;"",IF(ISNUMBER($G28),IF(AND(ISNUMBER($AS28),$G28&gt;$AS28),"Cumplida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f>IF(NOT((COUNTA($B28:$D28)+COUNTA($G28:$H28)+COUNTA($Q28))&gt;0),"",IF($D28="","Propia",IF($V28&lt;&gt;"Macro","Solo se delegan macroactividades",IF(N($AM28)&gt;0,"✔ Recibida por "&amp;$D28,"⚠ "&amp;$D28&amp;" aún no la agrega"))))</f>
        <v/>
      </c>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f>IF(NOT(AND($D28&lt;&gt;"",$V28="Macro")),"",IFERROR(CHOOSE(MATCH($D28,ListaPuestos,0),MATCH("[Jefatura] "&amp;$C28,'Cronograma R. Operacional'!$C$5:$C$1000,0),MATCH("[Jefatura] "&amp;$C28,'Cronograma R. Normativo'!$C$5:$C$1000,0),MATCH("[Jefatura] "&amp;$C28,'Cronograma R. Financiero'!$C$5:$C$1000,0),MATCH("[Jefatura] "&amp;$C28,'Cronograma Asistente Técnico'!$C$5:$C$1000,0)),0))</f>
        <v/>
      </c>
      <c r="AN28" s="62">
        <f>IF(AND(AND($D28&lt;&gt;"",$V28="Macro"),$S28=MesCiclo),COUNTIFS($D$5:$D28,$D28,$S$5:$S28,MesCiclo,$V$5:$V28,"Macro"),"")</f>
        <v/>
      </c>
      <c r="AO28" s="62">
        <f>IF($AN28="","",$D28&amp;"|"&amp;$AN28)</f>
        <v/>
      </c>
      <c r="AP28" s="62">
        <f>IF(AND($D28&lt;&gt;"",$V28="Macro"),$D28&amp;"|"&amp;$C28,"")</f>
        <v/>
      </c>
      <c r="AQ28" s="62">
        <f>""</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t="n"/>
      <c r="F29" s="59" t="n"/>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IF(NOT((COUNTA($B29:$D29)+COUNTA($G29:$H29)+COUNTA($Q29))&gt;0),"",IF(AND($D29&lt;&gt;"",$V29="Macro"),IF(N($AM29)&gt;0,N(CHOOSE(MATCH($D29,ListaPuestos,0),INDEX('Cronograma R. Operacional'!$M$5:$M$1000,$AM29),INDEX('Cronograma R. Normativo'!$M$5:$M$1000,$AM29),INDEX('Cronograma R. Financiero'!$M$5:$M$1000,$AM29),INDEX('Cronograma Asistente Técnico'!$M$5:$M$1000,$AM29))),0),IF(ISNUMBER($G29),1,IF(N($W29)&gt;0,MIN(1,SUMIFS($Y$5:$Y$1000,$U$5:$U$1000,ROW(),$V$5:$V$1000,"Sub")),$Y29))))</f>
        <v/>
      </c>
      <c r="N29" s="56">
        <f>IF(OR($M29="",$V29="Sub"),"",IF($M29&gt;=1,"Completado",IF($M29&gt;0,"En curso","Pendiente")))</f>
        <v/>
      </c>
      <c r="O29" s="56">
        <f>IF(NOT((COUNTA($B29:$D29)+COUNTA($G29:$H29)+COUNTA($Q29))&gt;0),"",IF(AND(AND($D29&lt;&gt;"",$V29="Macro"),N($AM29)&gt;0),CHOOSE(MATCH($D29,ListaPuestos,0),INDEX('Cronograma R. Operacional'!$O$5:$O$1000,$AM29),INDEX('Cronograma R. Normativo'!$O$5:$O$1000,$AM29),INDEX('Cronograma R. Financiero'!$O$5:$O$1000,$AM29),INDEX('Cronograma Asistente Técnico'!$O$5:$O$1000,$AM29))&amp;"",IF(ISNUMBER($G29),IF(AND(ISNUMBER($AS29),$G29&gt;$AS29),"Cumplida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f>IF(NOT((COUNTA($B29:$D29)+COUNTA($G29:$H29)+COUNTA($Q29))&gt;0),"",IF($D29="","Propia",IF($V29&lt;&gt;"Macro","Solo se delegan macroactividades",IF(N($AM29)&gt;0,"✔ Recibida por "&amp;$D29,"⚠ "&amp;$D29&amp;" aún no la agrega"))))</f>
        <v/>
      </c>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f>IF(NOT(AND($D29&lt;&gt;"",$V29="Macro")),"",IFERROR(CHOOSE(MATCH($D29,ListaPuestos,0),MATCH("[Jefatura] "&amp;$C29,'Cronograma R. Operacional'!$C$5:$C$1000,0),MATCH("[Jefatura] "&amp;$C29,'Cronograma R. Normativo'!$C$5:$C$1000,0),MATCH("[Jefatura] "&amp;$C29,'Cronograma R. Financiero'!$C$5:$C$1000,0),MATCH("[Jefatura] "&amp;$C29,'Cronograma Asistente Técnico'!$C$5:$C$1000,0)),0))</f>
        <v/>
      </c>
      <c r="AN29" s="62">
        <f>IF(AND(AND($D29&lt;&gt;"",$V29="Macro"),$S29=MesCiclo),COUNTIFS($D$5:$D29,$D29,$S$5:$S29,MesCiclo,$V$5:$V29,"Macro"),"")</f>
        <v/>
      </c>
      <c r="AO29" s="62">
        <f>IF($AN29="","",$D29&amp;"|"&amp;$AN29)</f>
        <v/>
      </c>
      <c r="AP29" s="62">
        <f>IF(AND($D29&lt;&gt;"",$V29="Macro"),$D29&amp;"|"&amp;$C29,"")</f>
        <v/>
      </c>
      <c r="AQ29" s="62">
        <f>""</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t="n"/>
      <c r="F30" s="59" t="n"/>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IF(NOT((COUNTA($B30:$D30)+COUNTA($G30:$H30)+COUNTA($Q30))&gt;0),"",IF(AND($D30&lt;&gt;"",$V30="Macro"),IF(N($AM30)&gt;0,N(CHOOSE(MATCH($D30,ListaPuestos,0),INDEX('Cronograma R. Operacional'!$M$5:$M$1000,$AM30),INDEX('Cronograma R. Normativo'!$M$5:$M$1000,$AM30),INDEX('Cronograma R. Financiero'!$M$5:$M$1000,$AM30),INDEX('Cronograma Asistente Técnico'!$M$5:$M$1000,$AM30))),0),IF(ISNUMBER($G30),1,IF(N($W30)&gt;0,MIN(1,SUMIFS($Y$5:$Y$1000,$U$5:$U$1000,ROW(),$V$5:$V$1000,"Sub")),$Y30))))</f>
        <v/>
      </c>
      <c r="N30" s="56">
        <f>IF(OR($M30="",$V30="Sub"),"",IF($M30&gt;=1,"Completado",IF($M30&gt;0,"En curso","Pendiente")))</f>
        <v/>
      </c>
      <c r="O30" s="56">
        <f>IF(NOT((COUNTA($B30:$D30)+COUNTA($G30:$H30)+COUNTA($Q30))&gt;0),"",IF(AND(AND($D30&lt;&gt;"",$V30="Macro"),N($AM30)&gt;0),CHOOSE(MATCH($D30,ListaPuestos,0),INDEX('Cronograma R. Operacional'!$O$5:$O$1000,$AM30),INDEX('Cronograma R. Normativo'!$O$5:$O$1000,$AM30),INDEX('Cronograma R. Financiero'!$O$5:$O$1000,$AM30),INDEX('Cronograma Asistente Técnico'!$O$5:$O$1000,$AM30))&amp;"",IF(ISNUMBER($G30),IF(AND(ISNUMBER($AS30),$G30&gt;$AS30),"Cumplida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f>IF(NOT((COUNTA($B30:$D30)+COUNTA($G30:$H30)+COUNTA($Q30))&gt;0),"",IF($D30="","Propia",IF($V30&lt;&gt;"Macro","Solo se delegan macroactividades",IF(N($AM30)&gt;0,"✔ Recibida por "&amp;$D30,"⚠ "&amp;$D30&amp;" aún no la agrega"))))</f>
        <v/>
      </c>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f>IF(NOT(AND($D30&lt;&gt;"",$V30="Macro")),"",IFERROR(CHOOSE(MATCH($D30,ListaPuestos,0),MATCH("[Jefatura] "&amp;$C30,'Cronograma R. Operacional'!$C$5:$C$1000,0),MATCH("[Jefatura] "&amp;$C30,'Cronograma R. Normativo'!$C$5:$C$1000,0),MATCH("[Jefatura] "&amp;$C30,'Cronograma R. Financiero'!$C$5:$C$1000,0),MATCH("[Jefatura] "&amp;$C30,'Cronograma Asistente Técnico'!$C$5:$C$1000,0)),0))</f>
        <v/>
      </c>
      <c r="AN30" s="62">
        <f>IF(AND(AND($D30&lt;&gt;"",$V30="Macro"),$S30=MesCiclo),COUNTIFS($D$5:$D30,$D30,$S$5:$S30,MesCiclo,$V$5:$V30,"Macro"),"")</f>
        <v/>
      </c>
      <c r="AO30" s="62">
        <f>IF($AN30="","",$D30&amp;"|"&amp;$AN30)</f>
        <v/>
      </c>
      <c r="AP30" s="62">
        <f>IF(AND($D30&lt;&gt;"",$V30="Macro"),$D30&amp;"|"&amp;$C30,"")</f>
        <v/>
      </c>
      <c r="AQ30" s="62">
        <f>""</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t="n"/>
      <c r="F31" s="59" t="n"/>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IF(NOT((COUNTA($B31:$D31)+COUNTA($G31:$H31)+COUNTA($Q31))&gt;0),"",IF(AND($D31&lt;&gt;"",$V31="Macro"),IF(N($AM31)&gt;0,N(CHOOSE(MATCH($D31,ListaPuestos,0),INDEX('Cronograma R. Operacional'!$M$5:$M$1000,$AM31),INDEX('Cronograma R. Normativo'!$M$5:$M$1000,$AM31),INDEX('Cronograma R. Financiero'!$M$5:$M$1000,$AM31),INDEX('Cronograma Asistente Técnico'!$M$5:$M$1000,$AM31))),0),IF(ISNUMBER($G31),1,IF(N($W31)&gt;0,MIN(1,SUMIFS($Y$5:$Y$1000,$U$5:$U$1000,ROW(),$V$5:$V$1000,"Sub")),$Y31))))</f>
        <v/>
      </c>
      <c r="N31" s="56">
        <f>IF(OR($M31="",$V31="Sub"),"",IF($M31&gt;=1,"Completado",IF($M31&gt;0,"En curso","Pendiente")))</f>
        <v/>
      </c>
      <c r="O31" s="56">
        <f>IF(NOT((COUNTA($B31:$D31)+COUNTA($G31:$H31)+COUNTA($Q31))&gt;0),"",IF(AND(AND($D31&lt;&gt;"",$V31="Macro"),N($AM31)&gt;0),CHOOSE(MATCH($D31,ListaPuestos,0),INDEX('Cronograma R. Operacional'!$O$5:$O$1000,$AM31),INDEX('Cronograma R. Normativo'!$O$5:$O$1000,$AM31),INDEX('Cronograma R. Financiero'!$O$5:$O$1000,$AM31),INDEX('Cronograma Asistente Técnico'!$O$5:$O$1000,$AM31))&amp;"",IF(ISNUMBER($G31),IF(AND(ISNUMBER($AS31),$G31&gt;$AS31),"Cumplida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f>IF(NOT((COUNTA($B31:$D31)+COUNTA($G31:$H31)+COUNTA($Q31))&gt;0),"",IF($D31="","Propia",IF($V31&lt;&gt;"Macro","Solo se delegan macroactividades",IF(N($AM31)&gt;0,"✔ Recibida por "&amp;$D31,"⚠ "&amp;$D31&amp;" aún no la agrega"))))</f>
        <v/>
      </c>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f>IF(NOT(AND($D31&lt;&gt;"",$V31="Macro")),"",IFERROR(CHOOSE(MATCH($D31,ListaPuestos,0),MATCH("[Jefatura] "&amp;$C31,'Cronograma R. Operacional'!$C$5:$C$1000,0),MATCH("[Jefatura] "&amp;$C31,'Cronograma R. Normativo'!$C$5:$C$1000,0),MATCH("[Jefatura] "&amp;$C31,'Cronograma R. Financiero'!$C$5:$C$1000,0),MATCH("[Jefatura] "&amp;$C31,'Cronograma Asistente Técnico'!$C$5:$C$1000,0)),0))</f>
        <v/>
      </c>
      <c r="AN31" s="62">
        <f>IF(AND(AND($D31&lt;&gt;"",$V31="Macro"),$S31=MesCiclo),COUNTIFS($D$5:$D31,$D31,$S$5:$S31,MesCiclo,$V$5:$V31,"Macro"),"")</f>
        <v/>
      </c>
      <c r="AO31" s="62">
        <f>IF($AN31="","",$D31&amp;"|"&amp;$AN31)</f>
        <v/>
      </c>
      <c r="AP31" s="62">
        <f>IF(AND($D31&lt;&gt;"",$V31="Macro"),$D31&amp;"|"&amp;$C31,"")</f>
        <v/>
      </c>
      <c r="AQ31" s="62">
        <f>""</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t="n"/>
      <c r="F32" s="59" t="n"/>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IF(NOT((COUNTA($B32:$D32)+COUNTA($G32:$H32)+COUNTA($Q32))&gt;0),"",IF(AND($D32&lt;&gt;"",$V32="Macro"),IF(N($AM32)&gt;0,N(CHOOSE(MATCH($D32,ListaPuestos,0),INDEX('Cronograma R. Operacional'!$M$5:$M$1000,$AM32),INDEX('Cronograma R. Normativo'!$M$5:$M$1000,$AM32),INDEX('Cronograma R. Financiero'!$M$5:$M$1000,$AM32),INDEX('Cronograma Asistente Técnico'!$M$5:$M$1000,$AM32))),0),IF(ISNUMBER($G32),1,IF(N($W32)&gt;0,MIN(1,SUMIFS($Y$5:$Y$1000,$U$5:$U$1000,ROW(),$V$5:$V$1000,"Sub")),$Y32))))</f>
        <v/>
      </c>
      <c r="N32" s="56">
        <f>IF(OR($M32="",$V32="Sub"),"",IF($M32&gt;=1,"Completado",IF($M32&gt;0,"En curso","Pendiente")))</f>
        <v/>
      </c>
      <c r="O32" s="56">
        <f>IF(NOT((COUNTA($B32:$D32)+COUNTA($G32:$H32)+COUNTA($Q32))&gt;0),"",IF(AND(AND($D32&lt;&gt;"",$V32="Macro"),N($AM32)&gt;0),CHOOSE(MATCH($D32,ListaPuestos,0),INDEX('Cronograma R. Operacional'!$O$5:$O$1000,$AM32),INDEX('Cronograma R. Normativo'!$O$5:$O$1000,$AM32),INDEX('Cronograma R. Financiero'!$O$5:$O$1000,$AM32),INDEX('Cronograma Asistente Técnico'!$O$5:$O$1000,$AM32))&amp;"",IF(ISNUMBER($G32),IF(AND(ISNUMBER($AS32),$G32&gt;$AS32),"Cumplida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f>IF(NOT((COUNTA($B32:$D32)+COUNTA($G32:$H32)+COUNTA($Q32))&gt;0),"",IF($D32="","Propia",IF($V32&lt;&gt;"Macro","Solo se delegan macroactividades",IF(N($AM32)&gt;0,"✔ Recibida por "&amp;$D32,"⚠ "&amp;$D32&amp;" aún no la agrega"))))</f>
        <v/>
      </c>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f>IF(NOT(AND($D32&lt;&gt;"",$V32="Macro")),"",IFERROR(CHOOSE(MATCH($D32,ListaPuestos,0),MATCH("[Jefatura] "&amp;$C32,'Cronograma R. Operacional'!$C$5:$C$1000,0),MATCH("[Jefatura] "&amp;$C32,'Cronograma R. Normativo'!$C$5:$C$1000,0),MATCH("[Jefatura] "&amp;$C32,'Cronograma R. Financiero'!$C$5:$C$1000,0),MATCH("[Jefatura] "&amp;$C32,'Cronograma Asistente Técnico'!$C$5:$C$1000,0)),0))</f>
        <v/>
      </c>
      <c r="AN32" s="62">
        <f>IF(AND(AND($D32&lt;&gt;"",$V32="Macro"),$S32=MesCiclo),COUNTIFS($D$5:$D32,$D32,$S$5:$S32,MesCiclo,$V$5:$V32,"Macro"),"")</f>
        <v/>
      </c>
      <c r="AO32" s="62">
        <f>IF($AN32="","",$D32&amp;"|"&amp;$AN32)</f>
        <v/>
      </c>
      <c r="AP32" s="62">
        <f>IF(AND($D32&lt;&gt;"",$V32="Macro"),$D32&amp;"|"&amp;$C32,"")</f>
        <v/>
      </c>
      <c r="AQ32" s="62">
        <f>""</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t="n"/>
      <c r="F33" s="59" t="n"/>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IF(NOT((COUNTA($B33:$D33)+COUNTA($G33:$H33)+COUNTA($Q33))&gt;0),"",IF(AND($D33&lt;&gt;"",$V33="Macro"),IF(N($AM33)&gt;0,N(CHOOSE(MATCH($D33,ListaPuestos,0),INDEX('Cronograma R. Operacional'!$M$5:$M$1000,$AM33),INDEX('Cronograma R. Normativo'!$M$5:$M$1000,$AM33),INDEX('Cronograma R. Financiero'!$M$5:$M$1000,$AM33),INDEX('Cronograma Asistente Técnico'!$M$5:$M$1000,$AM33))),0),IF(ISNUMBER($G33),1,IF(N($W33)&gt;0,MIN(1,SUMIFS($Y$5:$Y$1000,$U$5:$U$1000,ROW(),$V$5:$V$1000,"Sub")),$Y33))))</f>
        <v/>
      </c>
      <c r="N33" s="56">
        <f>IF(OR($M33="",$V33="Sub"),"",IF($M33&gt;=1,"Completado",IF($M33&gt;0,"En curso","Pendiente")))</f>
        <v/>
      </c>
      <c r="O33" s="56">
        <f>IF(NOT((COUNTA($B33:$D33)+COUNTA($G33:$H33)+COUNTA($Q33))&gt;0),"",IF(AND(AND($D33&lt;&gt;"",$V33="Macro"),N($AM33)&gt;0),CHOOSE(MATCH($D33,ListaPuestos,0),INDEX('Cronograma R. Operacional'!$O$5:$O$1000,$AM33),INDEX('Cronograma R. Normativo'!$O$5:$O$1000,$AM33),INDEX('Cronograma R. Financiero'!$O$5:$O$1000,$AM33),INDEX('Cronograma Asistente Técnico'!$O$5:$O$1000,$AM33))&amp;"",IF(ISNUMBER($G33),IF(AND(ISNUMBER($AS33),$G33&gt;$AS33),"Cumplida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f>IF(NOT((COUNTA($B33:$D33)+COUNTA($G33:$H33)+COUNTA($Q33))&gt;0),"",IF($D33="","Propia",IF($V33&lt;&gt;"Macro","Solo se delegan macroactividades",IF(N($AM33)&gt;0,"✔ Recibida por "&amp;$D33,"⚠ "&amp;$D33&amp;" aún no la agrega"))))</f>
        <v/>
      </c>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f>IF(NOT(AND($D33&lt;&gt;"",$V33="Macro")),"",IFERROR(CHOOSE(MATCH($D33,ListaPuestos,0),MATCH("[Jefatura] "&amp;$C33,'Cronograma R. Operacional'!$C$5:$C$1000,0),MATCH("[Jefatura] "&amp;$C33,'Cronograma R. Normativo'!$C$5:$C$1000,0),MATCH("[Jefatura] "&amp;$C33,'Cronograma R. Financiero'!$C$5:$C$1000,0),MATCH("[Jefatura] "&amp;$C33,'Cronograma Asistente Técnico'!$C$5:$C$1000,0)),0))</f>
        <v/>
      </c>
      <c r="AN33" s="62">
        <f>IF(AND(AND($D33&lt;&gt;"",$V33="Macro"),$S33=MesCiclo),COUNTIFS($D$5:$D33,$D33,$S$5:$S33,MesCiclo,$V$5:$V33,"Macro"),"")</f>
        <v/>
      </c>
      <c r="AO33" s="62">
        <f>IF($AN33="","",$D33&amp;"|"&amp;$AN33)</f>
        <v/>
      </c>
      <c r="AP33" s="62">
        <f>IF(AND($D33&lt;&gt;"",$V33="Macro"),$D33&amp;"|"&amp;$C33,"")</f>
        <v/>
      </c>
      <c r="AQ33" s="62">
        <f>""</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t="n"/>
      <c r="F34" s="59" t="n"/>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IF(NOT((COUNTA($B34:$D34)+COUNTA($G34:$H34)+COUNTA($Q34))&gt;0),"",IF(AND($D34&lt;&gt;"",$V34="Macro"),IF(N($AM34)&gt;0,N(CHOOSE(MATCH($D34,ListaPuestos,0),INDEX('Cronograma R. Operacional'!$M$5:$M$1000,$AM34),INDEX('Cronograma R. Normativo'!$M$5:$M$1000,$AM34),INDEX('Cronograma R. Financiero'!$M$5:$M$1000,$AM34),INDEX('Cronograma Asistente Técnico'!$M$5:$M$1000,$AM34))),0),IF(ISNUMBER($G34),1,IF(N($W34)&gt;0,MIN(1,SUMIFS($Y$5:$Y$1000,$U$5:$U$1000,ROW(),$V$5:$V$1000,"Sub")),$Y34))))</f>
        <v/>
      </c>
      <c r="N34" s="56">
        <f>IF(OR($M34="",$V34="Sub"),"",IF($M34&gt;=1,"Completado",IF($M34&gt;0,"En curso","Pendiente")))</f>
        <v/>
      </c>
      <c r="O34" s="56">
        <f>IF(NOT((COUNTA($B34:$D34)+COUNTA($G34:$H34)+COUNTA($Q34))&gt;0),"",IF(AND(AND($D34&lt;&gt;"",$V34="Macro"),N($AM34)&gt;0),CHOOSE(MATCH($D34,ListaPuestos,0),INDEX('Cronograma R. Operacional'!$O$5:$O$1000,$AM34),INDEX('Cronograma R. Normativo'!$O$5:$O$1000,$AM34),INDEX('Cronograma R. Financiero'!$O$5:$O$1000,$AM34),INDEX('Cronograma Asistente Técnico'!$O$5:$O$1000,$AM34))&amp;"",IF(ISNUMBER($G34),IF(AND(ISNUMBER($AS34),$G34&gt;$AS34),"Cumplida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f>IF(NOT((COUNTA($B34:$D34)+COUNTA($G34:$H34)+COUNTA($Q34))&gt;0),"",IF($D34="","Propia",IF($V34&lt;&gt;"Macro","Solo se delegan macroactividades",IF(N($AM34)&gt;0,"✔ Recibida por "&amp;$D34,"⚠ "&amp;$D34&amp;" aún no la agrega"))))</f>
        <v/>
      </c>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f>IF(NOT(AND($D34&lt;&gt;"",$V34="Macro")),"",IFERROR(CHOOSE(MATCH($D34,ListaPuestos,0),MATCH("[Jefatura] "&amp;$C34,'Cronograma R. Operacional'!$C$5:$C$1000,0),MATCH("[Jefatura] "&amp;$C34,'Cronograma R. Normativo'!$C$5:$C$1000,0),MATCH("[Jefatura] "&amp;$C34,'Cronograma R. Financiero'!$C$5:$C$1000,0),MATCH("[Jefatura] "&amp;$C34,'Cronograma Asistente Técnico'!$C$5:$C$1000,0)),0))</f>
        <v/>
      </c>
      <c r="AN34" s="62">
        <f>IF(AND(AND($D34&lt;&gt;"",$V34="Macro"),$S34=MesCiclo),COUNTIFS($D$5:$D34,$D34,$S$5:$S34,MesCiclo,$V$5:$V34,"Macro"),"")</f>
        <v/>
      </c>
      <c r="AO34" s="62">
        <f>IF($AN34="","",$D34&amp;"|"&amp;$AN34)</f>
        <v/>
      </c>
      <c r="AP34" s="62">
        <f>IF(AND($D34&lt;&gt;"",$V34="Macro"),$D34&amp;"|"&amp;$C34,"")</f>
        <v/>
      </c>
      <c r="AQ34" s="62">
        <f>""</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t="n"/>
      <c r="F35" s="59" t="n"/>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IF(NOT((COUNTA($B35:$D35)+COUNTA($G35:$H35)+COUNTA($Q35))&gt;0),"",IF(AND($D35&lt;&gt;"",$V35="Macro"),IF(N($AM35)&gt;0,N(CHOOSE(MATCH($D35,ListaPuestos,0),INDEX('Cronograma R. Operacional'!$M$5:$M$1000,$AM35),INDEX('Cronograma R. Normativo'!$M$5:$M$1000,$AM35),INDEX('Cronograma R. Financiero'!$M$5:$M$1000,$AM35),INDEX('Cronograma Asistente Técnico'!$M$5:$M$1000,$AM35))),0),IF(ISNUMBER($G35),1,IF(N($W35)&gt;0,MIN(1,SUMIFS($Y$5:$Y$1000,$U$5:$U$1000,ROW(),$V$5:$V$1000,"Sub")),$Y35))))</f>
        <v/>
      </c>
      <c r="N35" s="56">
        <f>IF(OR($M35="",$V35="Sub"),"",IF($M35&gt;=1,"Completado",IF($M35&gt;0,"En curso","Pendiente")))</f>
        <v/>
      </c>
      <c r="O35" s="56">
        <f>IF(NOT((COUNTA($B35:$D35)+COUNTA($G35:$H35)+COUNTA($Q35))&gt;0),"",IF(AND(AND($D35&lt;&gt;"",$V35="Macro"),N($AM35)&gt;0),CHOOSE(MATCH($D35,ListaPuestos,0),INDEX('Cronograma R. Operacional'!$O$5:$O$1000,$AM35),INDEX('Cronograma R. Normativo'!$O$5:$O$1000,$AM35),INDEX('Cronograma R. Financiero'!$O$5:$O$1000,$AM35),INDEX('Cronograma Asistente Técnico'!$O$5:$O$1000,$AM35))&amp;"",IF(ISNUMBER($G35),IF(AND(ISNUMBER($AS35),$G35&gt;$AS35),"Cumplida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f>IF(NOT((COUNTA($B35:$D35)+COUNTA($G35:$H35)+COUNTA($Q35))&gt;0),"",IF($D35="","Propia",IF($V35&lt;&gt;"Macro","Solo se delegan macroactividades",IF(N($AM35)&gt;0,"✔ Recibida por "&amp;$D35,"⚠ "&amp;$D35&amp;" aún no la agrega"))))</f>
        <v/>
      </c>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f>IF(NOT(AND($D35&lt;&gt;"",$V35="Macro")),"",IFERROR(CHOOSE(MATCH($D35,ListaPuestos,0),MATCH("[Jefatura] "&amp;$C35,'Cronograma R. Operacional'!$C$5:$C$1000,0),MATCH("[Jefatura] "&amp;$C35,'Cronograma R. Normativo'!$C$5:$C$1000,0),MATCH("[Jefatura] "&amp;$C35,'Cronograma R. Financiero'!$C$5:$C$1000,0),MATCH("[Jefatura] "&amp;$C35,'Cronograma Asistente Técnico'!$C$5:$C$1000,0)),0))</f>
        <v/>
      </c>
      <c r="AN35" s="62">
        <f>IF(AND(AND($D35&lt;&gt;"",$V35="Macro"),$S35=MesCiclo),COUNTIFS($D$5:$D35,$D35,$S$5:$S35,MesCiclo,$V$5:$V35,"Macro"),"")</f>
        <v/>
      </c>
      <c r="AO35" s="62">
        <f>IF($AN35="","",$D35&amp;"|"&amp;$AN35)</f>
        <v/>
      </c>
      <c r="AP35" s="62">
        <f>IF(AND($D35&lt;&gt;"",$V35="Macro"),$D35&amp;"|"&amp;$C35,"")</f>
        <v/>
      </c>
      <c r="AQ35" s="62">
        <f>""</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t="n"/>
      <c r="F36" s="59" t="n"/>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IF(NOT((COUNTA($B36:$D36)+COUNTA($G36:$H36)+COUNTA($Q36))&gt;0),"",IF(AND($D36&lt;&gt;"",$V36="Macro"),IF(N($AM36)&gt;0,N(CHOOSE(MATCH($D36,ListaPuestos,0),INDEX('Cronograma R. Operacional'!$M$5:$M$1000,$AM36),INDEX('Cronograma R. Normativo'!$M$5:$M$1000,$AM36),INDEX('Cronograma R. Financiero'!$M$5:$M$1000,$AM36),INDEX('Cronograma Asistente Técnico'!$M$5:$M$1000,$AM36))),0),IF(ISNUMBER($G36),1,IF(N($W36)&gt;0,MIN(1,SUMIFS($Y$5:$Y$1000,$U$5:$U$1000,ROW(),$V$5:$V$1000,"Sub")),$Y36))))</f>
        <v/>
      </c>
      <c r="N36" s="56">
        <f>IF(OR($M36="",$V36="Sub"),"",IF($M36&gt;=1,"Completado",IF($M36&gt;0,"En curso","Pendiente")))</f>
        <v/>
      </c>
      <c r="O36" s="56">
        <f>IF(NOT((COUNTA($B36:$D36)+COUNTA($G36:$H36)+COUNTA($Q36))&gt;0),"",IF(AND(AND($D36&lt;&gt;"",$V36="Macro"),N($AM36)&gt;0),CHOOSE(MATCH($D36,ListaPuestos,0),INDEX('Cronograma R. Operacional'!$O$5:$O$1000,$AM36),INDEX('Cronograma R. Normativo'!$O$5:$O$1000,$AM36),INDEX('Cronograma R. Financiero'!$O$5:$O$1000,$AM36),INDEX('Cronograma Asistente Técnico'!$O$5:$O$1000,$AM36))&amp;"",IF(ISNUMBER($G36),IF(AND(ISNUMBER($AS36),$G36&gt;$AS36),"Cumplida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f>IF(NOT((COUNTA($B36:$D36)+COUNTA($G36:$H36)+COUNTA($Q36))&gt;0),"",IF($D36="","Propia",IF($V36&lt;&gt;"Macro","Solo se delegan macroactividades",IF(N($AM36)&gt;0,"✔ Recibida por "&amp;$D36,"⚠ "&amp;$D36&amp;" aún no la agrega"))))</f>
        <v/>
      </c>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f>IF(NOT(AND($D36&lt;&gt;"",$V36="Macro")),"",IFERROR(CHOOSE(MATCH($D36,ListaPuestos,0),MATCH("[Jefatura] "&amp;$C36,'Cronograma R. Operacional'!$C$5:$C$1000,0),MATCH("[Jefatura] "&amp;$C36,'Cronograma R. Normativo'!$C$5:$C$1000,0),MATCH("[Jefatura] "&amp;$C36,'Cronograma R. Financiero'!$C$5:$C$1000,0),MATCH("[Jefatura] "&amp;$C36,'Cronograma Asistente Técnico'!$C$5:$C$1000,0)),0))</f>
        <v/>
      </c>
      <c r="AN36" s="62">
        <f>IF(AND(AND($D36&lt;&gt;"",$V36="Macro"),$S36=MesCiclo),COUNTIFS($D$5:$D36,$D36,$S$5:$S36,MesCiclo,$V$5:$V36,"Macro"),"")</f>
        <v/>
      </c>
      <c r="AO36" s="62">
        <f>IF($AN36="","",$D36&amp;"|"&amp;$AN36)</f>
        <v/>
      </c>
      <c r="AP36" s="62">
        <f>IF(AND($D36&lt;&gt;"",$V36="Macro"),$D36&amp;"|"&amp;$C36,"")</f>
        <v/>
      </c>
      <c r="AQ36" s="62">
        <f>""</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t="n"/>
      <c r="F37" s="59" t="n"/>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IF(NOT((COUNTA($B37:$D37)+COUNTA($G37:$H37)+COUNTA($Q37))&gt;0),"",IF(AND($D37&lt;&gt;"",$V37="Macro"),IF(N($AM37)&gt;0,N(CHOOSE(MATCH($D37,ListaPuestos,0),INDEX('Cronograma R. Operacional'!$M$5:$M$1000,$AM37),INDEX('Cronograma R. Normativo'!$M$5:$M$1000,$AM37),INDEX('Cronograma R. Financiero'!$M$5:$M$1000,$AM37),INDEX('Cronograma Asistente Técnico'!$M$5:$M$1000,$AM37))),0),IF(ISNUMBER($G37),1,IF(N($W37)&gt;0,MIN(1,SUMIFS($Y$5:$Y$1000,$U$5:$U$1000,ROW(),$V$5:$V$1000,"Sub")),$Y37))))</f>
        <v/>
      </c>
      <c r="N37" s="56">
        <f>IF(OR($M37="",$V37="Sub"),"",IF($M37&gt;=1,"Completado",IF($M37&gt;0,"En curso","Pendiente")))</f>
        <v/>
      </c>
      <c r="O37" s="56">
        <f>IF(NOT((COUNTA($B37:$D37)+COUNTA($G37:$H37)+COUNTA($Q37))&gt;0),"",IF(AND(AND($D37&lt;&gt;"",$V37="Macro"),N($AM37)&gt;0),CHOOSE(MATCH($D37,ListaPuestos,0),INDEX('Cronograma R. Operacional'!$O$5:$O$1000,$AM37),INDEX('Cronograma R. Normativo'!$O$5:$O$1000,$AM37),INDEX('Cronograma R. Financiero'!$O$5:$O$1000,$AM37),INDEX('Cronograma Asistente Técnico'!$O$5:$O$1000,$AM37))&amp;"",IF(ISNUMBER($G37),IF(AND(ISNUMBER($AS37),$G37&gt;$AS37),"Cumplida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f>IF(NOT((COUNTA($B37:$D37)+COUNTA($G37:$H37)+COUNTA($Q37))&gt;0),"",IF($D37="","Propia",IF($V37&lt;&gt;"Macro","Solo se delegan macroactividades",IF(N($AM37)&gt;0,"✔ Recibida por "&amp;$D37,"⚠ "&amp;$D37&amp;" aún no la agrega"))))</f>
        <v/>
      </c>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f>IF(NOT(AND($D37&lt;&gt;"",$V37="Macro")),"",IFERROR(CHOOSE(MATCH($D37,ListaPuestos,0),MATCH("[Jefatura] "&amp;$C37,'Cronograma R. Operacional'!$C$5:$C$1000,0),MATCH("[Jefatura] "&amp;$C37,'Cronograma R. Normativo'!$C$5:$C$1000,0),MATCH("[Jefatura] "&amp;$C37,'Cronograma R. Financiero'!$C$5:$C$1000,0),MATCH("[Jefatura] "&amp;$C37,'Cronograma Asistente Técnico'!$C$5:$C$1000,0)),0))</f>
        <v/>
      </c>
      <c r="AN37" s="62">
        <f>IF(AND(AND($D37&lt;&gt;"",$V37="Macro"),$S37=MesCiclo),COUNTIFS($D$5:$D37,$D37,$S$5:$S37,MesCiclo,$V$5:$V37,"Macro"),"")</f>
        <v/>
      </c>
      <c r="AO37" s="62">
        <f>IF($AN37="","",$D37&amp;"|"&amp;$AN37)</f>
        <v/>
      </c>
      <c r="AP37" s="62">
        <f>IF(AND($D37&lt;&gt;"",$V37="Macro"),$D37&amp;"|"&amp;$C37,"")</f>
        <v/>
      </c>
      <c r="AQ37" s="62">
        <f>""</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t="n"/>
      <c r="F38" s="59" t="n"/>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IF(NOT((COUNTA($B38:$D38)+COUNTA($G38:$H38)+COUNTA($Q38))&gt;0),"",IF(AND($D38&lt;&gt;"",$V38="Macro"),IF(N($AM38)&gt;0,N(CHOOSE(MATCH($D38,ListaPuestos,0),INDEX('Cronograma R. Operacional'!$M$5:$M$1000,$AM38),INDEX('Cronograma R. Normativo'!$M$5:$M$1000,$AM38),INDEX('Cronograma R. Financiero'!$M$5:$M$1000,$AM38),INDEX('Cronograma Asistente Técnico'!$M$5:$M$1000,$AM38))),0),IF(ISNUMBER($G38),1,IF(N($W38)&gt;0,MIN(1,SUMIFS($Y$5:$Y$1000,$U$5:$U$1000,ROW(),$V$5:$V$1000,"Sub")),$Y38))))</f>
        <v/>
      </c>
      <c r="N38" s="56">
        <f>IF(OR($M38="",$V38="Sub"),"",IF($M38&gt;=1,"Completado",IF($M38&gt;0,"En curso","Pendiente")))</f>
        <v/>
      </c>
      <c r="O38" s="56">
        <f>IF(NOT((COUNTA($B38:$D38)+COUNTA($G38:$H38)+COUNTA($Q38))&gt;0),"",IF(AND(AND($D38&lt;&gt;"",$V38="Macro"),N($AM38)&gt;0),CHOOSE(MATCH($D38,ListaPuestos,0),INDEX('Cronograma R. Operacional'!$O$5:$O$1000,$AM38),INDEX('Cronograma R. Normativo'!$O$5:$O$1000,$AM38),INDEX('Cronograma R. Financiero'!$O$5:$O$1000,$AM38),INDEX('Cronograma Asistente Técnico'!$O$5:$O$1000,$AM38))&amp;"",IF(ISNUMBER($G38),IF(AND(ISNUMBER($AS38),$G38&gt;$AS38),"Cumplida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f>IF(NOT((COUNTA($B38:$D38)+COUNTA($G38:$H38)+COUNTA($Q38))&gt;0),"",IF($D38="","Propia",IF($V38&lt;&gt;"Macro","Solo se delegan macroactividades",IF(N($AM38)&gt;0,"✔ Recibida por "&amp;$D38,"⚠ "&amp;$D38&amp;" aún no la agrega"))))</f>
        <v/>
      </c>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f>IF(NOT(AND($D38&lt;&gt;"",$V38="Macro")),"",IFERROR(CHOOSE(MATCH($D38,ListaPuestos,0),MATCH("[Jefatura] "&amp;$C38,'Cronograma R. Operacional'!$C$5:$C$1000,0),MATCH("[Jefatura] "&amp;$C38,'Cronograma R. Normativo'!$C$5:$C$1000,0),MATCH("[Jefatura] "&amp;$C38,'Cronograma R. Financiero'!$C$5:$C$1000,0),MATCH("[Jefatura] "&amp;$C38,'Cronograma Asistente Técnico'!$C$5:$C$1000,0)),0))</f>
        <v/>
      </c>
      <c r="AN38" s="62">
        <f>IF(AND(AND($D38&lt;&gt;"",$V38="Macro"),$S38=MesCiclo),COUNTIFS($D$5:$D38,$D38,$S$5:$S38,MesCiclo,$V$5:$V38,"Macro"),"")</f>
        <v/>
      </c>
      <c r="AO38" s="62">
        <f>IF($AN38="","",$D38&amp;"|"&amp;$AN38)</f>
        <v/>
      </c>
      <c r="AP38" s="62">
        <f>IF(AND($D38&lt;&gt;"",$V38="Macro"),$D38&amp;"|"&amp;$C38,"")</f>
        <v/>
      </c>
      <c r="AQ38" s="62">
        <f>""</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t="n"/>
      <c r="F39" s="59" t="n"/>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IF(NOT((COUNTA($B39:$D39)+COUNTA($G39:$H39)+COUNTA($Q39))&gt;0),"",IF(AND($D39&lt;&gt;"",$V39="Macro"),IF(N($AM39)&gt;0,N(CHOOSE(MATCH($D39,ListaPuestos,0),INDEX('Cronograma R. Operacional'!$M$5:$M$1000,$AM39),INDEX('Cronograma R. Normativo'!$M$5:$M$1000,$AM39),INDEX('Cronograma R. Financiero'!$M$5:$M$1000,$AM39),INDEX('Cronograma Asistente Técnico'!$M$5:$M$1000,$AM39))),0),IF(ISNUMBER($G39),1,IF(N($W39)&gt;0,MIN(1,SUMIFS($Y$5:$Y$1000,$U$5:$U$1000,ROW(),$V$5:$V$1000,"Sub")),$Y39))))</f>
        <v/>
      </c>
      <c r="N39" s="56">
        <f>IF(OR($M39="",$V39="Sub"),"",IF($M39&gt;=1,"Completado",IF($M39&gt;0,"En curso","Pendiente")))</f>
        <v/>
      </c>
      <c r="O39" s="56">
        <f>IF(NOT((COUNTA($B39:$D39)+COUNTA($G39:$H39)+COUNTA($Q39))&gt;0),"",IF(AND(AND($D39&lt;&gt;"",$V39="Macro"),N($AM39)&gt;0),CHOOSE(MATCH($D39,ListaPuestos,0),INDEX('Cronograma R. Operacional'!$O$5:$O$1000,$AM39),INDEX('Cronograma R. Normativo'!$O$5:$O$1000,$AM39),INDEX('Cronograma R. Financiero'!$O$5:$O$1000,$AM39),INDEX('Cronograma Asistente Técnico'!$O$5:$O$1000,$AM39))&amp;"",IF(ISNUMBER($G39),IF(AND(ISNUMBER($AS39),$G39&gt;$AS39),"Cumplida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f>IF(NOT((COUNTA($B39:$D39)+COUNTA($G39:$H39)+COUNTA($Q39))&gt;0),"",IF($D39="","Propia",IF($V39&lt;&gt;"Macro","Solo se delegan macroactividades",IF(N($AM39)&gt;0,"✔ Recibida por "&amp;$D39,"⚠ "&amp;$D39&amp;" aún no la agrega"))))</f>
        <v/>
      </c>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f>IF(NOT(AND($D39&lt;&gt;"",$V39="Macro")),"",IFERROR(CHOOSE(MATCH($D39,ListaPuestos,0),MATCH("[Jefatura] "&amp;$C39,'Cronograma R. Operacional'!$C$5:$C$1000,0),MATCH("[Jefatura] "&amp;$C39,'Cronograma R. Normativo'!$C$5:$C$1000,0),MATCH("[Jefatura] "&amp;$C39,'Cronograma R. Financiero'!$C$5:$C$1000,0),MATCH("[Jefatura] "&amp;$C39,'Cronograma Asistente Técnico'!$C$5:$C$1000,0)),0))</f>
        <v/>
      </c>
      <c r="AN39" s="62">
        <f>IF(AND(AND($D39&lt;&gt;"",$V39="Macro"),$S39=MesCiclo),COUNTIFS($D$5:$D39,$D39,$S$5:$S39,MesCiclo,$V$5:$V39,"Macro"),"")</f>
        <v/>
      </c>
      <c r="AO39" s="62">
        <f>IF($AN39="","",$D39&amp;"|"&amp;$AN39)</f>
        <v/>
      </c>
      <c r="AP39" s="62">
        <f>IF(AND($D39&lt;&gt;"",$V39="Macro"),$D39&amp;"|"&amp;$C39,"")</f>
        <v/>
      </c>
      <c r="AQ39" s="62">
        <f>""</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t="n"/>
      <c r="F40" s="59" t="n"/>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IF(NOT((COUNTA($B40:$D40)+COUNTA($G40:$H40)+COUNTA($Q40))&gt;0),"",IF(AND($D40&lt;&gt;"",$V40="Macro"),IF(N($AM40)&gt;0,N(CHOOSE(MATCH($D40,ListaPuestos,0),INDEX('Cronograma R. Operacional'!$M$5:$M$1000,$AM40),INDEX('Cronograma R. Normativo'!$M$5:$M$1000,$AM40),INDEX('Cronograma R. Financiero'!$M$5:$M$1000,$AM40),INDEX('Cronograma Asistente Técnico'!$M$5:$M$1000,$AM40))),0),IF(ISNUMBER($G40),1,IF(N($W40)&gt;0,MIN(1,SUMIFS($Y$5:$Y$1000,$U$5:$U$1000,ROW(),$V$5:$V$1000,"Sub")),$Y40))))</f>
        <v/>
      </c>
      <c r="N40" s="56">
        <f>IF(OR($M40="",$V40="Sub"),"",IF($M40&gt;=1,"Completado",IF($M40&gt;0,"En curso","Pendiente")))</f>
        <v/>
      </c>
      <c r="O40" s="56">
        <f>IF(NOT((COUNTA($B40:$D40)+COUNTA($G40:$H40)+COUNTA($Q40))&gt;0),"",IF(AND(AND($D40&lt;&gt;"",$V40="Macro"),N($AM40)&gt;0),CHOOSE(MATCH($D40,ListaPuestos,0),INDEX('Cronograma R. Operacional'!$O$5:$O$1000,$AM40),INDEX('Cronograma R. Normativo'!$O$5:$O$1000,$AM40),INDEX('Cronograma R. Financiero'!$O$5:$O$1000,$AM40),INDEX('Cronograma Asistente Técnico'!$O$5:$O$1000,$AM40))&amp;"",IF(ISNUMBER($G40),IF(AND(ISNUMBER($AS40),$G40&gt;$AS40),"Cumplida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f>IF(NOT((COUNTA($B40:$D40)+COUNTA($G40:$H40)+COUNTA($Q40))&gt;0),"",IF($D40="","Propia",IF($V40&lt;&gt;"Macro","Solo se delegan macroactividades",IF(N($AM40)&gt;0,"✔ Recibida por "&amp;$D40,"⚠ "&amp;$D40&amp;" aún no la agrega"))))</f>
        <v/>
      </c>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f>IF(NOT(AND($D40&lt;&gt;"",$V40="Macro")),"",IFERROR(CHOOSE(MATCH($D40,ListaPuestos,0),MATCH("[Jefatura] "&amp;$C40,'Cronograma R. Operacional'!$C$5:$C$1000,0),MATCH("[Jefatura] "&amp;$C40,'Cronograma R. Normativo'!$C$5:$C$1000,0),MATCH("[Jefatura] "&amp;$C40,'Cronograma R. Financiero'!$C$5:$C$1000,0),MATCH("[Jefatura] "&amp;$C40,'Cronograma Asistente Técnico'!$C$5:$C$1000,0)),0))</f>
        <v/>
      </c>
      <c r="AN40" s="62">
        <f>IF(AND(AND($D40&lt;&gt;"",$V40="Macro"),$S40=MesCiclo),COUNTIFS($D$5:$D40,$D40,$S$5:$S40,MesCiclo,$V$5:$V40,"Macro"),"")</f>
        <v/>
      </c>
      <c r="AO40" s="62">
        <f>IF($AN40="","",$D40&amp;"|"&amp;$AN40)</f>
        <v/>
      </c>
      <c r="AP40" s="62">
        <f>IF(AND($D40&lt;&gt;"",$V40="Macro"),$D40&amp;"|"&amp;$C40,"")</f>
        <v/>
      </c>
      <c r="AQ40" s="62">
        <f>""</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t="n"/>
      <c r="F41" s="59" t="n"/>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IF(NOT((COUNTA($B41:$D41)+COUNTA($G41:$H41)+COUNTA($Q41))&gt;0),"",IF(AND($D41&lt;&gt;"",$V41="Macro"),IF(N($AM41)&gt;0,N(CHOOSE(MATCH($D41,ListaPuestos,0),INDEX('Cronograma R. Operacional'!$M$5:$M$1000,$AM41),INDEX('Cronograma R. Normativo'!$M$5:$M$1000,$AM41),INDEX('Cronograma R. Financiero'!$M$5:$M$1000,$AM41),INDEX('Cronograma Asistente Técnico'!$M$5:$M$1000,$AM41))),0),IF(ISNUMBER($G41),1,IF(N($W41)&gt;0,MIN(1,SUMIFS($Y$5:$Y$1000,$U$5:$U$1000,ROW(),$V$5:$V$1000,"Sub")),$Y41))))</f>
        <v/>
      </c>
      <c r="N41" s="56">
        <f>IF(OR($M41="",$V41="Sub"),"",IF($M41&gt;=1,"Completado",IF($M41&gt;0,"En curso","Pendiente")))</f>
        <v/>
      </c>
      <c r="O41" s="56">
        <f>IF(NOT((COUNTA($B41:$D41)+COUNTA($G41:$H41)+COUNTA($Q41))&gt;0),"",IF(AND(AND($D41&lt;&gt;"",$V41="Macro"),N($AM41)&gt;0),CHOOSE(MATCH($D41,ListaPuestos,0),INDEX('Cronograma R. Operacional'!$O$5:$O$1000,$AM41),INDEX('Cronograma R. Normativo'!$O$5:$O$1000,$AM41),INDEX('Cronograma R. Financiero'!$O$5:$O$1000,$AM41),INDEX('Cronograma Asistente Técnico'!$O$5:$O$1000,$AM41))&amp;"",IF(ISNUMBER($G41),IF(AND(ISNUMBER($AS41),$G41&gt;$AS41),"Cumplida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f>IF(NOT((COUNTA($B41:$D41)+COUNTA($G41:$H41)+COUNTA($Q41))&gt;0),"",IF($D41="","Propia",IF($V41&lt;&gt;"Macro","Solo se delegan macroactividades",IF(N($AM41)&gt;0,"✔ Recibida por "&amp;$D41,"⚠ "&amp;$D41&amp;" aún no la agrega"))))</f>
        <v/>
      </c>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f>IF(NOT(AND($D41&lt;&gt;"",$V41="Macro")),"",IFERROR(CHOOSE(MATCH($D41,ListaPuestos,0),MATCH("[Jefatura] "&amp;$C41,'Cronograma R. Operacional'!$C$5:$C$1000,0),MATCH("[Jefatura] "&amp;$C41,'Cronograma R. Normativo'!$C$5:$C$1000,0),MATCH("[Jefatura] "&amp;$C41,'Cronograma R. Financiero'!$C$5:$C$1000,0),MATCH("[Jefatura] "&amp;$C41,'Cronograma Asistente Técnico'!$C$5:$C$1000,0)),0))</f>
        <v/>
      </c>
      <c r="AN41" s="62">
        <f>IF(AND(AND($D41&lt;&gt;"",$V41="Macro"),$S41=MesCiclo),COUNTIFS($D$5:$D41,$D41,$S$5:$S41,MesCiclo,$V$5:$V41,"Macro"),"")</f>
        <v/>
      </c>
      <c r="AO41" s="62">
        <f>IF($AN41="","",$D41&amp;"|"&amp;$AN41)</f>
        <v/>
      </c>
      <c r="AP41" s="62">
        <f>IF(AND($D41&lt;&gt;"",$V41="Macro"),$D41&amp;"|"&amp;$C41,"")</f>
        <v/>
      </c>
      <c r="AQ41" s="62">
        <f>""</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t="n"/>
      <c r="F42" s="59" t="n"/>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IF(NOT((COUNTA($B42:$D42)+COUNTA($G42:$H42)+COUNTA($Q42))&gt;0),"",IF(AND($D42&lt;&gt;"",$V42="Macro"),IF(N($AM42)&gt;0,N(CHOOSE(MATCH($D42,ListaPuestos,0),INDEX('Cronograma R. Operacional'!$M$5:$M$1000,$AM42),INDEX('Cronograma R. Normativo'!$M$5:$M$1000,$AM42),INDEX('Cronograma R. Financiero'!$M$5:$M$1000,$AM42),INDEX('Cronograma Asistente Técnico'!$M$5:$M$1000,$AM42))),0),IF(ISNUMBER($G42),1,IF(N($W42)&gt;0,MIN(1,SUMIFS($Y$5:$Y$1000,$U$5:$U$1000,ROW(),$V$5:$V$1000,"Sub")),$Y42))))</f>
        <v/>
      </c>
      <c r="N42" s="56">
        <f>IF(OR($M42="",$V42="Sub"),"",IF($M42&gt;=1,"Completado",IF($M42&gt;0,"En curso","Pendiente")))</f>
        <v/>
      </c>
      <c r="O42" s="56">
        <f>IF(NOT((COUNTA($B42:$D42)+COUNTA($G42:$H42)+COUNTA($Q42))&gt;0),"",IF(AND(AND($D42&lt;&gt;"",$V42="Macro"),N($AM42)&gt;0),CHOOSE(MATCH($D42,ListaPuestos,0),INDEX('Cronograma R. Operacional'!$O$5:$O$1000,$AM42),INDEX('Cronograma R. Normativo'!$O$5:$O$1000,$AM42),INDEX('Cronograma R. Financiero'!$O$5:$O$1000,$AM42),INDEX('Cronograma Asistente Técnico'!$O$5:$O$1000,$AM42))&amp;"",IF(ISNUMBER($G42),IF(AND(ISNUMBER($AS42),$G42&gt;$AS42),"Cumplida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f>IF(NOT((COUNTA($B42:$D42)+COUNTA($G42:$H42)+COUNTA($Q42))&gt;0),"",IF($D42="","Propia",IF($V42&lt;&gt;"Macro","Solo se delegan macroactividades",IF(N($AM42)&gt;0,"✔ Recibida por "&amp;$D42,"⚠ "&amp;$D42&amp;" aún no la agrega"))))</f>
        <v/>
      </c>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f>IF(NOT(AND($D42&lt;&gt;"",$V42="Macro")),"",IFERROR(CHOOSE(MATCH($D42,ListaPuestos,0),MATCH("[Jefatura] "&amp;$C42,'Cronograma R. Operacional'!$C$5:$C$1000,0),MATCH("[Jefatura] "&amp;$C42,'Cronograma R. Normativo'!$C$5:$C$1000,0),MATCH("[Jefatura] "&amp;$C42,'Cronograma R. Financiero'!$C$5:$C$1000,0),MATCH("[Jefatura] "&amp;$C42,'Cronograma Asistente Técnico'!$C$5:$C$1000,0)),0))</f>
        <v/>
      </c>
      <c r="AN42" s="62">
        <f>IF(AND(AND($D42&lt;&gt;"",$V42="Macro"),$S42=MesCiclo),COUNTIFS($D$5:$D42,$D42,$S$5:$S42,MesCiclo,$V$5:$V42,"Macro"),"")</f>
        <v/>
      </c>
      <c r="AO42" s="62">
        <f>IF($AN42="","",$D42&amp;"|"&amp;$AN42)</f>
        <v/>
      </c>
      <c r="AP42" s="62">
        <f>IF(AND($D42&lt;&gt;"",$V42="Macro"),$D42&amp;"|"&amp;$C42,"")</f>
        <v/>
      </c>
      <c r="AQ42" s="62">
        <f>""</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t="n"/>
      <c r="F43" s="59" t="n"/>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IF(NOT((COUNTA($B43:$D43)+COUNTA($G43:$H43)+COUNTA($Q43))&gt;0),"",IF(AND($D43&lt;&gt;"",$V43="Macro"),IF(N($AM43)&gt;0,N(CHOOSE(MATCH($D43,ListaPuestos,0),INDEX('Cronograma R. Operacional'!$M$5:$M$1000,$AM43),INDEX('Cronograma R. Normativo'!$M$5:$M$1000,$AM43),INDEX('Cronograma R. Financiero'!$M$5:$M$1000,$AM43),INDEX('Cronograma Asistente Técnico'!$M$5:$M$1000,$AM43))),0),IF(ISNUMBER($G43),1,IF(N($W43)&gt;0,MIN(1,SUMIFS($Y$5:$Y$1000,$U$5:$U$1000,ROW(),$V$5:$V$1000,"Sub")),$Y43))))</f>
        <v/>
      </c>
      <c r="N43" s="56">
        <f>IF(OR($M43="",$V43="Sub"),"",IF($M43&gt;=1,"Completado",IF($M43&gt;0,"En curso","Pendiente")))</f>
        <v/>
      </c>
      <c r="O43" s="56">
        <f>IF(NOT((COUNTA($B43:$D43)+COUNTA($G43:$H43)+COUNTA($Q43))&gt;0),"",IF(AND(AND($D43&lt;&gt;"",$V43="Macro"),N($AM43)&gt;0),CHOOSE(MATCH($D43,ListaPuestos,0),INDEX('Cronograma R. Operacional'!$O$5:$O$1000,$AM43),INDEX('Cronograma R. Normativo'!$O$5:$O$1000,$AM43),INDEX('Cronograma R. Financiero'!$O$5:$O$1000,$AM43),INDEX('Cronograma Asistente Técnico'!$O$5:$O$1000,$AM43))&amp;"",IF(ISNUMBER($G43),IF(AND(ISNUMBER($AS43),$G43&gt;$AS43),"Cumplida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f>IF(NOT((COUNTA($B43:$D43)+COUNTA($G43:$H43)+COUNTA($Q43))&gt;0),"",IF($D43="","Propia",IF($V43&lt;&gt;"Macro","Solo se delegan macroactividades",IF(N($AM43)&gt;0,"✔ Recibida por "&amp;$D43,"⚠ "&amp;$D43&amp;" aún no la agrega"))))</f>
        <v/>
      </c>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f>IF(NOT(AND($D43&lt;&gt;"",$V43="Macro")),"",IFERROR(CHOOSE(MATCH($D43,ListaPuestos,0),MATCH("[Jefatura] "&amp;$C43,'Cronograma R. Operacional'!$C$5:$C$1000,0),MATCH("[Jefatura] "&amp;$C43,'Cronograma R. Normativo'!$C$5:$C$1000,0),MATCH("[Jefatura] "&amp;$C43,'Cronograma R. Financiero'!$C$5:$C$1000,0),MATCH("[Jefatura] "&amp;$C43,'Cronograma Asistente Técnico'!$C$5:$C$1000,0)),0))</f>
        <v/>
      </c>
      <c r="AN43" s="62">
        <f>IF(AND(AND($D43&lt;&gt;"",$V43="Macro"),$S43=MesCiclo),COUNTIFS($D$5:$D43,$D43,$S$5:$S43,MesCiclo,$V$5:$V43,"Macro"),"")</f>
        <v/>
      </c>
      <c r="AO43" s="62">
        <f>IF($AN43="","",$D43&amp;"|"&amp;$AN43)</f>
        <v/>
      </c>
      <c r="AP43" s="62">
        <f>IF(AND($D43&lt;&gt;"",$V43="Macro"),$D43&amp;"|"&amp;$C43,"")</f>
        <v/>
      </c>
      <c r="AQ43" s="62">
        <f>""</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t="n"/>
      <c r="F44" s="59" t="n"/>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IF(NOT((COUNTA($B44:$D44)+COUNTA($G44:$H44)+COUNTA($Q44))&gt;0),"",IF(AND($D44&lt;&gt;"",$V44="Macro"),IF(N($AM44)&gt;0,N(CHOOSE(MATCH($D44,ListaPuestos,0),INDEX('Cronograma R. Operacional'!$M$5:$M$1000,$AM44),INDEX('Cronograma R. Normativo'!$M$5:$M$1000,$AM44),INDEX('Cronograma R. Financiero'!$M$5:$M$1000,$AM44),INDEX('Cronograma Asistente Técnico'!$M$5:$M$1000,$AM44))),0),IF(ISNUMBER($G44),1,IF(N($W44)&gt;0,MIN(1,SUMIFS($Y$5:$Y$1000,$U$5:$U$1000,ROW(),$V$5:$V$1000,"Sub")),$Y44))))</f>
        <v/>
      </c>
      <c r="N44" s="56">
        <f>IF(OR($M44="",$V44="Sub"),"",IF($M44&gt;=1,"Completado",IF($M44&gt;0,"En curso","Pendiente")))</f>
        <v/>
      </c>
      <c r="O44" s="56">
        <f>IF(NOT((COUNTA($B44:$D44)+COUNTA($G44:$H44)+COUNTA($Q44))&gt;0),"",IF(AND(AND($D44&lt;&gt;"",$V44="Macro"),N($AM44)&gt;0),CHOOSE(MATCH($D44,ListaPuestos,0),INDEX('Cronograma R. Operacional'!$O$5:$O$1000,$AM44),INDEX('Cronograma R. Normativo'!$O$5:$O$1000,$AM44),INDEX('Cronograma R. Financiero'!$O$5:$O$1000,$AM44),INDEX('Cronograma Asistente Técnico'!$O$5:$O$1000,$AM44))&amp;"",IF(ISNUMBER($G44),IF(AND(ISNUMBER($AS44),$G44&gt;$AS44),"Cumplida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f>IF(NOT((COUNTA($B44:$D44)+COUNTA($G44:$H44)+COUNTA($Q44))&gt;0),"",IF($D44="","Propia",IF($V44&lt;&gt;"Macro","Solo se delegan macroactividades",IF(N($AM44)&gt;0,"✔ Recibida por "&amp;$D44,"⚠ "&amp;$D44&amp;" aún no la agrega"))))</f>
        <v/>
      </c>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f>IF(NOT(AND($D44&lt;&gt;"",$V44="Macro")),"",IFERROR(CHOOSE(MATCH($D44,ListaPuestos,0),MATCH("[Jefatura] "&amp;$C44,'Cronograma R. Operacional'!$C$5:$C$1000,0),MATCH("[Jefatura] "&amp;$C44,'Cronograma R. Normativo'!$C$5:$C$1000,0),MATCH("[Jefatura] "&amp;$C44,'Cronograma R. Financiero'!$C$5:$C$1000,0),MATCH("[Jefatura] "&amp;$C44,'Cronograma Asistente Técnico'!$C$5:$C$1000,0)),0))</f>
        <v/>
      </c>
      <c r="AN44" s="62">
        <f>IF(AND(AND($D44&lt;&gt;"",$V44="Macro"),$S44=MesCiclo),COUNTIFS($D$5:$D44,$D44,$S$5:$S44,MesCiclo,$V$5:$V44,"Macro"),"")</f>
        <v/>
      </c>
      <c r="AO44" s="62">
        <f>IF($AN44="","",$D44&amp;"|"&amp;$AN44)</f>
        <v/>
      </c>
      <c r="AP44" s="62">
        <f>IF(AND($D44&lt;&gt;"",$V44="Macro"),$D44&amp;"|"&amp;$C44,"")</f>
        <v/>
      </c>
      <c r="AQ44" s="62">
        <f>""</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t="n"/>
      <c r="F45" s="59" t="n"/>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IF(NOT((COUNTA($B45:$D45)+COUNTA($G45:$H45)+COUNTA($Q45))&gt;0),"",IF(AND($D45&lt;&gt;"",$V45="Macro"),IF(N($AM45)&gt;0,N(CHOOSE(MATCH($D45,ListaPuestos,0),INDEX('Cronograma R. Operacional'!$M$5:$M$1000,$AM45),INDEX('Cronograma R. Normativo'!$M$5:$M$1000,$AM45),INDEX('Cronograma R. Financiero'!$M$5:$M$1000,$AM45),INDEX('Cronograma Asistente Técnico'!$M$5:$M$1000,$AM45))),0),IF(ISNUMBER($G45),1,IF(N($W45)&gt;0,MIN(1,SUMIFS($Y$5:$Y$1000,$U$5:$U$1000,ROW(),$V$5:$V$1000,"Sub")),$Y45))))</f>
        <v/>
      </c>
      <c r="N45" s="56">
        <f>IF(OR($M45="",$V45="Sub"),"",IF($M45&gt;=1,"Completado",IF($M45&gt;0,"En curso","Pendiente")))</f>
        <v/>
      </c>
      <c r="O45" s="56">
        <f>IF(NOT((COUNTA($B45:$D45)+COUNTA($G45:$H45)+COUNTA($Q45))&gt;0),"",IF(AND(AND($D45&lt;&gt;"",$V45="Macro"),N($AM45)&gt;0),CHOOSE(MATCH($D45,ListaPuestos,0),INDEX('Cronograma R. Operacional'!$O$5:$O$1000,$AM45),INDEX('Cronograma R. Normativo'!$O$5:$O$1000,$AM45),INDEX('Cronograma R. Financiero'!$O$5:$O$1000,$AM45),INDEX('Cronograma Asistente Técnico'!$O$5:$O$1000,$AM45))&amp;"",IF(ISNUMBER($G45),IF(AND(ISNUMBER($AS45),$G45&gt;$AS45),"Cumplida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f>IF(NOT((COUNTA($B45:$D45)+COUNTA($G45:$H45)+COUNTA($Q45))&gt;0),"",IF($D45="","Propia",IF($V45&lt;&gt;"Macro","Solo se delegan macroactividades",IF(N($AM45)&gt;0,"✔ Recibida por "&amp;$D45,"⚠ "&amp;$D45&amp;" aún no la agrega"))))</f>
        <v/>
      </c>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f>IF(NOT(AND($D45&lt;&gt;"",$V45="Macro")),"",IFERROR(CHOOSE(MATCH($D45,ListaPuestos,0),MATCH("[Jefatura] "&amp;$C45,'Cronograma R. Operacional'!$C$5:$C$1000,0),MATCH("[Jefatura] "&amp;$C45,'Cronograma R. Normativo'!$C$5:$C$1000,0),MATCH("[Jefatura] "&amp;$C45,'Cronograma R. Financiero'!$C$5:$C$1000,0),MATCH("[Jefatura] "&amp;$C45,'Cronograma Asistente Técnico'!$C$5:$C$1000,0)),0))</f>
        <v/>
      </c>
      <c r="AN45" s="62">
        <f>IF(AND(AND($D45&lt;&gt;"",$V45="Macro"),$S45=MesCiclo),COUNTIFS($D$5:$D45,$D45,$S$5:$S45,MesCiclo,$V$5:$V45,"Macro"),"")</f>
        <v/>
      </c>
      <c r="AO45" s="62">
        <f>IF($AN45="","",$D45&amp;"|"&amp;$AN45)</f>
        <v/>
      </c>
      <c r="AP45" s="62">
        <f>IF(AND($D45&lt;&gt;"",$V45="Macro"),$D45&amp;"|"&amp;$C45,"")</f>
        <v/>
      </c>
      <c r="AQ45" s="62">
        <f>""</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t="n"/>
      <c r="F46" s="59" t="n"/>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IF(NOT((COUNTA($B46:$D46)+COUNTA($G46:$H46)+COUNTA($Q46))&gt;0),"",IF(AND($D46&lt;&gt;"",$V46="Macro"),IF(N($AM46)&gt;0,N(CHOOSE(MATCH($D46,ListaPuestos,0),INDEX('Cronograma R. Operacional'!$M$5:$M$1000,$AM46),INDEX('Cronograma R. Normativo'!$M$5:$M$1000,$AM46),INDEX('Cronograma R. Financiero'!$M$5:$M$1000,$AM46),INDEX('Cronograma Asistente Técnico'!$M$5:$M$1000,$AM46))),0),IF(ISNUMBER($G46),1,IF(N($W46)&gt;0,MIN(1,SUMIFS($Y$5:$Y$1000,$U$5:$U$1000,ROW(),$V$5:$V$1000,"Sub")),$Y46))))</f>
        <v/>
      </c>
      <c r="N46" s="56">
        <f>IF(OR($M46="",$V46="Sub"),"",IF($M46&gt;=1,"Completado",IF($M46&gt;0,"En curso","Pendiente")))</f>
        <v/>
      </c>
      <c r="O46" s="56">
        <f>IF(NOT((COUNTA($B46:$D46)+COUNTA($G46:$H46)+COUNTA($Q46))&gt;0),"",IF(AND(AND($D46&lt;&gt;"",$V46="Macro"),N($AM46)&gt;0),CHOOSE(MATCH($D46,ListaPuestos,0),INDEX('Cronograma R. Operacional'!$O$5:$O$1000,$AM46),INDEX('Cronograma R. Normativo'!$O$5:$O$1000,$AM46),INDEX('Cronograma R. Financiero'!$O$5:$O$1000,$AM46),INDEX('Cronograma Asistente Técnico'!$O$5:$O$1000,$AM46))&amp;"",IF(ISNUMBER($G46),IF(AND(ISNUMBER($AS46),$G46&gt;$AS46),"Cumplida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f>IF(NOT((COUNTA($B46:$D46)+COUNTA($G46:$H46)+COUNTA($Q46))&gt;0),"",IF($D46="","Propia",IF($V46&lt;&gt;"Macro","Solo se delegan macroactividades",IF(N($AM46)&gt;0,"✔ Recibida por "&amp;$D46,"⚠ "&amp;$D46&amp;" aún no la agrega"))))</f>
        <v/>
      </c>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f>IF(NOT(AND($D46&lt;&gt;"",$V46="Macro")),"",IFERROR(CHOOSE(MATCH($D46,ListaPuestos,0),MATCH("[Jefatura] "&amp;$C46,'Cronograma R. Operacional'!$C$5:$C$1000,0),MATCH("[Jefatura] "&amp;$C46,'Cronograma R. Normativo'!$C$5:$C$1000,0),MATCH("[Jefatura] "&amp;$C46,'Cronograma R. Financiero'!$C$5:$C$1000,0),MATCH("[Jefatura] "&amp;$C46,'Cronograma Asistente Técnico'!$C$5:$C$1000,0)),0))</f>
        <v/>
      </c>
      <c r="AN46" s="62">
        <f>IF(AND(AND($D46&lt;&gt;"",$V46="Macro"),$S46=MesCiclo),COUNTIFS($D$5:$D46,$D46,$S$5:$S46,MesCiclo,$V$5:$V46,"Macro"),"")</f>
        <v/>
      </c>
      <c r="AO46" s="62">
        <f>IF($AN46="","",$D46&amp;"|"&amp;$AN46)</f>
        <v/>
      </c>
      <c r="AP46" s="62">
        <f>IF(AND($D46&lt;&gt;"",$V46="Macro"),$D46&amp;"|"&amp;$C46,"")</f>
        <v/>
      </c>
      <c r="AQ46" s="62">
        <f>""</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t="n"/>
      <c r="F47" s="59" t="n"/>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IF(NOT((COUNTA($B47:$D47)+COUNTA($G47:$H47)+COUNTA($Q47))&gt;0),"",IF(AND($D47&lt;&gt;"",$V47="Macro"),IF(N($AM47)&gt;0,N(CHOOSE(MATCH($D47,ListaPuestos,0),INDEX('Cronograma R. Operacional'!$M$5:$M$1000,$AM47),INDEX('Cronograma R. Normativo'!$M$5:$M$1000,$AM47),INDEX('Cronograma R. Financiero'!$M$5:$M$1000,$AM47),INDEX('Cronograma Asistente Técnico'!$M$5:$M$1000,$AM47))),0),IF(ISNUMBER($G47),1,IF(N($W47)&gt;0,MIN(1,SUMIFS($Y$5:$Y$1000,$U$5:$U$1000,ROW(),$V$5:$V$1000,"Sub")),$Y47))))</f>
        <v/>
      </c>
      <c r="N47" s="56">
        <f>IF(OR($M47="",$V47="Sub"),"",IF($M47&gt;=1,"Completado",IF($M47&gt;0,"En curso","Pendiente")))</f>
        <v/>
      </c>
      <c r="O47" s="56">
        <f>IF(NOT((COUNTA($B47:$D47)+COUNTA($G47:$H47)+COUNTA($Q47))&gt;0),"",IF(AND(AND($D47&lt;&gt;"",$V47="Macro"),N($AM47)&gt;0),CHOOSE(MATCH($D47,ListaPuestos,0),INDEX('Cronograma R. Operacional'!$O$5:$O$1000,$AM47),INDEX('Cronograma R. Normativo'!$O$5:$O$1000,$AM47),INDEX('Cronograma R. Financiero'!$O$5:$O$1000,$AM47),INDEX('Cronograma Asistente Técnico'!$O$5:$O$1000,$AM47))&amp;"",IF(ISNUMBER($G47),IF(AND(ISNUMBER($AS47),$G47&gt;$AS47),"Cumplida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f>IF(NOT((COUNTA($B47:$D47)+COUNTA($G47:$H47)+COUNTA($Q47))&gt;0),"",IF($D47="","Propia",IF($V47&lt;&gt;"Macro","Solo se delegan macroactividades",IF(N($AM47)&gt;0,"✔ Recibida por "&amp;$D47,"⚠ "&amp;$D47&amp;" aún no la agrega"))))</f>
        <v/>
      </c>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f>IF(NOT(AND($D47&lt;&gt;"",$V47="Macro")),"",IFERROR(CHOOSE(MATCH($D47,ListaPuestos,0),MATCH("[Jefatura] "&amp;$C47,'Cronograma R. Operacional'!$C$5:$C$1000,0),MATCH("[Jefatura] "&amp;$C47,'Cronograma R. Normativo'!$C$5:$C$1000,0),MATCH("[Jefatura] "&amp;$C47,'Cronograma R. Financiero'!$C$5:$C$1000,0),MATCH("[Jefatura] "&amp;$C47,'Cronograma Asistente Técnico'!$C$5:$C$1000,0)),0))</f>
        <v/>
      </c>
      <c r="AN47" s="62">
        <f>IF(AND(AND($D47&lt;&gt;"",$V47="Macro"),$S47=MesCiclo),COUNTIFS($D$5:$D47,$D47,$S$5:$S47,MesCiclo,$V$5:$V47,"Macro"),"")</f>
        <v/>
      </c>
      <c r="AO47" s="62">
        <f>IF($AN47="","",$D47&amp;"|"&amp;$AN47)</f>
        <v/>
      </c>
      <c r="AP47" s="62">
        <f>IF(AND($D47&lt;&gt;"",$V47="Macro"),$D47&amp;"|"&amp;$C47,"")</f>
        <v/>
      </c>
      <c r="AQ47" s="62">
        <f>""</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t="n"/>
      <c r="F48" s="59" t="n"/>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IF(NOT((COUNTA($B48:$D48)+COUNTA($G48:$H48)+COUNTA($Q48))&gt;0),"",IF(AND($D48&lt;&gt;"",$V48="Macro"),IF(N($AM48)&gt;0,N(CHOOSE(MATCH($D48,ListaPuestos,0),INDEX('Cronograma R. Operacional'!$M$5:$M$1000,$AM48),INDEX('Cronograma R. Normativo'!$M$5:$M$1000,$AM48),INDEX('Cronograma R. Financiero'!$M$5:$M$1000,$AM48),INDEX('Cronograma Asistente Técnico'!$M$5:$M$1000,$AM48))),0),IF(ISNUMBER($G48),1,IF(N($W48)&gt;0,MIN(1,SUMIFS($Y$5:$Y$1000,$U$5:$U$1000,ROW(),$V$5:$V$1000,"Sub")),$Y48))))</f>
        <v/>
      </c>
      <c r="N48" s="56">
        <f>IF(OR($M48="",$V48="Sub"),"",IF($M48&gt;=1,"Completado",IF($M48&gt;0,"En curso","Pendiente")))</f>
        <v/>
      </c>
      <c r="O48" s="56">
        <f>IF(NOT((COUNTA($B48:$D48)+COUNTA($G48:$H48)+COUNTA($Q48))&gt;0),"",IF(AND(AND($D48&lt;&gt;"",$V48="Macro"),N($AM48)&gt;0),CHOOSE(MATCH($D48,ListaPuestos,0),INDEX('Cronograma R. Operacional'!$O$5:$O$1000,$AM48),INDEX('Cronograma R. Normativo'!$O$5:$O$1000,$AM48),INDEX('Cronograma R. Financiero'!$O$5:$O$1000,$AM48),INDEX('Cronograma Asistente Técnico'!$O$5:$O$1000,$AM48))&amp;"",IF(ISNUMBER($G48),IF(AND(ISNUMBER($AS48),$G48&gt;$AS48),"Cumplida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f>IF(NOT((COUNTA($B48:$D48)+COUNTA($G48:$H48)+COUNTA($Q48))&gt;0),"",IF($D48="","Propia",IF($V48&lt;&gt;"Macro","Solo se delegan macroactividades",IF(N($AM48)&gt;0,"✔ Recibida por "&amp;$D48,"⚠ "&amp;$D48&amp;" aún no la agrega"))))</f>
        <v/>
      </c>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f>IF(NOT(AND($D48&lt;&gt;"",$V48="Macro")),"",IFERROR(CHOOSE(MATCH($D48,ListaPuestos,0),MATCH("[Jefatura] "&amp;$C48,'Cronograma R. Operacional'!$C$5:$C$1000,0),MATCH("[Jefatura] "&amp;$C48,'Cronograma R. Normativo'!$C$5:$C$1000,0),MATCH("[Jefatura] "&amp;$C48,'Cronograma R. Financiero'!$C$5:$C$1000,0),MATCH("[Jefatura] "&amp;$C48,'Cronograma Asistente Técnico'!$C$5:$C$1000,0)),0))</f>
        <v/>
      </c>
      <c r="AN48" s="62">
        <f>IF(AND(AND($D48&lt;&gt;"",$V48="Macro"),$S48=MesCiclo),COUNTIFS($D$5:$D48,$D48,$S$5:$S48,MesCiclo,$V$5:$V48,"Macro"),"")</f>
        <v/>
      </c>
      <c r="AO48" s="62">
        <f>IF($AN48="","",$D48&amp;"|"&amp;$AN48)</f>
        <v/>
      </c>
      <c r="AP48" s="62">
        <f>IF(AND($D48&lt;&gt;"",$V48="Macro"),$D48&amp;"|"&amp;$C48,"")</f>
        <v/>
      </c>
      <c r="AQ48" s="62">
        <f>""</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t="n"/>
      <c r="F49" s="59" t="n"/>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IF(NOT((COUNTA($B49:$D49)+COUNTA($G49:$H49)+COUNTA($Q49))&gt;0),"",IF(AND($D49&lt;&gt;"",$V49="Macro"),IF(N($AM49)&gt;0,N(CHOOSE(MATCH($D49,ListaPuestos,0),INDEX('Cronograma R. Operacional'!$M$5:$M$1000,$AM49),INDEX('Cronograma R. Normativo'!$M$5:$M$1000,$AM49),INDEX('Cronograma R. Financiero'!$M$5:$M$1000,$AM49),INDEX('Cronograma Asistente Técnico'!$M$5:$M$1000,$AM49))),0),IF(ISNUMBER($G49),1,IF(N($W49)&gt;0,MIN(1,SUMIFS($Y$5:$Y$1000,$U$5:$U$1000,ROW(),$V$5:$V$1000,"Sub")),$Y49))))</f>
        <v/>
      </c>
      <c r="N49" s="56">
        <f>IF(OR($M49="",$V49="Sub"),"",IF($M49&gt;=1,"Completado",IF($M49&gt;0,"En curso","Pendiente")))</f>
        <v/>
      </c>
      <c r="O49" s="56">
        <f>IF(NOT((COUNTA($B49:$D49)+COUNTA($G49:$H49)+COUNTA($Q49))&gt;0),"",IF(AND(AND($D49&lt;&gt;"",$V49="Macro"),N($AM49)&gt;0),CHOOSE(MATCH($D49,ListaPuestos,0),INDEX('Cronograma R. Operacional'!$O$5:$O$1000,$AM49),INDEX('Cronograma R. Normativo'!$O$5:$O$1000,$AM49),INDEX('Cronograma R. Financiero'!$O$5:$O$1000,$AM49),INDEX('Cronograma Asistente Técnico'!$O$5:$O$1000,$AM49))&amp;"",IF(ISNUMBER($G49),IF(AND(ISNUMBER($AS49),$G49&gt;$AS49),"Cumplida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f>IF(NOT((COUNTA($B49:$D49)+COUNTA($G49:$H49)+COUNTA($Q49))&gt;0),"",IF($D49="","Propia",IF($V49&lt;&gt;"Macro","Solo se delegan macroactividades",IF(N($AM49)&gt;0,"✔ Recibida por "&amp;$D49,"⚠ "&amp;$D49&amp;" aún no la agrega"))))</f>
        <v/>
      </c>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f>IF(NOT(AND($D49&lt;&gt;"",$V49="Macro")),"",IFERROR(CHOOSE(MATCH($D49,ListaPuestos,0),MATCH("[Jefatura] "&amp;$C49,'Cronograma R. Operacional'!$C$5:$C$1000,0),MATCH("[Jefatura] "&amp;$C49,'Cronograma R. Normativo'!$C$5:$C$1000,0),MATCH("[Jefatura] "&amp;$C49,'Cronograma R. Financiero'!$C$5:$C$1000,0),MATCH("[Jefatura] "&amp;$C49,'Cronograma Asistente Técnico'!$C$5:$C$1000,0)),0))</f>
        <v/>
      </c>
      <c r="AN49" s="62">
        <f>IF(AND(AND($D49&lt;&gt;"",$V49="Macro"),$S49=MesCiclo),COUNTIFS($D$5:$D49,$D49,$S$5:$S49,MesCiclo,$V$5:$V49,"Macro"),"")</f>
        <v/>
      </c>
      <c r="AO49" s="62">
        <f>IF($AN49="","",$D49&amp;"|"&amp;$AN49)</f>
        <v/>
      </c>
      <c r="AP49" s="62">
        <f>IF(AND($D49&lt;&gt;"",$V49="Macro"),$D49&amp;"|"&amp;$C49,"")</f>
        <v/>
      </c>
      <c r="AQ49" s="62">
        <f>""</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t="n"/>
      <c r="F50" s="59" t="n"/>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IF(NOT((COUNTA($B50:$D50)+COUNTA($G50:$H50)+COUNTA($Q50))&gt;0),"",IF(AND($D50&lt;&gt;"",$V50="Macro"),IF(N($AM50)&gt;0,N(CHOOSE(MATCH($D50,ListaPuestos,0),INDEX('Cronograma R. Operacional'!$M$5:$M$1000,$AM50),INDEX('Cronograma R. Normativo'!$M$5:$M$1000,$AM50),INDEX('Cronograma R. Financiero'!$M$5:$M$1000,$AM50),INDEX('Cronograma Asistente Técnico'!$M$5:$M$1000,$AM50))),0),IF(ISNUMBER($G50),1,IF(N($W50)&gt;0,MIN(1,SUMIFS($Y$5:$Y$1000,$U$5:$U$1000,ROW(),$V$5:$V$1000,"Sub")),$Y50))))</f>
        <v/>
      </c>
      <c r="N50" s="56">
        <f>IF(OR($M50="",$V50="Sub"),"",IF($M50&gt;=1,"Completado",IF($M50&gt;0,"En curso","Pendiente")))</f>
        <v/>
      </c>
      <c r="O50" s="56">
        <f>IF(NOT((COUNTA($B50:$D50)+COUNTA($G50:$H50)+COUNTA($Q50))&gt;0),"",IF(AND(AND($D50&lt;&gt;"",$V50="Macro"),N($AM50)&gt;0),CHOOSE(MATCH($D50,ListaPuestos,0),INDEX('Cronograma R. Operacional'!$O$5:$O$1000,$AM50),INDEX('Cronograma R. Normativo'!$O$5:$O$1000,$AM50),INDEX('Cronograma R. Financiero'!$O$5:$O$1000,$AM50),INDEX('Cronograma Asistente Técnico'!$O$5:$O$1000,$AM50))&amp;"",IF(ISNUMBER($G50),IF(AND(ISNUMBER($AS50),$G50&gt;$AS50),"Cumplida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f>IF(NOT((COUNTA($B50:$D50)+COUNTA($G50:$H50)+COUNTA($Q50))&gt;0),"",IF($D50="","Propia",IF($V50&lt;&gt;"Macro","Solo se delegan macroactividades",IF(N($AM50)&gt;0,"✔ Recibida por "&amp;$D50,"⚠ "&amp;$D50&amp;" aún no la agrega"))))</f>
        <v/>
      </c>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f>IF(NOT(AND($D50&lt;&gt;"",$V50="Macro")),"",IFERROR(CHOOSE(MATCH($D50,ListaPuestos,0),MATCH("[Jefatura] "&amp;$C50,'Cronograma R. Operacional'!$C$5:$C$1000,0),MATCH("[Jefatura] "&amp;$C50,'Cronograma R. Normativo'!$C$5:$C$1000,0),MATCH("[Jefatura] "&amp;$C50,'Cronograma R. Financiero'!$C$5:$C$1000,0),MATCH("[Jefatura] "&amp;$C50,'Cronograma Asistente Técnico'!$C$5:$C$1000,0)),0))</f>
        <v/>
      </c>
      <c r="AN50" s="62">
        <f>IF(AND(AND($D50&lt;&gt;"",$V50="Macro"),$S50=MesCiclo),COUNTIFS($D$5:$D50,$D50,$S$5:$S50,MesCiclo,$V$5:$V50,"Macro"),"")</f>
        <v/>
      </c>
      <c r="AO50" s="62">
        <f>IF($AN50="","",$D50&amp;"|"&amp;$AN50)</f>
        <v/>
      </c>
      <c r="AP50" s="62">
        <f>IF(AND($D50&lt;&gt;"",$V50="Macro"),$D50&amp;"|"&amp;$C50,"")</f>
        <v/>
      </c>
      <c r="AQ50" s="62">
        <f>""</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t="n"/>
      <c r="F51" s="59" t="n"/>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IF(NOT((COUNTA($B51:$D51)+COUNTA($G51:$H51)+COUNTA($Q51))&gt;0),"",IF(AND($D51&lt;&gt;"",$V51="Macro"),IF(N($AM51)&gt;0,N(CHOOSE(MATCH($D51,ListaPuestos,0),INDEX('Cronograma R. Operacional'!$M$5:$M$1000,$AM51),INDEX('Cronograma R. Normativo'!$M$5:$M$1000,$AM51),INDEX('Cronograma R. Financiero'!$M$5:$M$1000,$AM51),INDEX('Cronograma Asistente Técnico'!$M$5:$M$1000,$AM51))),0),IF(ISNUMBER($G51),1,IF(N($W51)&gt;0,MIN(1,SUMIFS($Y$5:$Y$1000,$U$5:$U$1000,ROW(),$V$5:$V$1000,"Sub")),$Y51))))</f>
        <v/>
      </c>
      <c r="N51" s="56">
        <f>IF(OR($M51="",$V51="Sub"),"",IF($M51&gt;=1,"Completado",IF($M51&gt;0,"En curso","Pendiente")))</f>
        <v/>
      </c>
      <c r="O51" s="56">
        <f>IF(NOT((COUNTA($B51:$D51)+COUNTA($G51:$H51)+COUNTA($Q51))&gt;0),"",IF(AND(AND($D51&lt;&gt;"",$V51="Macro"),N($AM51)&gt;0),CHOOSE(MATCH($D51,ListaPuestos,0),INDEX('Cronograma R. Operacional'!$O$5:$O$1000,$AM51),INDEX('Cronograma R. Normativo'!$O$5:$O$1000,$AM51),INDEX('Cronograma R. Financiero'!$O$5:$O$1000,$AM51),INDEX('Cronograma Asistente Técnico'!$O$5:$O$1000,$AM51))&amp;"",IF(ISNUMBER($G51),IF(AND(ISNUMBER($AS51),$G51&gt;$AS51),"Cumplida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f>IF(NOT((COUNTA($B51:$D51)+COUNTA($G51:$H51)+COUNTA($Q51))&gt;0),"",IF($D51="","Propia",IF($V51&lt;&gt;"Macro","Solo se delegan macroactividades",IF(N($AM51)&gt;0,"✔ Recibida por "&amp;$D51,"⚠ "&amp;$D51&amp;" aún no la agrega"))))</f>
        <v/>
      </c>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f>IF(NOT(AND($D51&lt;&gt;"",$V51="Macro")),"",IFERROR(CHOOSE(MATCH($D51,ListaPuestos,0),MATCH("[Jefatura] "&amp;$C51,'Cronograma R. Operacional'!$C$5:$C$1000,0),MATCH("[Jefatura] "&amp;$C51,'Cronograma R. Normativo'!$C$5:$C$1000,0),MATCH("[Jefatura] "&amp;$C51,'Cronograma R. Financiero'!$C$5:$C$1000,0),MATCH("[Jefatura] "&amp;$C51,'Cronograma Asistente Técnico'!$C$5:$C$1000,0)),0))</f>
        <v/>
      </c>
      <c r="AN51" s="62">
        <f>IF(AND(AND($D51&lt;&gt;"",$V51="Macro"),$S51=MesCiclo),COUNTIFS($D$5:$D51,$D51,$S$5:$S51,MesCiclo,$V$5:$V51,"Macro"),"")</f>
        <v/>
      </c>
      <c r="AO51" s="62">
        <f>IF($AN51="","",$D51&amp;"|"&amp;$AN51)</f>
        <v/>
      </c>
      <c r="AP51" s="62">
        <f>IF(AND($D51&lt;&gt;"",$V51="Macro"),$D51&amp;"|"&amp;$C51,"")</f>
        <v/>
      </c>
      <c r="AQ51" s="62">
        <f>""</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t="n"/>
      <c r="F52" s="59" t="n"/>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IF(NOT((COUNTA($B52:$D52)+COUNTA($G52:$H52)+COUNTA($Q52))&gt;0),"",IF(AND($D52&lt;&gt;"",$V52="Macro"),IF(N($AM52)&gt;0,N(CHOOSE(MATCH($D52,ListaPuestos,0),INDEX('Cronograma R. Operacional'!$M$5:$M$1000,$AM52),INDEX('Cronograma R. Normativo'!$M$5:$M$1000,$AM52),INDEX('Cronograma R. Financiero'!$M$5:$M$1000,$AM52),INDEX('Cronograma Asistente Técnico'!$M$5:$M$1000,$AM52))),0),IF(ISNUMBER($G52),1,IF(N($W52)&gt;0,MIN(1,SUMIFS($Y$5:$Y$1000,$U$5:$U$1000,ROW(),$V$5:$V$1000,"Sub")),$Y52))))</f>
        <v/>
      </c>
      <c r="N52" s="56">
        <f>IF(OR($M52="",$V52="Sub"),"",IF($M52&gt;=1,"Completado",IF($M52&gt;0,"En curso","Pendiente")))</f>
        <v/>
      </c>
      <c r="O52" s="56">
        <f>IF(NOT((COUNTA($B52:$D52)+COUNTA($G52:$H52)+COUNTA($Q52))&gt;0),"",IF(AND(AND($D52&lt;&gt;"",$V52="Macro"),N($AM52)&gt;0),CHOOSE(MATCH($D52,ListaPuestos,0),INDEX('Cronograma R. Operacional'!$O$5:$O$1000,$AM52),INDEX('Cronograma R. Normativo'!$O$5:$O$1000,$AM52),INDEX('Cronograma R. Financiero'!$O$5:$O$1000,$AM52),INDEX('Cronograma Asistente Técnico'!$O$5:$O$1000,$AM52))&amp;"",IF(ISNUMBER($G52),IF(AND(ISNUMBER($AS52),$G52&gt;$AS52),"Cumplida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f>IF(NOT((COUNTA($B52:$D52)+COUNTA($G52:$H52)+COUNTA($Q52))&gt;0),"",IF($D52="","Propia",IF($V52&lt;&gt;"Macro","Solo se delegan macroactividades",IF(N($AM52)&gt;0,"✔ Recibida por "&amp;$D52,"⚠ "&amp;$D52&amp;" aún no la agrega"))))</f>
        <v/>
      </c>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f>IF(NOT(AND($D52&lt;&gt;"",$V52="Macro")),"",IFERROR(CHOOSE(MATCH($D52,ListaPuestos,0),MATCH("[Jefatura] "&amp;$C52,'Cronograma R. Operacional'!$C$5:$C$1000,0),MATCH("[Jefatura] "&amp;$C52,'Cronograma R. Normativo'!$C$5:$C$1000,0),MATCH("[Jefatura] "&amp;$C52,'Cronograma R. Financiero'!$C$5:$C$1000,0),MATCH("[Jefatura] "&amp;$C52,'Cronograma Asistente Técnico'!$C$5:$C$1000,0)),0))</f>
        <v/>
      </c>
      <c r="AN52" s="62">
        <f>IF(AND(AND($D52&lt;&gt;"",$V52="Macro"),$S52=MesCiclo),COUNTIFS($D$5:$D52,$D52,$S$5:$S52,MesCiclo,$V$5:$V52,"Macro"),"")</f>
        <v/>
      </c>
      <c r="AO52" s="62">
        <f>IF($AN52="","",$D52&amp;"|"&amp;$AN52)</f>
        <v/>
      </c>
      <c r="AP52" s="62">
        <f>IF(AND($D52&lt;&gt;"",$V52="Macro"),$D52&amp;"|"&amp;$C52,"")</f>
        <v/>
      </c>
      <c r="AQ52" s="62">
        <f>""</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t="n"/>
      <c r="F53" s="59" t="n"/>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IF(NOT((COUNTA($B53:$D53)+COUNTA($G53:$H53)+COUNTA($Q53))&gt;0),"",IF(AND($D53&lt;&gt;"",$V53="Macro"),IF(N($AM53)&gt;0,N(CHOOSE(MATCH($D53,ListaPuestos,0),INDEX('Cronograma R. Operacional'!$M$5:$M$1000,$AM53),INDEX('Cronograma R. Normativo'!$M$5:$M$1000,$AM53),INDEX('Cronograma R. Financiero'!$M$5:$M$1000,$AM53),INDEX('Cronograma Asistente Técnico'!$M$5:$M$1000,$AM53))),0),IF(ISNUMBER($G53),1,IF(N($W53)&gt;0,MIN(1,SUMIFS($Y$5:$Y$1000,$U$5:$U$1000,ROW(),$V$5:$V$1000,"Sub")),$Y53))))</f>
        <v/>
      </c>
      <c r="N53" s="56">
        <f>IF(OR($M53="",$V53="Sub"),"",IF($M53&gt;=1,"Completado",IF($M53&gt;0,"En curso","Pendiente")))</f>
        <v/>
      </c>
      <c r="O53" s="56">
        <f>IF(NOT((COUNTA($B53:$D53)+COUNTA($G53:$H53)+COUNTA($Q53))&gt;0),"",IF(AND(AND($D53&lt;&gt;"",$V53="Macro"),N($AM53)&gt;0),CHOOSE(MATCH($D53,ListaPuestos,0),INDEX('Cronograma R. Operacional'!$O$5:$O$1000,$AM53),INDEX('Cronograma R. Normativo'!$O$5:$O$1000,$AM53),INDEX('Cronograma R. Financiero'!$O$5:$O$1000,$AM53),INDEX('Cronograma Asistente Técnico'!$O$5:$O$1000,$AM53))&amp;"",IF(ISNUMBER($G53),IF(AND(ISNUMBER($AS53),$G53&gt;$AS53),"Cumplida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f>IF(NOT((COUNTA($B53:$D53)+COUNTA($G53:$H53)+COUNTA($Q53))&gt;0),"",IF($D53="","Propia",IF($V53&lt;&gt;"Macro","Solo se delegan macroactividades",IF(N($AM53)&gt;0,"✔ Recibida por "&amp;$D53,"⚠ "&amp;$D53&amp;" aún no la agrega"))))</f>
        <v/>
      </c>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f>IF(NOT(AND($D53&lt;&gt;"",$V53="Macro")),"",IFERROR(CHOOSE(MATCH($D53,ListaPuestos,0),MATCH("[Jefatura] "&amp;$C53,'Cronograma R. Operacional'!$C$5:$C$1000,0),MATCH("[Jefatura] "&amp;$C53,'Cronograma R. Normativo'!$C$5:$C$1000,0),MATCH("[Jefatura] "&amp;$C53,'Cronograma R. Financiero'!$C$5:$C$1000,0),MATCH("[Jefatura] "&amp;$C53,'Cronograma Asistente Técnico'!$C$5:$C$1000,0)),0))</f>
        <v/>
      </c>
      <c r="AN53" s="62">
        <f>IF(AND(AND($D53&lt;&gt;"",$V53="Macro"),$S53=MesCiclo),COUNTIFS($D$5:$D53,$D53,$S$5:$S53,MesCiclo,$V$5:$V53,"Macro"),"")</f>
        <v/>
      </c>
      <c r="AO53" s="62">
        <f>IF($AN53="","",$D53&amp;"|"&amp;$AN53)</f>
        <v/>
      </c>
      <c r="AP53" s="62">
        <f>IF(AND($D53&lt;&gt;"",$V53="Macro"),$D53&amp;"|"&amp;$C53,"")</f>
        <v/>
      </c>
      <c r="AQ53" s="62">
        <f>""</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t="n"/>
      <c r="F54" s="59" t="n"/>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IF(NOT((COUNTA($B54:$D54)+COUNTA($G54:$H54)+COUNTA($Q54))&gt;0),"",IF(AND($D54&lt;&gt;"",$V54="Macro"),IF(N($AM54)&gt;0,N(CHOOSE(MATCH($D54,ListaPuestos,0),INDEX('Cronograma R. Operacional'!$M$5:$M$1000,$AM54),INDEX('Cronograma R. Normativo'!$M$5:$M$1000,$AM54),INDEX('Cronograma R. Financiero'!$M$5:$M$1000,$AM54),INDEX('Cronograma Asistente Técnico'!$M$5:$M$1000,$AM54))),0),IF(ISNUMBER($G54),1,IF(N($W54)&gt;0,MIN(1,SUMIFS($Y$5:$Y$1000,$U$5:$U$1000,ROW(),$V$5:$V$1000,"Sub")),$Y54))))</f>
        <v/>
      </c>
      <c r="N54" s="56">
        <f>IF(OR($M54="",$V54="Sub"),"",IF($M54&gt;=1,"Completado",IF($M54&gt;0,"En curso","Pendiente")))</f>
        <v/>
      </c>
      <c r="O54" s="56">
        <f>IF(NOT((COUNTA($B54:$D54)+COUNTA($G54:$H54)+COUNTA($Q54))&gt;0),"",IF(AND(AND($D54&lt;&gt;"",$V54="Macro"),N($AM54)&gt;0),CHOOSE(MATCH($D54,ListaPuestos,0),INDEX('Cronograma R. Operacional'!$O$5:$O$1000,$AM54),INDEX('Cronograma R. Normativo'!$O$5:$O$1000,$AM54),INDEX('Cronograma R. Financiero'!$O$5:$O$1000,$AM54),INDEX('Cronograma Asistente Técnico'!$O$5:$O$1000,$AM54))&amp;"",IF(ISNUMBER($G54),IF(AND(ISNUMBER($AS54),$G54&gt;$AS54),"Cumplida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f>IF(NOT((COUNTA($B54:$D54)+COUNTA($G54:$H54)+COUNTA($Q54))&gt;0),"",IF($D54="","Propia",IF($V54&lt;&gt;"Macro","Solo se delegan macroactividades",IF(N($AM54)&gt;0,"✔ Recibida por "&amp;$D54,"⚠ "&amp;$D54&amp;" aún no la agrega"))))</f>
        <v/>
      </c>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f>IF(NOT(AND($D54&lt;&gt;"",$V54="Macro")),"",IFERROR(CHOOSE(MATCH($D54,ListaPuestos,0),MATCH("[Jefatura] "&amp;$C54,'Cronograma R. Operacional'!$C$5:$C$1000,0),MATCH("[Jefatura] "&amp;$C54,'Cronograma R. Normativo'!$C$5:$C$1000,0),MATCH("[Jefatura] "&amp;$C54,'Cronograma R. Financiero'!$C$5:$C$1000,0),MATCH("[Jefatura] "&amp;$C54,'Cronograma Asistente Técnico'!$C$5:$C$1000,0)),0))</f>
        <v/>
      </c>
      <c r="AN54" s="62">
        <f>IF(AND(AND($D54&lt;&gt;"",$V54="Macro"),$S54=MesCiclo),COUNTIFS($D$5:$D54,$D54,$S$5:$S54,MesCiclo,$V$5:$V54,"Macro"),"")</f>
        <v/>
      </c>
      <c r="AO54" s="62">
        <f>IF($AN54="","",$D54&amp;"|"&amp;$AN54)</f>
        <v/>
      </c>
      <c r="AP54" s="62">
        <f>IF(AND($D54&lt;&gt;"",$V54="Macro"),$D54&amp;"|"&amp;$C54,"")</f>
        <v/>
      </c>
      <c r="AQ54" s="62">
        <f>""</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t="n"/>
      <c r="F55" s="59" t="n"/>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IF(NOT((COUNTA($B55:$D55)+COUNTA($G55:$H55)+COUNTA($Q55))&gt;0),"",IF(AND($D55&lt;&gt;"",$V55="Macro"),IF(N($AM55)&gt;0,N(CHOOSE(MATCH($D55,ListaPuestos,0),INDEX('Cronograma R. Operacional'!$M$5:$M$1000,$AM55),INDEX('Cronograma R. Normativo'!$M$5:$M$1000,$AM55),INDEX('Cronograma R. Financiero'!$M$5:$M$1000,$AM55),INDEX('Cronograma Asistente Técnico'!$M$5:$M$1000,$AM55))),0),IF(ISNUMBER($G55),1,IF(N($W55)&gt;0,MIN(1,SUMIFS($Y$5:$Y$1000,$U$5:$U$1000,ROW(),$V$5:$V$1000,"Sub")),$Y55))))</f>
        <v/>
      </c>
      <c r="N55" s="56">
        <f>IF(OR($M55="",$V55="Sub"),"",IF($M55&gt;=1,"Completado",IF($M55&gt;0,"En curso","Pendiente")))</f>
        <v/>
      </c>
      <c r="O55" s="56">
        <f>IF(NOT((COUNTA($B55:$D55)+COUNTA($G55:$H55)+COUNTA($Q55))&gt;0),"",IF(AND(AND($D55&lt;&gt;"",$V55="Macro"),N($AM55)&gt;0),CHOOSE(MATCH($D55,ListaPuestos,0),INDEX('Cronograma R. Operacional'!$O$5:$O$1000,$AM55),INDEX('Cronograma R. Normativo'!$O$5:$O$1000,$AM55),INDEX('Cronograma R. Financiero'!$O$5:$O$1000,$AM55),INDEX('Cronograma Asistente Técnico'!$O$5:$O$1000,$AM55))&amp;"",IF(ISNUMBER($G55),IF(AND(ISNUMBER($AS55),$G55&gt;$AS55),"Cumplida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f>IF(NOT((COUNTA($B55:$D55)+COUNTA($G55:$H55)+COUNTA($Q55))&gt;0),"",IF($D55="","Propia",IF($V55&lt;&gt;"Macro","Solo se delegan macroactividades",IF(N($AM55)&gt;0,"✔ Recibida por "&amp;$D55,"⚠ "&amp;$D55&amp;" aún no la agrega"))))</f>
        <v/>
      </c>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f>IF(NOT(AND($D55&lt;&gt;"",$V55="Macro")),"",IFERROR(CHOOSE(MATCH($D55,ListaPuestos,0),MATCH("[Jefatura] "&amp;$C55,'Cronograma R. Operacional'!$C$5:$C$1000,0),MATCH("[Jefatura] "&amp;$C55,'Cronograma R. Normativo'!$C$5:$C$1000,0),MATCH("[Jefatura] "&amp;$C55,'Cronograma R. Financiero'!$C$5:$C$1000,0),MATCH("[Jefatura] "&amp;$C55,'Cronograma Asistente Técnico'!$C$5:$C$1000,0)),0))</f>
        <v/>
      </c>
      <c r="AN55" s="62">
        <f>IF(AND(AND($D55&lt;&gt;"",$V55="Macro"),$S55=MesCiclo),COUNTIFS($D$5:$D55,$D55,$S$5:$S55,MesCiclo,$V$5:$V55,"Macro"),"")</f>
        <v/>
      </c>
      <c r="AO55" s="62">
        <f>IF($AN55="","",$D55&amp;"|"&amp;$AN55)</f>
        <v/>
      </c>
      <c r="AP55" s="62">
        <f>IF(AND($D55&lt;&gt;"",$V55="Macro"),$D55&amp;"|"&amp;$C55,"")</f>
        <v/>
      </c>
      <c r="AQ55" s="62">
        <f>""</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t="n"/>
      <c r="F56" s="59" t="n"/>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IF(NOT((COUNTA($B56:$D56)+COUNTA($G56:$H56)+COUNTA($Q56))&gt;0),"",IF(AND($D56&lt;&gt;"",$V56="Macro"),IF(N($AM56)&gt;0,N(CHOOSE(MATCH($D56,ListaPuestos,0),INDEX('Cronograma R. Operacional'!$M$5:$M$1000,$AM56),INDEX('Cronograma R. Normativo'!$M$5:$M$1000,$AM56),INDEX('Cronograma R. Financiero'!$M$5:$M$1000,$AM56),INDEX('Cronograma Asistente Técnico'!$M$5:$M$1000,$AM56))),0),IF(ISNUMBER($G56),1,IF(N($W56)&gt;0,MIN(1,SUMIFS($Y$5:$Y$1000,$U$5:$U$1000,ROW(),$V$5:$V$1000,"Sub")),$Y56))))</f>
        <v/>
      </c>
      <c r="N56" s="56">
        <f>IF(OR($M56="",$V56="Sub"),"",IF($M56&gt;=1,"Completado",IF($M56&gt;0,"En curso","Pendiente")))</f>
        <v/>
      </c>
      <c r="O56" s="56">
        <f>IF(NOT((COUNTA($B56:$D56)+COUNTA($G56:$H56)+COUNTA($Q56))&gt;0),"",IF(AND(AND($D56&lt;&gt;"",$V56="Macro"),N($AM56)&gt;0),CHOOSE(MATCH($D56,ListaPuestos,0),INDEX('Cronograma R. Operacional'!$O$5:$O$1000,$AM56),INDEX('Cronograma R. Normativo'!$O$5:$O$1000,$AM56),INDEX('Cronograma R. Financiero'!$O$5:$O$1000,$AM56),INDEX('Cronograma Asistente Técnico'!$O$5:$O$1000,$AM56))&amp;"",IF(ISNUMBER($G56),IF(AND(ISNUMBER($AS56),$G56&gt;$AS56),"Cumplida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f>IF(NOT((COUNTA($B56:$D56)+COUNTA($G56:$H56)+COUNTA($Q56))&gt;0),"",IF($D56="","Propia",IF($V56&lt;&gt;"Macro","Solo se delegan macroactividades",IF(N($AM56)&gt;0,"✔ Recibida por "&amp;$D56,"⚠ "&amp;$D56&amp;" aún no la agrega"))))</f>
        <v/>
      </c>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f>IF(NOT(AND($D56&lt;&gt;"",$V56="Macro")),"",IFERROR(CHOOSE(MATCH($D56,ListaPuestos,0),MATCH("[Jefatura] "&amp;$C56,'Cronograma R. Operacional'!$C$5:$C$1000,0),MATCH("[Jefatura] "&amp;$C56,'Cronograma R. Normativo'!$C$5:$C$1000,0),MATCH("[Jefatura] "&amp;$C56,'Cronograma R. Financiero'!$C$5:$C$1000,0),MATCH("[Jefatura] "&amp;$C56,'Cronograma Asistente Técnico'!$C$5:$C$1000,0)),0))</f>
        <v/>
      </c>
      <c r="AN56" s="62">
        <f>IF(AND(AND($D56&lt;&gt;"",$V56="Macro"),$S56=MesCiclo),COUNTIFS($D$5:$D56,$D56,$S$5:$S56,MesCiclo,$V$5:$V56,"Macro"),"")</f>
        <v/>
      </c>
      <c r="AO56" s="62">
        <f>IF($AN56="","",$D56&amp;"|"&amp;$AN56)</f>
        <v/>
      </c>
      <c r="AP56" s="62">
        <f>IF(AND($D56&lt;&gt;"",$V56="Macro"),$D56&amp;"|"&amp;$C56,"")</f>
        <v/>
      </c>
      <c r="AQ56" s="62">
        <f>""</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t="n"/>
      <c r="F57" s="59" t="n"/>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IF(NOT((COUNTA($B57:$D57)+COUNTA($G57:$H57)+COUNTA($Q57))&gt;0),"",IF(AND($D57&lt;&gt;"",$V57="Macro"),IF(N($AM57)&gt;0,N(CHOOSE(MATCH($D57,ListaPuestos,0),INDEX('Cronograma R. Operacional'!$M$5:$M$1000,$AM57),INDEX('Cronograma R. Normativo'!$M$5:$M$1000,$AM57),INDEX('Cronograma R. Financiero'!$M$5:$M$1000,$AM57),INDEX('Cronograma Asistente Técnico'!$M$5:$M$1000,$AM57))),0),IF(ISNUMBER($G57),1,IF(N($W57)&gt;0,MIN(1,SUMIFS($Y$5:$Y$1000,$U$5:$U$1000,ROW(),$V$5:$V$1000,"Sub")),$Y57))))</f>
        <v/>
      </c>
      <c r="N57" s="56">
        <f>IF(OR($M57="",$V57="Sub"),"",IF($M57&gt;=1,"Completado",IF($M57&gt;0,"En curso","Pendiente")))</f>
        <v/>
      </c>
      <c r="O57" s="56">
        <f>IF(NOT((COUNTA($B57:$D57)+COUNTA($G57:$H57)+COUNTA($Q57))&gt;0),"",IF(AND(AND($D57&lt;&gt;"",$V57="Macro"),N($AM57)&gt;0),CHOOSE(MATCH($D57,ListaPuestos,0),INDEX('Cronograma R. Operacional'!$O$5:$O$1000,$AM57),INDEX('Cronograma R. Normativo'!$O$5:$O$1000,$AM57),INDEX('Cronograma R. Financiero'!$O$5:$O$1000,$AM57),INDEX('Cronograma Asistente Técnico'!$O$5:$O$1000,$AM57))&amp;"",IF(ISNUMBER($G57),IF(AND(ISNUMBER($AS57),$G57&gt;$AS57),"Cumplida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f>IF(NOT((COUNTA($B57:$D57)+COUNTA($G57:$H57)+COUNTA($Q57))&gt;0),"",IF($D57="","Propia",IF($V57&lt;&gt;"Macro","Solo se delegan macroactividades",IF(N($AM57)&gt;0,"✔ Recibida por "&amp;$D57,"⚠ "&amp;$D57&amp;" aún no la agrega"))))</f>
        <v/>
      </c>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f>IF(NOT(AND($D57&lt;&gt;"",$V57="Macro")),"",IFERROR(CHOOSE(MATCH($D57,ListaPuestos,0),MATCH("[Jefatura] "&amp;$C57,'Cronograma R. Operacional'!$C$5:$C$1000,0),MATCH("[Jefatura] "&amp;$C57,'Cronograma R. Normativo'!$C$5:$C$1000,0),MATCH("[Jefatura] "&amp;$C57,'Cronograma R. Financiero'!$C$5:$C$1000,0),MATCH("[Jefatura] "&amp;$C57,'Cronograma Asistente Técnico'!$C$5:$C$1000,0)),0))</f>
        <v/>
      </c>
      <c r="AN57" s="62">
        <f>IF(AND(AND($D57&lt;&gt;"",$V57="Macro"),$S57=MesCiclo),COUNTIFS($D$5:$D57,$D57,$S$5:$S57,MesCiclo,$V$5:$V57,"Macro"),"")</f>
        <v/>
      </c>
      <c r="AO57" s="62">
        <f>IF($AN57="","",$D57&amp;"|"&amp;$AN57)</f>
        <v/>
      </c>
      <c r="AP57" s="62">
        <f>IF(AND($D57&lt;&gt;"",$V57="Macro"),$D57&amp;"|"&amp;$C57,"")</f>
        <v/>
      </c>
      <c r="AQ57" s="62">
        <f>""</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t="n"/>
      <c r="F58" s="59" t="n"/>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IF(NOT((COUNTA($B58:$D58)+COUNTA($G58:$H58)+COUNTA($Q58))&gt;0),"",IF(AND($D58&lt;&gt;"",$V58="Macro"),IF(N($AM58)&gt;0,N(CHOOSE(MATCH($D58,ListaPuestos,0),INDEX('Cronograma R. Operacional'!$M$5:$M$1000,$AM58),INDEX('Cronograma R. Normativo'!$M$5:$M$1000,$AM58),INDEX('Cronograma R. Financiero'!$M$5:$M$1000,$AM58),INDEX('Cronograma Asistente Técnico'!$M$5:$M$1000,$AM58))),0),IF(ISNUMBER($G58),1,IF(N($W58)&gt;0,MIN(1,SUMIFS($Y$5:$Y$1000,$U$5:$U$1000,ROW(),$V$5:$V$1000,"Sub")),$Y58))))</f>
        <v/>
      </c>
      <c r="N58" s="56">
        <f>IF(OR($M58="",$V58="Sub"),"",IF($M58&gt;=1,"Completado",IF($M58&gt;0,"En curso","Pendiente")))</f>
        <v/>
      </c>
      <c r="O58" s="56">
        <f>IF(NOT((COUNTA($B58:$D58)+COUNTA($G58:$H58)+COUNTA($Q58))&gt;0),"",IF(AND(AND($D58&lt;&gt;"",$V58="Macro"),N($AM58)&gt;0),CHOOSE(MATCH($D58,ListaPuestos,0),INDEX('Cronograma R. Operacional'!$O$5:$O$1000,$AM58),INDEX('Cronograma R. Normativo'!$O$5:$O$1000,$AM58),INDEX('Cronograma R. Financiero'!$O$5:$O$1000,$AM58),INDEX('Cronograma Asistente Técnico'!$O$5:$O$1000,$AM58))&amp;"",IF(ISNUMBER($G58),IF(AND(ISNUMBER($AS58),$G58&gt;$AS58),"Cumplida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f>IF(NOT((COUNTA($B58:$D58)+COUNTA($G58:$H58)+COUNTA($Q58))&gt;0),"",IF($D58="","Propia",IF($V58&lt;&gt;"Macro","Solo se delegan macroactividades",IF(N($AM58)&gt;0,"✔ Recibida por "&amp;$D58,"⚠ "&amp;$D58&amp;" aún no la agrega"))))</f>
        <v/>
      </c>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f>IF(NOT(AND($D58&lt;&gt;"",$V58="Macro")),"",IFERROR(CHOOSE(MATCH($D58,ListaPuestos,0),MATCH("[Jefatura] "&amp;$C58,'Cronograma R. Operacional'!$C$5:$C$1000,0),MATCH("[Jefatura] "&amp;$C58,'Cronograma R. Normativo'!$C$5:$C$1000,0),MATCH("[Jefatura] "&amp;$C58,'Cronograma R. Financiero'!$C$5:$C$1000,0),MATCH("[Jefatura] "&amp;$C58,'Cronograma Asistente Técnico'!$C$5:$C$1000,0)),0))</f>
        <v/>
      </c>
      <c r="AN58" s="62">
        <f>IF(AND(AND($D58&lt;&gt;"",$V58="Macro"),$S58=MesCiclo),COUNTIFS($D$5:$D58,$D58,$S$5:$S58,MesCiclo,$V$5:$V58,"Macro"),"")</f>
        <v/>
      </c>
      <c r="AO58" s="62">
        <f>IF($AN58="","",$D58&amp;"|"&amp;$AN58)</f>
        <v/>
      </c>
      <c r="AP58" s="62">
        <f>IF(AND($D58&lt;&gt;"",$V58="Macro"),$D58&amp;"|"&amp;$C58,"")</f>
        <v/>
      </c>
      <c r="AQ58" s="62">
        <f>""</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t="n"/>
      <c r="F59" s="59" t="n"/>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IF(NOT((COUNTA($B59:$D59)+COUNTA($G59:$H59)+COUNTA($Q59))&gt;0),"",IF(AND($D59&lt;&gt;"",$V59="Macro"),IF(N($AM59)&gt;0,N(CHOOSE(MATCH($D59,ListaPuestos,0),INDEX('Cronograma R. Operacional'!$M$5:$M$1000,$AM59),INDEX('Cronograma R. Normativo'!$M$5:$M$1000,$AM59),INDEX('Cronograma R. Financiero'!$M$5:$M$1000,$AM59),INDEX('Cronograma Asistente Técnico'!$M$5:$M$1000,$AM59))),0),IF(ISNUMBER($G59),1,IF(N($W59)&gt;0,MIN(1,SUMIFS($Y$5:$Y$1000,$U$5:$U$1000,ROW(),$V$5:$V$1000,"Sub")),$Y59))))</f>
        <v/>
      </c>
      <c r="N59" s="56">
        <f>IF(OR($M59="",$V59="Sub"),"",IF($M59&gt;=1,"Completado",IF($M59&gt;0,"En curso","Pendiente")))</f>
        <v/>
      </c>
      <c r="O59" s="56">
        <f>IF(NOT((COUNTA($B59:$D59)+COUNTA($G59:$H59)+COUNTA($Q59))&gt;0),"",IF(AND(AND($D59&lt;&gt;"",$V59="Macro"),N($AM59)&gt;0),CHOOSE(MATCH($D59,ListaPuestos,0),INDEX('Cronograma R. Operacional'!$O$5:$O$1000,$AM59),INDEX('Cronograma R. Normativo'!$O$5:$O$1000,$AM59),INDEX('Cronograma R. Financiero'!$O$5:$O$1000,$AM59),INDEX('Cronograma Asistente Técnico'!$O$5:$O$1000,$AM59))&amp;"",IF(ISNUMBER($G59),IF(AND(ISNUMBER($AS59),$G59&gt;$AS59),"Cumplida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f>IF(NOT((COUNTA($B59:$D59)+COUNTA($G59:$H59)+COUNTA($Q59))&gt;0),"",IF($D59="","Propia",IF($V59&lt;&gt;"Macro","Solo se delegan macroactividades",IF(N($AM59)&gt;0,"✔ Recibida por "&amp;$D59,"⚠ "&amp;$D59&amp;" aún no la agrega"))))</f>
        <v/>
      </c>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f>IF(NOT(AND($D59&lt;&gt;"",$V59="Macro")),"",IFERROR(CHOOSE(MATCH($D59,ListaPuestos,0),MATCH("[Jefatura] "&amp;$C59,'Cronograma R. Operacional'!$C$5:$C$1000,0),MATCH("[Jefatura] "&amp;$C59,'Cronograma R. Normativo'!$C$5:$C$1000,0),MATCH("[Jefatura] "&amp;$C59,'Cronograma R. Financiero'!$C$5:$C$1000,0),MATCH("[Jefatura] "&amp;$C59,'Cronograma Asistente Técnico'!$C$5:$C$1000,0)),0))</f>
        <v/>
      </c>
      <c r="AN59" s="62">
        <f>IF(AND(AND($D59&lt;&gt;"",$V59="Macro"),$S59=MesCiclo),COUNTIFS($D$5:$D59,$D59,$S$5:$S59,MesCiclo,$V$5:$V59,"Macro"),"")</f>
        <v/>
      </c>
      <c r="AO59" s="62">
        <f>IF($AN59="","",$D59&amp;"|"&amp;$AN59)</f>
        <v/>
      </c>
      <c r="AP59" s="62">
        <f>IF(AND($D59&lt;&gt;"",$V59="Macro"),$D59&amp;"|"&amp;$C59,"")</f>
        <v/>
      </c>
      <c r="AQ59" s="62">
        <f>""</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t="n"/>
      <c r="F60" s="59" t="n"/>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IF(NOT((COUNTA($B60:$D60)+COUNTA($G60:$H60)+COUNTA($Q60))&gt;0),"",IF(AND($D60&lt;&gt;"",$V60="Macro"),IF(N($AM60)&gt;0,N(CHOOSE(MATCH($D60,ListaPuestos,0),INDEX('Cronograma R. Operacional'!$M$5:$M$1000,$AM60),INDEX('Cronograma R. Normativo'!$M$5:$M$1000,$AM60),INDEX('Cronograma R. Financiero'!$M$5:$M$1000,$AM60),INDEX('Cronograma Asistente Técnico'!$M$5:$M$1000,$AM60))),0),IF(ISNUMBER($G60),1,IF(N($W60)&gt;0,MIN(1,SUMIFS($Y$5:$Y$1000,$U$5:$U$1000,ROW(),$V$5:$V$1000,"Sub")),$Y60))))</f>
        <v/>
      </c>
      <c r="N60" s="56">
        <f>IF(OR($M60="",$V60="Sub"),"",IF($M60&gt;=1,"Completado",IF($M60&gt;0,"En curso","Pendiente")))</f>
        <v/>
      </c>
      <c r="O60" s="56">
        <f>IF(NOT((COUNTA($B60:$D60)+COUNTA($G60:$H60)+COUNTA($Q60))&gt;0),"",IF(AND(AND($D60&lt;&gt;"",$V60="Macro"),N($AM60)&gt;0),CHOOSE(MATCH($D60,ListaPuestos,0),INDEX('Cronograma R. Operacional'!$O$5:$O$1000,$AM60),INDEX('Cronograma R. Normativo'!$O$5:$O$1000,$AM60),INDEX('Cronograma R. Financiero'!$O$5:$O$1000,$AM60),INDEX('Cronograma Asistente Técnico'!$O$5:$O$1000,$AM60))&amp;"",IF(ISNUMBER($G60),IF(AND(ISNUMBER($AS60),$G60&gt;$AS60),"Cumplida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f>IF(NOT((COUNTA($B60:$D60)+COUNTA($G60:$H60)+COUNTA($Q60))&gt;0),"",IF($D60="","Propia",IF($V60&lt;&gt;"Macro","Solo se delegan macroactividades",IF(N($AM60)&gt;0,"✔ Recibida por "&amp;$D60,"⚠ "&amp;$D60&amp;" aún no la agrega"))))</f>
        <v/>
      </c>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f>IF(NOT(AND($D60&lt;&gt;"",$V60="Macro")),"",IFERROR(CHOOSE(MATCH($D60,ListaPuestos,0),MATCH("[Jefatura] "&amp;$C60,'Cronograma R. Operacional'!$C$5:$C$1000,0),MATCH("[Jefatura] "&amp;$C60,'Cronograma R. Normativo'!$C$5:$C$1000,0),MATCH("[Jefatura] "&amp;$C60,'Cronograma R. Financiero'!$C$5:$C$1000,0),MATCH("[Jefatura] "&amp;$C60,'Cronograma Asistente Técnico'!$C$5:$C$1000,0)),0))</f>
        <v/>
      </c>
      <c r="AN60" s="62">
        <f>IF(AND(AND($D60&lt;&gt;"",$V60="Macro"),$S60=MesCiclo),COUNTIFS($D$5:$D60,$D60,$S$5:$S60,MesCiclo,$V$5:$V60,"Macro"),"")</f>
        <v/>
      </c>
      <c r="AO60" s="62">
        <f>IF($AN60="","",$D60&amp;"|"&amp;$AN60)</f>
        <v/>
      </c>
      <c r="AP60" s="62">
        <f>IF(AND($D60&lt;&gt;"",$V60="Macro"),$D60&amp;"|"&amp;$C60,"")</f>
        <v/>
      </c>
      <c r="AQ60" s="62">
        <f>""</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t="n"/>
      <c r="F61" s="59" t="n"/>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IF(NOT((COUNTA($B61:$D61)+COUNTA($G61:$H61)+COUNTA($Q61))&gt;0),"",IF(AND($D61&lt;&gt;"",$V61="Macro"),IF(N($AM61)&gt;0,N(CHOOSE(MATCH($D61,ListaPuestos,0),INDEX('Cronograma R. Operacional'!$M$5:$M$1000,$AM61),INDEX('Cronograma R. Normativo'!$M$5:$M$1000,$AM61),INDEX('Cronograma R. Financiero'!$M$5:$M$1000,$AM61),INDEX('Cronograma Asistente Técnico'!$M$5:$M$1000,$AM61))),0),IF(ISNUMBER($G61),1,IF(N($W61)&gt;0,MIN(1,SUMIFS($Y$5:$Y$1000,$U$5:$U$1000,ROW(),$V$5:$V$1000,"Sub")),$Y61))))</f>
        <v/>
      </c>
      <c r="N61" s="56">
        <f>IF(OR($M61="",$V61="Sub"),"",IF($M61&gt;=1,"Completado",IF($M61&gt;0,"En curso","Pendiente")))</f>
        <v/>
      </c>
      <c r="O61" s="56">
        <f>IF(NOT((COUNTA($B61:$D61)+COUNTA($G61:$H61)+COUNTA($Q61))&gt;0),"",IF(AND(AND($D61&lt;&gt;"",$V61="Macro"),N($AM61)&gt;0),CHOOSE(MATCH($D61,ListaPuestos,0),INDEX('Cronograma R. Operacional'!$O$5:$O$1000,$AM61),INDEX('Cronograma R. Normativo'!$O$5:$O$1000,$AM61),INDEX('Cronograma R. Financiero'!$O$5:$O$1000,$AM61),INDEX('Cronograma Asistente Técnico'!$O$5:$O$1000,$AM61))&amp;"",IF(ISNUMBER($G61),IF(AND(ISNUMBER($AS61),$G61&gt;$AS61),"Cumplida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f>IF(NOT((COUNTA($B61:$D61)+COUNTA($G61:$H61)+COUNTA($Q61))&gt;0),"",IF($D61="","Propia",IF($V61&lt;&gt;"Macro","Solo se delegan macroactividades",IF(N($AM61)&gt;0,"✔ Recibida por "&amp;$D61,"⚠ "&amp;$D61&amp;" aún no la agrega"))))</f>
        <v/>
      </c>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f>IF(NOT(AND($D61&lt;&gt;"",$V61="Macro")),"",IFERROR(CHOOSE(MATCH($D61,ListaPuestos,0),MATCH("[Jefatura] "&amp;$C61,'Cronograma R. Operacional'!$C$5:$C$1000,0),MATCH("[Jefatura] "&amp;$C61,'Cronograma R. Normativo'!$C$5:$C$1000,0),MATCH("[Jefatura] "&amp;$C61,'Cronograma R. Financiero'!$C$5:$C$1000,0),MATCH("[Jefatura] "&amp;$C61,'Cronograma Asistente Técnico'!$C$5:$C$1000,0)),0))</f>
        <v/>
      </c>
      <c r="AN61" s="62">
        <f>IF(AND(AND($D61&lt;&gt;"",$V61="Macro"),$S61=MesCiclo),COUNTIFS($D$5:$D61,$D61,$S$5:$S61,MesCiclo,$V$5:$V61,"Macro"),"")</f>
        <v/>
      </c>
      <c r="AO61" s="62">
        <f>IF($AN61="","",$D61&amp;"|"&amp;$AN61)</f>
        <v/>
      </c>
      <c r="AP61" s="62">
        <f>IF(AND($D61&lt;&gt;"",$V61="Macro"),$D61&amp;"|"&amp;$C61,"")</f>
        <v/>
      </c>
      <c r="AQ61" s="62">
        <f>""</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t="n"/>
      <c r="F62" s="59" t="n"/>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IF(NOT((COUNTA($B62:$D62)+COUNTA($G62:$H62)+COUNTA($Q62))&gt;0),"",IF(AND($D62&lt;&gt;"",$V62="Macro"),IF(N($AM62)&gt;0,N(CHOOSE(MATCH($D62,ListaPuestos,0),INDEX('Cronograma R. Operacional'!$M$5:$M$1000,$AM62),INDEX('Cronograma R. Normativo'!$M$5:$M$1000,$AM62),INDEX('Cronograma R. Financiero'!$M$5:$M$1000,$AM62),INDEX('Cronograma Asistente Técnico'!$M$5:$M$1000,$AM62))),0),IF(ISNUMBER($G62),1,IF(N($W62)&gt;0,MIN(1,SUMIFS($Y$5:$Y$1000,$U$5:$U$1000,ROW(),$V$5:$V$1000,"Sub")),$Y62))))</f>
        <v/>
      </c>
      <c r="N62" s="56">
        <f>IF(OR($M62="",$V62="Sub"),"",IF($M62&gt;=1,"Completado",IF($M62&gt;0,"En curso","Pendiente")))</f>
        <v/>
      </c>
      <c r="O62" s="56">
        <f>IF(NOT((COUNTA($B62:$D62)+COUNTA($G62:$H62)+COUNTA($Q62))&gt;0),"",IF(AND(AND($D62&lt;&gt;"",$V62="Macro"),N($AM62)&gt;0),CHOOSE(MATCH($D62,ListaPuestos,0),INDEX('Cronograma R. Operacional'!$O$5:$O$1000,$AM62),INDEX('Cronograma R. Normativo'!$O$5:$O$1000,$AM62),INDEX('Cronograma R. Financiero'!$O$5:$O$1000,$AM62),INDEX('Cronograma Asistente Técnico'!$O$5:$O$1000,$AM62))&amp;"",IF(ISNUMBER($G62),IF(AND(ISNUMBER($AS62),$G62&gt;$AS62),"Cumplida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f>IF(NOT((COUNTA($B62:$D62)+COUNTA($G62:$H62)+COUNTA($Q62))&gt;0),"",IF($D62="","Propia",IF($V62&lt;&gt;"Macro","Solo se delegan macroactividades",IF(N($AM62)&gt;0,"✔ Recibida por "&amp;$D62,"⚠ "&amp;$D62&amp;" aún no la agrega"))))</f>
        <v/>
      </c>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f>IF(NOT(AND($D62&lt;&gt;"",$V62="Macro")),"",IFERROR(CHOOSE(MATCH($D62,ListaPuestos,0),MATCH("[Jefatura] "&amp;$C62,'Cronograma R. Operacional'!$C$5:$C$1000,0),MATCH("[Jefatura] "&amp;$C62,'Cronograma R. Normativo'!$C$5:$C$1000,0),MATCH("[Jefatura] "&amp;$C62,'Cronograma R. Financiero'!$C$5:$C$1000,0),MATCH("[Jefatura] "&amp;$C62,'Cronograma Asistente Técnico'!$C$5:$C$1000,0)),0))</f>
        <v/>
      </c>
      <c r="AN62" s="62">
        <f>IF(AND(AND($D62&lt;&gt;"",$V62="Macro"),$S62=MesCiclo),COUNTIFS($D$5:$D62,$D62,$S$5:$S62,MesCiclo,$V$5:$V62,"Macro"),"")</f>
        <v/>
      </c>
      <c r="AO62" s="62">
        <f>IF($AN62="","",$D62&amp;"|"&amp;$AN62)</f>
        <v/>
      </c>
      <c r="AP62" s="62">
        <f>IF(AND($D62&lt;&gt;"",$V62="Macro"),$D62&amp;"|"&amp;$C62,"")</f>
        <v/>
      </c>
      <c r="AQ62" s="62">
        <f>""</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t="n"/>
      <c r="F63" s="59" t="n"/>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IF(NOT((COUNTA($B63:$D63)+COUNTA($G63:$H63)+COUNTA($Q63))&gt;0),"",IF(AND($D63&lt;&gt;"",$V63="Macro"),IF(N($AM63)&gt;0,N(CHOOSE(MATCH($D63,ListaPuestos,0),INDEX('Cronograma R. Operacional'!$M$5:$M$1000,$AM63),INDEX('Cronograma R. Normativo'!$M$5:$M$1000,$AM63),INDEX('Cronograma R. Financiero'!$M$5:$M$1000,$AM63),INDEX('Cronograma Asistente Técnico'!$M$5:$M$1000,$AM63))),0),IF(ISNUMBER($G63),1,IF(N($W63)&gt;0,MIN(1,SUMIFS($Y$5:$Y$1000,$U$5:$U$1000,ROW(),$V$5:$V$1000,"Sub")),$Y63))))</f>
        <v/>
      </c>
      <c r="N63" s="56">
        <f>IF(OR($M63="",$V63="Sub"),"",IF($M63&gt;=1,"Completado",IF($M63&gt;0,"En curso","Pendiente")))</f>
        <v/>
      </c>
      <c r="O63" s="56">
        <f>IF(NOT((COUNTA($B63:$D63)+COUNTA($G63:$H63)+COUNTA($Q63))&gt;0),"",IF(AND(AND($D63&lt;&gt;"",$V63="Macro"),N($AM63)&gt;0),CHOOSE(MATCH($D63,ListaPuestos,0),INDEX('Cronograma R. Operacional'!$O$5:$O$1000,$AM63),INDEX('Cronograma R. Normativo'!$O$5:$O$1000,$AM63),INDEX('Cronograma R. Financiero'!$O$5:$O$1000,$AM63),INDEX('Cronograma Asistente Técnico'!$O$5:$O$1000,$AM63))&amp;"",IF(ISNUMBER($G63),IF(AND(ISNUMBER($AS63),$G63&gt;$AS63),"Cumplida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f>IF(NOT((COUNTA($B63:$D63)+COUNTA($G63:$H63)+COUNTA($Q63))&gt;0),"",IF($D63="","Propia",IF($V63&lt;&gt;"Macro","Solo se delegan macroactividades",IF(N($AM63)&gt;0,"✔ Recibida por "&amp;$D63,"⚠ "&amp;$D63&amp;" aún no la agrega"))))</f>
        <v/>
      </c>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f>IF(NOT(AND($D63&lt;&gt;"",$V63="Macro")),"",IFERROR(CHOOSE(MATCH($D63,ListaPuestos,0),MATCH("[Jefatura] "&amp;$C63,'Cronograma R. Operacional'!$C$5:$C$1000,0),MATCH("[Jefatura] "&amp;$C63,'Cronograma R. Normativo'!$C$5:$C$1000,0),MATCH("[Jefatura] "&amp;$C63,'Cronograma R. Financiero'!$C$5:$C$1000,0),MATCH("[Jefatura] "&amp;$C63,'Cronograma Asistente Técnico'!$C$5:$C$1000,0)),0))</f>
        <v/>
      </c>
      <c r="AN63" s="62">
        <f>IF(AND(AND($D63&lt;&gt;"",$V63="Macro"),$S63=MesCiclo),COUNTIFS($D$5:$D63,$D63,$S$5:$S63,MesCiclo,$V$5:$V63,"Macro"),"")</f>
        <v/>
      </c>
      <c r="AO63" s="62">
        <f>IF($AN63="","",$D63&amp;"|"&amp;$AN63)</f>
        <v/>
      </c>
      <c r="AP63" s="62">
        <f>IF(AND($D63&lt;&gt;"",$V63="Macro"),$D63&amp;"|"&amp;$C63,"")</f>
        <v/>
      </c>
      <c r="AQ63" s="62">
        <f>""</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t="n"/>
      <c r="F64" s="59" t="n"/>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IF(NOT((COUNTA($B64:$D64)+COUNTA($G64:$H64)+COUNTA($Q64))&gt;0),"",IF(AND($D64&lt;&gt;"",$V64="Macro"),IF(N($AM64)&gt;0,N(CHOOSE(MATCH($D64,ListaPuestos,0),INDEX('Cronograma R. Operacional'!$M$5:$M$1000,$AM64),INDEX('Cronograma R. Normativo'!$M$5:$M$1000,$AM64),INDEX('Cronograma R. Financiero'!$M$5:$M$1000,$AM64),INDEX('Cronograma Asistente Técnico'!$M$5:$M$1000,$AM64))),0),IF(ISNUMBER($G64),1,IF(N($W64)&gt;0,MIN(1,SUMIFS($Y$5:$Y$1000,$U$5:$U$1000,ROW(),$V$5:$V$1000,"Sub")),$Y64))))</f>
        <v/>
      </c>
      <c r="N64" s="56">
        <f>IF(OR($M64="",$V64="Sub"),"",IF($M64&gt;=1,"Completado",IF($M64&gt;0,"En curso","Pendiente")))</f>
        <v/>
      </c>
      <c r="O64" s="56">
        <f>IF(NOT((COUNTA($B64:$D64)+COUNTA($G64:$H64)+COUNTA($Q64))&gt;0),"",IF(AND(AND($D64&lt;&gt;"",$V64="Macro"),N($AM64)&gt;0),CHOOSE(MATCH($D64,ListaPuestos,0),INDEX('Cronograma R. Operacional'!$O$5:$O$1000,$AM64),INDEX('Cronograma R. Normativo'!$O$5:$O$1000,$AM64),INDEX('Cronograma R. Financiero'!$O$5:$O$1000,$AM64),INDEX('Cronograma Asistente Técnico'!$O$5:$O$1000,$AM64))&amp;"",IF(ISNUMBER($G64),IF(AND(ISNUMBER($AS64),$G64&gt;$AS64),"Cumplida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f>IF(NOT((COUNTA($B64:$D64)+COUNTA($G64:$H64)+COUNTA($Q64))&gt;0),"",IF($D64="","Propia",IF($V64&lt;&gt;"Macro","Solo se delegan macroactividades",IF(N($AM64)&gt;0,"✔ Recibida por "&amp;$D64,"⚠ "&amp;$D64&amp;" aún no la agrega"))))</f>
        <v/>
      </c>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f>IF(NOT(AND($D64&lt;&gt;"",$V64="Macro")),"",IFERROR(CHOOSE(MATCH($D64,ListaPuestos,0),MATCH("[Jefatura] "&amp;$C64,'Cronograma R. Operacional'!$C$5:$C$1000,0),MATCH("[Jefatura] "&amp;$C64,'Cronograma R. Normativo'!$C$5:$C$1000,0),MATCH("[Jefatura] "&amp;$C64,'Cronograma R. Financiero'!$C$5:$C$1000,0),MATCH("[Jefatura] "&amp;$C64,'Cronograma Asistente Técnico'!$C$5:$C$1000,0)),0))</f>
        <v/>
      </c>
      <c r="AN64" s="62">
        <f>IF(AND(AND($D64&lt;&gt;"",$V64="Macro"),$S64=MesCiclo),COUNTIFS($D$5:$D64,$D64,$S$5:$S64,MesCiclo,$V$5:$V64,"Macro"),"")</f>
        <v/>
      </c>
      <c r="AO64" s="62">
        <f>IF($AN64="","",$D64&amp;"|"&amp;$AN64)</f>
        <v/>
      </c>
      <c r="AP64" s="62">
        <f>IF(AND($D64&lt;&gt;"",$V64="Macro"),$D64&amp;"|"&amp;$C64,"")</f>
        <v/>
      </c>
      <c r="AQ64" s="62">
        <f>""</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t="n"/>
      <c r="F65" s="59" t="n"/>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IF(NOT((COUNTA($B65:$D65)+COUNTA($G65:$H65)+COUNTA($Q65))&gt;0),"",IF(AND($D65&lt;&gt;"",$V65="Macro"),IF(N($AM65)&gt;0,N(CHOOSE(MATCH($D65,ListaPuestos,0),INDEX('Cronograma R. Operacional'!$M$5:$M$1000,$AM65),INDEX('Cronograma R. Normativo'!$M$5:$M$1000,$AM65),INDEX('Cronograma R. Financiero'!$M$5:$M$1000,$AM65),INDEX('Cronograma Asistente Técnico'!$M$5:$M$1000,$AM65))),0),IF(ISNUMBER($G65),1,IF(N($W65)&gt;0,MIN(1,SUMIFS($Y$5:$Y$1000,$U$5:$U$1000,ROW(),$V$5:$V$1000,"Sub")),$Y65))))</f>
        <v/>
      </c>
      <c r="N65" s="56">
        <f>IF(OR($M65="",$V65="Sub"),"",IF($M65&gt;=1,"Completado",IF($M65&gt;0,"En curso","Pendiente")))</f>
        <v/>
      </c>
      <c r="O65" s="56">
        <f>IF(NOT((COUNTA($B65:$D65)+COUNTA($G65:$H65)+COUNTA($Q65))&gt;0),"",IF(AND(AND($D65&lt;&gt;"",$V65="Macro"),N($AM65)&gt;0),CHOOSE(MATCH($D65,ListaPuestos,0),INDEX('Cronograma R. Operacional'!$O$5:$O$1000,$AM65),INDEX('Cronograma R. Normativo'!$O$5:$O$1000,$AM65),INDEX('Cronograma R. Financiero'!$O$5:$O$1000,$AM65),INDEX('Cronograma Asistente Técnico'!$O$5:$O$1000,$AM65))&amp;"",IF(ISNUMBER($G65),IF(AND(ISNUMBER($AS65),$G65&gt;$AS65),"Cumplida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f>IF(NOT((COUNTA($B65:$D65)+COUNTA($G65:$H65)+COUNTA($Q65))&gt;0),"",IF($D65="","Propia",IF($V65&lt;&gt;"Macro","Solo se delegan macroactividades",IF(N($AM65)&gt;0,"✔ Recibida por "&amp;$D65,"⚠ "&amp;$D65&amp;" aún no la agrega"))))</f>
        <v/>
      </c>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f>IF(NOT(AND($D65&lt;&gt;"",$V65="Macro")),"",IFERROR(CHOOSE(MATCH($D65,ListaPuestos,0),MATCH("[Jefatura] "&amp;$C65,'Cronograma R. Operacional'!$C$5:$C$1000,0),MATCH("[Jefatura] "&amp;$C65,'Cronograma R. Normativo'!$C$5:$C$1000,0),MATCH("[Jefatura] "&amp;$C65,'Cronograma R. Financiero'!$C$5:$C$1000,0),MATCH("[Jefatura] "&amp;$C65,'Cronograma Asistente Técnico'!$C$5:$C$1000,0)),0))</f>
        <v/>
      </c>
      <c r="AN65" s="62">
        <f>IF(AND(AND($D65&lt;&gt;"",$V65="Macro"),$S65=MesCiclo),COUNTIFS($D$5:$D65,$D65,$S$5:$S65,MesCiclo,$V$5:$V65,"Macro"),"")</f>
        <v/>
      </c>
      <c r="AO65" s="62">
        <f>IF($AN65="","",$D65&amp;"|"&amp;$AN65)</f>
        <v/>
      </c>
      <c r="AP65" s="62">
        <f>IF(AND($D65&lt;&gt;"",$V65="Macro"),$D65&amp;"|"&amp;$C65,"")</f>
        <v/>
      </c>
      <c r="AQ65" s="62">
        <f>""</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t="n"/>
      <c r="F66" s="59" t="n"/>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IF(NOT((COUNTA($B66:$D66)+COUNTA($G66:$H66)+COUNTA($Q66))&gt;0),"",IF(AND($D66&lt;&gt;"",$V66="Macro"),IF(N($AM66)&gt;0,N(CHOOSE(MATCH($D66,ListaPuestos,0),INDEX('Cronograma R. Operacional'!$M$5:$M$1000,$AM66),INDEX('Cronograma R. Normativo'!$M$5:$M$1000,$AM66),INDEX('Cronograma R. Financiero'!$M$5:$M$1000,$AM66),INDEX('Cronograma Asistente Técnico'!$M$5:$M$1000,$AM66))),0),IF(ISNUMBER($G66),1,IF(N($W66)&gt;0,MIN(1,SUMIFS($Y$5:$Y$1000,$U$5:$U$1000,ROW(),$V$5:$V$1000,"Sub")),$Y66))))</f>
        <v/>
      </c>
      <c r="N66" s="56">
        <f>IF(OR($M66="",$V66="Sub"),"",IF($M66&gt;=1,"Completado",IF($M66&gt;0,"En curso","Pendiente")))</f>
        <v/>
      </c>
      <c r="O66" s="56">
        <f>IF(NOT((COUNTA($B66:$D66)+COUNTA($G66:$H66)+COUNTA($Q66))&gt;0),"",IF(AND(AND($D66&lt;&gt;"",$V66="Macro"),N($AM66)&gt;0),CHOOSE(MATCH($D66,ListaPuestos,0),INDEX('Cronograma R. Operacional'!$O$5:$O$1000,$AM66),INDEX('Cronograma R. Normativo'!$O$5:$O$1000,$AM66),INDEX('Cronograma R. Financiero'!$O$5:$O$1000,$AM66),INDEX('Cronograma Asistente Técnico'!$O$5:$O$1000,$AM66))&amp;"",IF(ISNUMBER($G66),IF(AND(ISNUMBER($AS66),$G66&gt;$AS66),"Cumplida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f>IF(NOT((COUNTA($B66:$D66)+COUNTA($G66:$H66)+COUNTA($Q66))&gt;0),"",IF($D66="","Propia",IF($V66&lt;&gt;"Macro","Solo se delegan macroactividades",IF(N($AM66)&gt;0,"✔ Recibida por "&amp;$D66,"⚠ "&amp;$D66&amp;" aún no la agrega"))))</f>
        <v/>
      </c>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f>IF(NOT(AND($D66&lt;&gt;"",$V66="Macro")),"",IFERROR(CHOOSE(MATCH($D66,ListaPuestos,0),MATCH("[Jefatura] "&amp;$C66,'Cronograma R. Operacional'!$C$5:$C$1000,0),MATCH("[Jefatura] "&amp;$C66,'Cronograma R. Normativo'!$C$5:$C$1000,0),MATCH("[Jefatura] "&amp;$C66,'Cronograma R. Financiero'!$C$5:$C$1000,0),MATCH("[Jefatura] "&amp;$C66,'Cronograma Asistente Técnico'!$C$5:$C$1000,0)),0))</f>
        <v/>
      </c>
      <c r="AN66" s="62">
        <f>IF(AND(AND($D66&lt;&gt;"",$V66="Macro"),$S66=MesCiclo),COUNTIFS($D$5:$D66,$D66,$S$5:$S66,MesCiclo,$V$5:$V66,"Macro"),"")</f>
        <v/>
      </c>
      <c r="AO66" s="62">
        <f>IF($AN66="","",$D66&amp;"|"&amp;$AN66)</f>
        <v/>
      </c>
      <c r="AP66" s="62">
        <f>IF(AND($D66&lt;&gt;"",$V66="Macro"),$D66&amp;"|"&amp;$C66,"")</f>
        <v/>
      </c>
      <c r="AQ66" s="62">
        <f>""</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t="n"/>
      <c r="F67" s="59" t="n"/>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IF(NOT((COUNTA($B67:$D67)+COUNTA($G67:$H67)+COUNTA($Q67))&gt;0),"",IF(AND($D67&lt;&gt;"",$V67="Macro"),IF(N($AM67)&gt;0,N(CHOOSE(MATCH($D67,ListaPuestos,0),INDEX('Cronograma R. Operacional'!$M$5:$M$1000,$AM67),INDEX('Cronograma R. Normativo'!$M$5:$M$1000,$AM67),INDEX('Cronograma R. Financiero'!$M$5:$M$1000,$AM67),INDEX('Cronograma Asistente Técnico'!$M$5:$M$1000,$AM67))),0),IF(ISNUMBER($G67),1,IF(N($W67)&gt;0,MIN(1,SUMIFS($Y$5:$Y$1000,$U$5:$U$1000,ROW(),$V$5:$V$1000,"Sub")),$Y67))))</f>
        <v/>
      </c>
      <c r="N67" s="56">
        <f>IF(OR($M67="",$V67="Sub"),"",IF($M67&gt;=1,"Completado",IF($M67&gt;0,"En curso","Pendiente")))</f>
        <v/>
      </c>
      <c r="O67" s="56">
        <f>IF(NOT((COUNTA($B67:$D67)+COUNTA($G67:$H67)+COUNTA($Q67))&gt;0),"",IF(AND(AND($D67&lt;&gt;"",$V67="Macro"),N($AM67)&gt;0),CHOOSE(MATCH($D67,ListaPuestos,0),INDEX('Cronograma R. Operacional'!$O$5:$O$1000,$AM67),INDEX('Cronograma R. Normativo'!$O$5:$O$1000,$AM67),INDEX('Cronograma R. Financiero'!$O$5:$O$1000,$AM67),INDEX('Cronograma Asistente Técnico'!$O$5:$O$1000,$AM67))&amp;"",IF(ISNUMBER($G67),IF(AND(ISNUMBER($AS67),$G67&gt;$AS67),"Cumplida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f>IF(NOT((COUNTA($B67:$D67)+COUNTA($G67:$H67)+COUNTA($Q67))&gt;0),"",IF($D67="","Propia",IF($V67&lt;&gt;"Macro","Solo se delegan macroactividades",IF(N($AM67)&gt;0,"✔ Recibida por "&amp;$D67,"⚠ "&amp;$D67&amp;" aún no la agrega"))))</f>
        <v/>
      </c>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f>IF(NOT(AND($D67&lt;&gt;"",$V67="Macro")),"",IFERROR(CHOOSE(MATCH($D67,ListaPuestos,0),MATCH("[Jefatura] "&amp;$C67,'Cronograma R. Operacional'!$C$5:$C$1000,0),MATCH("[Jefatura] "&amp;$C67,'Cronograma R. Normativo'!$C$5:$C$1000,0),MATCH("[Jefatura] "&amp;$C67,'Cronograma R. Financiero'!$C$5:$C$1000,0),MATCH("[Jefatura] "&amp;$C67,'Cronograma Asistente Técnico'!$C$5:$C$1000,0)),0))</f>
        <v/>
      </c>
      <c r="AN67" s="62">
        <f>IF(AND(AND($D67&lt;&gt;"",$V67="Macro"),$S67=MesCiclo),COUNTIFS($D$5:$D67,$D67,$S$5:$S67,MesCiclo,$V$5:$V67,"Macro"),"")</f>
        <v/>
      </c>
      <c r="AO67" s="62">
        <f>IF($AN67="","",$D67&amp;"|"&amp;$AN67)</f>
        <v/>
      </c>
      <c r="AP67" s="62">
        <f>IF(AND($D67&lt;&gt;"",$V67="Macro"),$D67&amp;"|"&amp;$C67,"")</f>
        <v/>
      </c>
      <c r="AQ67" s="62">
        <f>""</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t="n"/>
      <c r="F68" s="59" t="n"/>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IF(NOT((COUNTA($B68:$D68)+COUNTA($G68:$H68)+COUNTA($Q68))&gt;0),"",IF(AND($D68&lt;&gt;"",$V68="Macro"),IF(N($AM68)&gt;0,N(CHOOSE(MATCH($D68,ListaPuestos,0),INDEX('Cronograma R. Operacional'!$M$5:$M$1000,$AM68),INDEX('Cronograma R. Normativo'!$M$5:$M$1000,$AM68),INDEX('Cronograma R. Financiero'!$M$5:$M$1000,$AM68),INDEX('Cronograma Asistente Técnico'!$M$5:$M$1000,$AM68))),0),IF(ISNUMBER($G68),1,IF(N($W68)&gt;0,MIN(1,SUMIFS($Y$5:$Y$1000,$U$5:$U$1000,ROW(),$V$5:$V$1000,"Sub")),$Y68))))</f>
        <v/>
      </c>
      <c r="N68" s="56">
        <f>IF(OR($M68="",$V68="Sub"),"",IF($M68&gt;=1,"Completado",IF($M68&gt;0,"En curso","Pendiente")))</f>
        <v/>
      </c>
      <c r="O68" s="56">
        <f>IF(NOT((COUNTA($B68:$D68)+COUNTA($G68:$H68)+COUNTA($Q68))&gt;0),"",IF(AND(AND($D68&lt;&gt;"",$V68="Macro"),N($AM68)&gt;0),CHOOSE(MATCH($D68,ListaPuestos,0),INDEX('Cronograma R. Operacional'!$O$5:$O$1000,$AM68),INDEX('Cronograma R. Normativo'!$O$5:$O$1000,$AM68),INDEX('Cronograma R. Financiero'!$O$5:$O$1000,$AM68),INDEX('Cronograma Asistente Técnico'!$O$5:$O$1000,$AM68))&amp;"",IF(ISNUMBER($G68),IF(AND(ISNUMBER($AS68),$G68&gt;$AS68),"Cumplida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f>IF(NOT((COUNTA($B68:$D68)+COUNTA($G68:$H68)+COUNTA($Q68))&gt;0),"",IF($D68="","Propia",IF($V68&lt;&gt;"Macro","Solo se delegan macroactividades",IF(N($AM68)&gt;0,"✔ Recibida por "&amp;$D68,"⚠ "&amp;$D68&amp;" aún no la agrega"))))</f>
        <v/>
      </c>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f>IF(NOT(AND($D68&lt;&gt;"",$V68="Macro")),"",IFERROR(CHOOSE(MATCH($D68,ListaPuestos,0),MATCH("[Jefatura] "&amp;$C68,'Cronograma R. Operacional'!$C$5:$C$1000,0),MATCH("[Jefatura] "&amp;$C68,'Cronograma R. Normativo'!$C$5:$C$1000,0),MATCH("[Jefatura] "&amp;$C68,'Cronograma R. Financiero'!$C$5:$C$1000,0),MATCH("[Jefatura] "&amp;$C68,'Cronograma Asistente Técnico'!$C$5:$C$1000,0)),0))</f>
        <v/>
      </c>
      <c r="AN68" s="62">
        <f>IF(AND(AND($D68&lt;&gt;"",$V68="Macro"),$S68=MesCiclo),COUNTIFS($D$5:$D68,$D68,$S$5:$S68,MesCiclo,$V$5:$V68,"Macro"),"")</f>
        <v/>
      </c>
      <c r="AO68" s="62">
        <f>IF($AN68="","",$D68&amp;"|"&amp;$AN68)</f>
        <v/>
      </c>
      <c r="AP68" s="62">
        <f>IF(AND($D68&lt;&gt;"",$V68="Macro"),$D68&amp;"|"&amp;$C68,"")</f>
        <v/>
      </c>
      <c r="AQ68" s="62">
        <f>""</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t="n"/>
      <c r="F69" s="59" t="n"/>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IF(NOT((COUNTA($B69:$D69)+COUNTA($G69:$H69)+COUNTA($Q69))&gt;0),"",IF(AND($D69&lt;&gt;"",$V69="Macro"),IF(N($AM69)&gt;0,N(CHOOSE(MATCH($D69,ListaPuestos,0),INDEX('Cronograma R. Operacional'!$M$5:$M$1000,$AM69),INDEX('Cronograma R. Normativo'!$M$5:$M$1000,$AM69),INDEX('Cronograma R. Financiero'!$M$5:$M$1000,$AM69),INDEX('Cronograma Asistente Técnico'!$M$5:$M$1000,$AM69))),0),IF(ISNUMBER($G69),1,IF(N($W69)&gt;0,MIN(1,SUMIFS($Y$5:$Y$1000,$U$5:$U$1000,ROW(),$V$5:$V$1000,"Sub")),$Y69))))</f>
        <v/>
      </c>
      <c r="N69" s="56">
        <f>IF(OR($M69="",$V69="Sub"),"",IF($M69&gt;=1,"Completado",IF($M69&gt;0,"En curso","Pendiente")))</f>
        <v/>
      </c>
      <c r="O69" s="56">
        <f>IF(NOT((COUNTA($B69:$D69)+COUNTA($G69:$H69)+COUNTA($Q69))&gt;0),"",IF(AND(AND($D69&lt;&gt;"",$V69="Macro"),N($AM69)&gt;0),CHOOSE(MATCH($D69,ListaPuestos,0),INDEX('Cronograma R. Operacional'!$O$5:$O$1000,$AM69),INDEX('Cronograma R. Normativo'!$O$5:$O$1000,$AM69),INDEX('Cronograma R. Financiero'!$O$5:$O$1000,$AM69),INDEX('Cronograma Asistente Técnico'!$O$5:$O$1000,$AM69))&amp;"",IF(ISNUMBER($G69),IF(AND(ISNUMBER($AS69),$G69&gt;$AS69),"Cumplida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f>IF(NOT((COUNTA($B69:$D69)+COUNTA($G69:$H69)+COUNTA($Q69))&gt;0),"",IF($D69="","Propia",IF($V69&lt;&gt;"Macro","Solo se delegan macroactividades",IF(N($AM69)&gt;0,"✔ Recibida por "&amp;$D69,"⚠ "&amp;$D69&amp;" aún no la agrega"))))</f>
        <v/>
      </c>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f>IF(NOT(AND($D69&lt;&gt;"",$V69="Macro")),"",IFERROR(CHOOSE(MATCH($D69,ListaPuestos,0),MATCH("[Jefatura] "&amp;$C69,'Cronograma R. Operacional'!$C$5:$C$1000,0),MATCH("[Jefatura] "&amp;$C69,'Cronograma R. Normativo'!$C$5:$C$1000,0),MATCH("[Jefatura] "&amp;$C69,'Cronograma R. Financiero'!$C$5:$C$1000,0),MATCH("[Jefatura] "&amp;$C69,'Cronograma Asistente Técnico'!$C$5:$C$1000,0)),0))</f>
        <v/>
      </c>
      <c r="AN69" s="62">
        <f>IF(AND(AND($D69&lt;&gt;"",$V69="Macro"),$S69=MesCiclo),COUNTIFS($D$5:$D69,$D69,$S$5:$S69,MesCiclo,$V$5:$V69,"Macro"),"")</f>
        <v/>
      </c>
      <c r="AO69" s="62">
        <f>IF($AN69="","",$D69&amp;"|"&amp;$AN69)</f>
        <v/>
      </c>
      <c r="AP69" s="62">
        <f>IF(AND($D69&lt;&gt;"",$V69="Macro"),$D69&amp;"|"&amp;$C69,"")</f>
        <v/>
      </c>
      <c r="AQ69" s="62">
        <f>""</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t="n"/>
      <c r="F70" s="59" t="n"/>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IF(NOT((COUNTA($B70:$D70)+COUNTA($G70:$H70)+COUNTA($Q70))&gt;0),"",IF(AND($D70&lt;&gt;"",$V70="Macro"),IF(N($AM70)&gt;0,N(CHOOSE(MATCH($D70,ListaPuestos,0),INDEX('Cronograma R. Operacional'!$M$5:$M$1000,$AM70),INDEX('Cronograma R. Normativo'!$M$5:$M$1000,$AM70),INDEX('Cronograma R. Financiero'!$M$5:$M$1000,$AM70),INDEX('Cronograma Asistente Técnico'!$M$5:$M$1000,$AM70))),0),IF(ISNUMBER($G70),1,IF(N($W70)&gt;0,MIN(1,SUMIFS($Y$5:$Y$1000,$U$5:$U$1000,ROW(),$V$5:$V$1000,"Sub")),$Y70))))</f>
        <v/>
      </c>
      <c r="N70" s="56">
        <f>IF(OR($M70="",$V70="Sub"),"",IF($M70&gt;=1,"Completado",IF($M70&gt;0,"En curso","Pendiente")))</f>
        <v/>
      </c>
      <c r="O70" s="56">
        <f>IF(NOT((COUNTA($B70:$D70)+COUNTA($G70:$H70)+COUNTA($Q70))&gt;0),"",IF(AND(AND($D70&lt;&gt;"",$V70="Macro"),N($AM70)&gt;0),CHOOSE(MATCH($D70,ListaPuestos,0),INDEX('Cronograma R. Operacional'!$O$5:$O$1000,$AM70),INDEX('Cronograma R. Normativo'!$O$5:$O$1000,$AM70),INDEX('Cronograma R. Financiero'!$O$5:$O$1000,$AM70),INDEX('Cronograma Asistente Técnico'!$O$5:$O$1000,$AM70))&amp;"",IF(ISNUMBER($G70),IF(AND(ISNUMBER($AS70),$G70&gt;$AS70),"Cumplida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f>IF(NOT((COUNTA($B70:$D70)+COUNTA($G70:$H70)+COUNTA($Q70))&gt;0),"",IF($D70="","Propia",IF($V70&lt;&gt;"Macro","Solo se delegan macroactividades",IF(N($AM70)&gt;0,"✔ Recibida por "&amp;$D70,"⚠ "&amp;$D70&amp;" aún no la agrega"))))</f>
        <v/>
      </c>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f>IF(NOT(AND($D70&lt;&gt;"",$V70="Macro")),"",IFERROR(CHOOSE(MATCH($D70,ListaPuestos,0),MATCH("[Jefatura] "&amp;$C70,'Cronograma R. Operacional'!$C$5:$C$1000,0),MATCH("[Jefatura] "&amp;$C70,'Cronograma R. Normativo'!$C$5:$C$1000,0),MATCH("[Jefatura] "&amp;$C70,'Cronograma R. Financiero'!$C$5:$C$1000,0),MATCH("[Jefatura] "&amp;$C70,'Cronograma Asistente Técnico'!$C$5:$C$1000,0)),0))</f>
        <v/>
      </c>
      <c r="AN70" s="62">
        <f>IF(AND(AND($D70&lt;&gt;"",$V70="Macro"),$S70=MesCiclo),COUNTIFS($D$5:$D70,$D70,$S$5:$S70,MesCiclo,$V$5:$V70,"Macro"),"")</f>
        <v/>
      </c>
      <c r="AO70" s="62">
        <f>IF($AN70="","",$D70&amp;"|"&amp;$AN70)</f>
        <v/>
      </c>
      <c r="AP70" s="62">
        <f>IF(AND($D70&lt;&gt;"",$V70="Macro"),$D70&amp;"|"&amp;$C70,"")</f>
        <v/>
      </c>
      <c r="AQ70" s="62">
        <f>""</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t="n"/>
      <c r="F71" s="59" t="n"/>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IF(NOT((COUNTA($B71:$D71)+COUNTA($G71:$H71)+COUNTA($Q71))&gt;0),"",IF(AND($D71&lt;&gt;"",$V71="Macro"),IF(N($AM71)&gt;0,N(CHOOSE(MATCH($D71,ListaPuestos,0),INDEX('Cronograma R. Operacional'!$M$5:$M$1000,$AM71),INDEX('Cronograma R. Normativo'!$M$5:$M$1000,$AM71),INDEX('Cronograma R. Financiero'!$M$5:$M$1000,$AM71),INDEX('Cronograma Asistente Técnico'!$M$5:$M$1000,$AM71))),0),IF(ISNUMBER($G71),1,IF(N($W71)&gt;0,MIN(1,SUMIFS($Y$5:$Y$1000,$U$5:$U$1000,ROW(),$V$5:$V$1000,"Sub")),$Y71))))</f>
        <v/>
      </c>
      <c r="N71" s="56">
        <f>IF(OR($M71="",$V71="Sub"),"",IF($M71&gt;=1,"Completado",IF($M71&gt;0,"En curso","Pendiente")))</f>
        <v/>
      </c>
      <c r="O71" s="56">
        <f>IF(NOT((COUNTA($B71:$D71)+COUNTA($G71:$H71)+COUNTA($Q71))&gt;0),"",IF(AND(AND($D71&lt;&gt;"",$V71="Macro"),N($AM71)&gt;0),CHOOSE(MATCH($D71,ListaPuestos,0),INDEX('Cronograma R. Operacional'!$O$5:$O$1000,$AM71),INDEX('Cronograma R. Normativo'!$O$5:$O$1000,$AM71),INDEX('Cronograma R. Financiero'!$O$5:$O$1000,$AM71),INDEX('Cronograma Asistente Técnico'!$O$5:$O$1000,$AM71))&amp;"",IF(ISNUMBER($G71),IF(AND(ISNUMBER($AS71),$G71&gt;$AS71),"Cumplida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f>IF(NOT((COUNTA($B71:$D71)+COUNTA($G71:$H71)+COUNTA($Q71))&gt;0),"",IF($D71="","Propia",IF($V71&lt;&gt;"Macro","Solo se delegan macroactividades",IF(N($AM71)&gt;0,"✔ Recibida por "&amp;$D71,"⚠ "&amp;$D71&amp;" aún no la agrega"))))</f>
        <v/>
      </c>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f>IF(NOT(AND($D71&lt;&gt;"",$V71="Macro")),"",IFERROR(CHOOSE(MATCH($D71,ListaPuestos,0),MATCH("[Jefatura] "&amp;$C71,'Cronograma R. Operacional'!$C$5:$C$1000,0),MATCH("[Jefatura] "&amp;$C71,'Cronograma R. Normativo'!$C$5:$C$1000,0),MATCH("[Jefatura] "&amp;$C71,'Cronograma R. Financiero'!$C$5:$C$1000,0),MATCH("[Jefatura] "&amp;$C71,'Cronograma Asistente Técnico'!$C$5:$C$1000,0)),0))</f>
        <v/>
      </c>
      <c r="AN71" s="62">
        <f>IF(AND(AND($D71&lt;&gt;"",$V71="Macro"),$S71=MesCiclo),COUNTIFS($D$5:$D71,$D71,$S$5:$S71,MesCiclo,$V$5:$V71,"Macro"),"")</f>
        <v/>
      </c>
      <c r="AO71" s="62">
        <f>IF($AN71="","",$D71&amp;"|"&amp;$AN71)</f>
        <v/>
      </c>
      <c r="AP71" s="62">
        <f>IF(AND($D71&lt;&gt;"",$V71="Macro"),$D71&amp;"|"&amp;$C71,"")</f>
        <v/>
      </c>
      <c r="AQ71" s="62">
        <f>""</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t="n"/>
      <c r="F72" s="59" t="n"/>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IF(NOT((COUNTA($B72:$D72)+COUNTA($G72:$H72)+COUNTA($Q72))&gt;0),"",IF(AND($D72&lt;&gt;"",$V72="Macro"),IF(N($AM72)&gt;0,N(CHOOSE(MATCH($D72,ListaPuestos,0),INDEX('Cronograma R. Operacional'!$M$5:$M$1000,$AM72),INDEX('Cronograma R. Normativo'!$M$5:$M$1000,$AM72),INDEX('Cronograma R. Financiero'!$M$5:$M$1000,$AM72),INDEX('Cronograma Asistente Técnico'!$M$5:$M$1000,$AM72))),0),IF(ISNUMBER($G72),1,IF(N($W72)&gt;0,MIN(1,SUMIFS($Y$5:$Y$1000,$U$5:$U$1000,ROW(),$V$5:$V$1000,"Sub")),$Y72))))</f>
        <v/>
      </c>
      <c r="N72" s="56">
        <f>IF(OR($M72="",$V72="Sub"),"",IF($M72&gt;=1,"Completado",IF($M72&gt;0,"En curso","Pendiente")))</f>
        <v/>
      </c>
      <c r="O72" s="56">
        <f>IF(NOT((COUNTA($B72:$D72)+COUNTA($G72:$H72)+COUNTA($Q72))&gt;0),"",IF(AND(AND($D72&lt;&gt;"",$V72="Macro"),N($AM72)&gt;0),CHOOSE(MATCH($D72,ListaPuestos,0),INDEX('Cronograma R. Operacional'!$O$5:$O$1000,$AM72),INDEX('Cronograma R. Normativo'!$O$5:$O$1000,$AM72),INDEX('Cronograma R. Financiero'!$O$5:$O$1000,$AM72),INDEX('Cronograma Asistente Técnico'!$O$5:$O$1000,$AM72))&amp;"",IF(ISNUMBER($G72),IF(AND(ISNUMBER($AS72),$G72&gt;$AS72),"Cumplida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f>IF(NOT((COUNTA($B72:$D72)+COUNTA($G72:$H72)+COUNTA($Q72))&gt;0),"",IF($D72="","Propia",IF($V72&lt;&gt;"Macro","Solo se delegan macroactividades",IF(N($AM72)&gt;0,"✔ Recibida por "&amp;$D72,"⚠ "&amp;$D72&amp;" aún no la agrega"))))</f>
        <v/>
      </c>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f>IF(NOT(AND($D72&lt;&gt;"",$V72="Macro")),"",IFERROR(CHOOSE(MATCH($D72,ListaPuestos,0),MATCH("[Jefatura] "&amp;$C72,'Cronograma R. Operacional'!$C$5:$C$1000,0),MATCH("[Jefatura] "&amp;$C72,'Cronograma R. Normativo'!$C$5:$C$1000,0),MATCH("[Jefatura] "&amp;$C72,'Cronograma R. Financiero'!$C$5:$C$1000,0),MATCH("[Jefatura] "&amp;$C72,'Cronograma Asistente Técnico'!$C$5:$C$1000,0)),0))</f>
        <v/>
      </c>
      <c r="AN72" s="62">
        <f>IF(AND(AND($D72&lt;&gt;"",$V72="Macro"),$S72=MesCiclo),COUNTIFS($D$5:$D72,$D72,$S$5:$S72,MesCiclo,$V$5:$V72,"Macro"),"")</f>
        <v/>
      </c>
      <c r="AO72" s="62">
        <f>IF($AN72="","",$D72&amp;"|"&amp;$AN72)</f>
        <v/>
      </c>
      <c r="AP72" s="62">
        <f>IF(AND($D72&lt;&gt;"",$V72="Macro"),$D72&amp;"|"&amp;$C72,"")</f>
        <v/>
      </c>
      <c r="AQ72" s="62">
        <f>""</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t="n"/>
      <c r="F73" s="59" t="n"/>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IF(NOT((COUNTA($B73:$D73)+COUNTA($G73:$H73)+COUNTA($Q73))&gt;0),"",IF(AND($D73&lt;&gt;"",$V73="Macro"),IF(N($AM73)&gt;0,N(CHOOSE(MATCH($D73,ListaPuestos,0),INDEX('Cronograma R. Operacional'!$M$5:$M$1000,$AM73),INDEX('Cronograma R. Normativo'!$M$5:$M$1000,$AM73),INDEX('Cronograma R. Financiero'!$M$5:$M$1000,$AM73),INDEX('Cronograma Asistente Técnico'!$M$5:$M$1000,$AM73))),0),IF(ISNUMBER($G73),1,IF(N($W73)&gt;0,MIN(1,SUMIFS($Y$5:$Y$1000,$U$5:$U$1000,ROW(),$V$5:$V$1000,"Sub")),$Y73))))</f>
        <v/>
      </c>
      <c r="N73" s="56">
        <f>IF(OR($M73="",$V73="Sub"),"",IF($M73&gt;=1,"Completado",IF($M73&gt;0,"En curso","Pendiente")))</f>
        <v/>
      </c>
      <c r="O73" s="56">
        <f>IF(NOT((COUNTA($B73:$D73)+COUNTA($G73:$H73)+COUNTA($Q73))&gt;0),"",IF(AND(AND($D73&lt;&gt;"",$V73="Macro"),N($AM73)&gt;0),CHOOSE(MATCH($D73,ListaPuestos,0),INDEX('Cronograma R. Operacional'!$O$5:$O$1000,$AM73),INDEX('Cronograma R. Normativo'!$O$5:$O$1000,$AM73),INDEX('Cronograma R. Financiero'!$O$5:$O$1000,$AM73),INDEX('Cronograma Asistente Técnico'!$O$5:$O$1000,$AM73))&amp;"",IF(ISNUMBER($G73),IF(AND(ISNUMBER($AS73),$G73&gt;$AS73),"Cumplida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f>IF(NOT((COUNTA($B73:$D73)+COUNTA($G73:$H73)+COUNTA($Q73))&gt;0),"",IF($D73="","Propia",IF($V73&lt;&gt;"Macro","Solo se delegan macroactividades",IF(N($AM73)&gt;0,"✔ Recibida por "&amp;$D73,"⚠ "&amp;$D73&amp;" aún no la agrega"))))</f>
        <v/>
      </c>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f>IF(NOT(AND($D73&lt;&gt;"",$V73="Macro")),"",IFERROR(CHOOSE(MATCH($D73,ListaPuestos,0),MATCH("[Jefatura] "&amp;$C73,'Cronograma R. Operacional'!$C$5:$C$1000,0),MATCH("[Jefatura] "&amp;$C73,'Cronograma R. Normativo'!$C$5:$C$1000,0),MATCH("[Jefatura] "&amp;$C73,'Cronograma R. Financiero'!$C$5:$C$1000,0),MATCH("[Jefatura] "&amp;$C73,'Cronograma Asistente Técnico'!$C$5:$C$1000,0)),0))</f>
        <v/>
      </c>
      <c r="AN73" s="62">
        <f>IF(AND(AND($D73&lt;&gt;"",$V73="Macro"),$S73=MesCiclo),COUNTIFS($D$5:$D73,$D73,$S$5:$S73,MesCiclo,$V$5:$V73,"Macro"),"")</f>
        <v/>
      </c>
      <c r="AO73" s="62">
        <f>IF($AN73="","",$D73&amp;"|"&amp;$AN73)</f>
        <v/>
      </c>
      <c r="AP73" s="62">
        <f>IF(AND($D73&lt;&gt;"",$V73="Macro"),$D73&amp;"|"&amp;$C73,"")</f>
        <v/>
      </c>
      <c r="AQ73" s="62">
        <f>""</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t="n"/>
      <c r="F74" s="59" t="n"/>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IF(NOT((COUNTA($B74:$D74)+COUNTA($G74:$H74)+COUNTA($Q74))&gt;0),"",IF(AND($D74&lt;&gt;"",$V74="Macro"),IF(N($AM74)&gt;0,N(CHOOSE(MATCH($D74,ListaPuestos,0),INDEX('Cronograma R. Operacional'!$M$5:$M$1000,$AM74),INDEX('Cronograma R. Normativo'!$M$5:$M$1000,$AM74),INDEX('Cronograma R. Financiero'!$M$5:$M$1000,$AM74),INDEX('Cronograma Asistente Técnico'!$M$5:$M$1000,$AM74))),0),IF(ISNUMBER($G74),1,IF(N($W74)&gt;0,MIN(1,SUMIFS($Y$5:$Y$1000,$U$5:$U$1000,ROW(),$V$5:$V$1000,"Sub")),$Y74))))</f>
        <v/>
      </c>
      <c r="N74" s="56">
        <f>IF(OR($M74="",$V74="Sub"),"",IF($M74&gt;=1,"Completado",IF($M74&gt;0,"En curso","Pendiente")))</f>
        <v/>
      </c>
      <c r="O74" s="56">
        <f>IF(NOT((COUNTA($B74:$D74)+COUNTA($G74:$H74)+COUNTA($Q74))&gt;0),"",IF(AND(AND($D74&lt;&gt;"",$V74="Macro"),N($AM74)&gt;0),CHOOSE(MATCH($D74,ListaPuestos,0),INDEX('Cronograma R. Operacional'!$O$5:$O$1000,$AM74),INDEX('Cronograma R. Normativo'!$O$5:$O$1000,$AM74),INDEX('Cronograma R. Financiero'!$O$5:$O$1000,$AM74),INDEX('Cronograma Asistente Técnico'!$O$5:$O$1000,$AM74))&amp;"",IF(ISNUMBER($G74),IF(AND(ISNUMBER($AS74),$G74&gt;$AS74),"Cumplida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f>IF(NOT((COUNTA($B74:$D74)+COUNTA($G74:$H74)+COUNTA($Q74))&gt;0),"",IF($D74="","Propia",IF($V74&lt;&gt;"Macro","Solo se delegan macroactividades",IF(N($AM74)&gt;0,"✔ Recibida por "&amp;$D74,"⚠ "&amp;$D74&amp;" aún no la agrega"))))</f>
        <v/>
      </c>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f>IF(NOT(AND($D74&lt;&gt;"",$V74="Macro")),"",IFERROR(CHOOSE(MATCH($D74,ListaPuestos,0),MATCH("[Jefatura] "&amp;$C74,'Cronograma R. Operacional'!$C$5:$C$1000,0),MATCH("[Jefatura] "&amp;$C74,'Cronograma R. Normativo'!$C$5:$C$1000,0),MATCH("[Jefatura] "&amp;$C74,'Cronograma R. Financiero'!$C$5:$C$1000,0),MATCH("[Jefatura] "&amp;$C74,'Cronograma Asistente Técnico'!$C$5:$C$1000,0)),0))</f>
        <v/>
      </c>
      <c r="AN74" s="62">
        <f>IF(AND(AND($D74&lt;&gt;"",$V74="Macro"),$S74=MesCiclo),COUNTIFS($D$5:$D74,$D74,$S$5:$S74,MesCiclo,$V$5:$V74,"Macro"),"")</f>
        <v/>
      </c>
      <c r="AO74" s="62">
        <f>IF($AN74="","",$D74&amp;"|"&amp;$AN74)</f>
        <v/>
      </c>
      <c r="AP74" s="62">
        <f>IF(AND($D74&lt;&gt;"",$V74="Macro"),$D74&amp;"|"&amp;$C74,"")</f>
        <v/>
      </c>
      <c r="AQ74" s="62">
        <f>""</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t="n"/>
      <c r="F75" s="59" t="n"/>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IF(NOT((COUNTA($B75:$D75)+COUNTA($G75:$H75)+COUNTA($Q75))&gt;0),"",IF(AND($D75&lt;&gt;"",$V75="Macro"),IF(N($AM75)&gt;0,N(CHOOSE(MATCH($D75,ListaPuestos,0),INDEX('Cronograma R. Operacional'!$M$5:$M$1000,$AM75),INDEX('Cronograma R. Normativo'!$M$5:$M$1000,$AM75),INDEX('Cronograma R. Financiero'!$M$5:$M$1000,$AM75),INDEX('Cronograma Asistente Técnico'!$M$5:$M$1000,$AM75))),0),IF(ISNUMBER($G75),1,IF(N($W75)&gt;0,MIN(1,SUMIFS($Y$5:$Y$1000,$U$5:$U$1000,ROW(),$V$5:$V$1000,"Sub")),$Y75))))</f>
        <v/>
      </c>
      <c r="N75" s="56">
        <f>IF(OR($M75="",$V75="Sub"),"",IF($M75&gt;=1,"Completado",IF($M75&gt;0,"En curso","Pendiente")))</f>
        <v/>
      </c>
      <c r="O75" s="56">
        <f>IF(NOT((COUNTA($B75:$D75)+COUNTA($G75:$H75)+COUNTA($Q75))&gt;0),"",IF(AND(AND($D75&lt;&gt;"",$V75="Macro"),N($AM75)&gt;0),CHOOSE(MATCH($D75,ListaPuestos,0),INDEX('Cronograma R. Operacional'!$O$5:$O$1000,$AM75),INDEX('Cronograma R. Normativo'!$O$5:$O$1000,$AM75),INDEX('Cronograma R. Financiero'!$O$5:$O$1000,$AM75),INDEX('Cronograma Asistente Técnico'!$O$5:$O$1000,$AM75))&amp;"",IF(ISNUMBER($G75),IF(AND(ISNUMBER($AS75),$G75&gt;$AS75),"Cumplida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f>IF(NOT((COUNTA($B75:$D75)+COUNTA($G75:$H75)+COUNTA($Q75))&gt;0),"",IF($D75="","Propia",IF($V75&lt;&gt;"Macro","Solo se delegan macroactividades",IF(N($AM75)&gt;0,"✔ Recibida por "&amp;$D75,"⚠ "&amp;$D75&amp;" aún no la agrega"))))</f>
        <v/>
      </c>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f>IF(NOT(AND($D75&lt;&gt;"",$V75="Macro")),"",IFERROR(CHOOSE(MATCH($D75,ListaPuestos,0),MATCH("[Jefatura] "&amp;$C75,'Cronograma R. Operacional'!$C$5:$C$1000,0),MATCH("[Jefatura] "&amp;$C75,'Cronograma R. Normativo'!$C$5:$C$1000,0),MATCH("[Jefatura] "&amp;$C75,'Cronograma R. Financiero'!$C$5:$C$1000,0),MATCH("[Jefatura] "&amp;$C75,'Cronograma Asistente Técnico'!$C$5:$C$1000,0)),0))</f>
        <v/>
      </c>
      <c r="AN75" s="62">
        <f>IF(AND(AND($D75&lt;&gt;"",$V75="Macro"),$S75=MesCiclo),COUNTIFS($D$5:$D75,$D75,$S$5:$S75,MesCiclo,$V$5:$V75,"Macro"),"")</f>
        <v/>
      </c>
      <c r="AO75" s="62">
        <f>IF($AN75="","",$D75&amp;"|"&amp;$AN75)</f>
        <v/>
      </c>
      <c r="AP75" s="62">
        <f>IF(AND($D75&lt;&gt;"",$V75="Macro"),$D75&amp;"|"&amp;$C75,"")</f>
        <v/>
      </c>
      <c r="AQ75" s="62">
        <f>""</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t="n"/>
      <c r="F76" s="59" t="n"/>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IF(NOT((COUNTA($B76:$D76)+COUNTA($G76:$H76)+COUNTA($Q76))&gt;0),"",IF(AND($D76&lt;&gt;"",$V76="Macro"),IF(N($AM76)&gt;0,N(CHOOSE(MATCH($D76,ListaPuestos,0),INDEX('Cronograma R. Operacional'!$M$5:$M$1000,$AM76),INDEX('Cronograma R. Normativo'!$M$5:$M$1000,$AM76),INDEX('Cronograma R. Financiero'!$M$5:$M$1000,$AM76),INDEX('Cronograma Asistente Técnico'!$M$5:$M$1000,$AM76))),0),IF(ISNUMBER($G76),1,IF(N($W76)&gt;0,MIN(1,SUMIFS($Y$5:$Y$1000,$U$5:$U$1000,ROW(),$V$5:$V$1000,"Sub")),$Y76))))</f>
        <v/>
      </c>
      <c r="N76" s="56">
        <f>IF(OR($M76="",$V76="Sub"),"",IF($M76&gt;=1,"Completado",IF($M76&gt;0,"En curso","Pendiente")))</f>
        <v/>
      </c>
      <c r="O76" s="56">
        <f>IF(NOT((COUNTA($B76:$D76)+COUNTA($G76:$H76)+COUNTA($Q76))&gt;0),"",IF(AND(AND($D76&lt;&gt;"",$V76="Macro"),N($AM76)&gt;0),CHOOSE(MATCH($D76,ListaPuestos,0),INDEX('Cronograma R. Operacional'!$O$5:$O$1000,$AM76),INDEX('Cronograma R. Normativo'!$O$5:$O$1000,$AM76),INDEX('Cronograma R. Financiero'!$O$5:$O$1000,$AM76),INDEX('Cronograma Asistente Técnico'!$O$5:$O$1000,$AM76))&amp;"",IF(ISNUMBER($G76),IF(AND(ISNUMBER($AS76),$G76&gt;$AS76),"Cumplida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f>IF(NOT((COUNTA($B76:$D76)+COUNTA($G76:$H76)+COUNTA($Q76))&gt;0),"",IF($D76="","Propia",IF($V76&lt;&gt;"Macro","Solo se delegan macroactividades",IF(N($AM76)&gt;0,"✔ Recibida por "&amp;$D76,"⚠ "&amp;$D76&amp;" aún no la agrega"))))</f>
        <v/>
      </c>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f>IF(NOT(AND($D76&lt;&gt;"",$V76="Macro")),"",IFERROR(CHOOSE(MATCH($D76,ListaPuestos,0),MATCH("[Jefatura] "&amp;$C76,'Cronograma R. Operacional'!$C$5:$C$1000,0),MATCH("[Jefatura] "&amp;$C76,'Cronograma R. Normativo'!$C$5:$C$1000,0),MATCH("[Jefatura] "&amp;$C76,'Cronograma R. Financiero'!$C$5:$C$1000,0),MATCH("[Jefatura] "&amp;$C76,'Cronograma Asistente Técnico'!$C$5:$C$1000,0)),0))</f>
        <v/>
      </c>
      <c r="AN76" s="62">
        <f>IF(AND(AND($D76&lt;&gt;"",$V76="Macro"),$S76=MesCiclo),COUNTIFS($D$5:$D76,$D76,$S$5:$S76,MesCiclo,$V$5:$V76,"Macro"),"")</f>
        <v/>
      </c>
      <c r="AO76" s="62">
        <f>IF($AN76="","",$D76&amp;"|"&amp;$AN76)</f>
        <v/>
      </c>
      <c r="AP76" s="62">
        <f>IF(AND($D76&lt;&gt;"",$V76="Macro"),$D76&amp;"|"&amp;$C76,"")</f>
        <v/>
      </c>
      <c r="AQ76" s="62">
        <f>""</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t="n"/>
      <c r="F77" s="59" t="n"/>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IF(NOT((COUNTA($B77:$D77)+COUNTA($G77:$H77)+COUNTA($Q77))&gt;0),"",IF(AND($D77&lt;&gt;"",$V77="Macro"),IF(N($AM77)&gt;0,N(CHOOSE(MATCH($D77,ListaPuestos,0),INDEX('Cronograma R. Operacional'!$M$5:$M$1000,$AM77),INDEX('Cronograma R. Normativo'!$M$5:$M$1000,$AM77),INDEX('Cronograma R. Financiero'!$M$5:$M$1000,$AM77),INDEX('Cronograma Asistente Técnico'!$M$5:$M$1000,$AM77))),0),IF(ISNUMBER($G77),1,IF(N($W77)&gt;0,MIN(1,SUMIFS($Y$5:$Y$1000,$U$5:$U$1000,ROW(),$V$5:$V$1000,"Sub")),$Y77))))</f>
        <v/>
      </c>
      <c r="N77" s="56">
        <f>IF(OR($M77="",$V77="Sub"),"",IF($M77&gt;=1,"Completado",IF($M77&gt;0,"En curso","Pendiente")))</f>
        <v/>
      </c>
      <c r="O77" s="56">
        <f>IF(NOT((COUNTA($B77:$D77)+COUNTA($G77:$H77)+COUNTA($Q77))&gt;0),"",IF(AND(AND($D77&lt;&gt;"",$V77="Macro"),N($AM77)&gt;0),CHOOSE(MATCH($D77,ListaPuestos,0),INDEX('Cronograma R. Operacional'!$O$5:$O$1000,$AM77),INDEX('Cronograma R. Normativo'!$O$5:$O$1000,$AM77),INDEX('Cronograma R. Financiero'!$O$5:$O$1000,$AM77),INDEX('Cronograma Asistente Técnico'!$O$5:$O$1000,$AM77))&amp;"",IF(ISNUMBER($G77),IF(AND(ISNUMBER($AS77),$G77&gt;$AS77),"Cumplida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f>IF(NOT((COUNTA($B77:$D77)+COUNTA($G77:$H77)+COUNTA($Q77))&gt;0),"",IF($D77="","Propia",IF($V77&lt;&gt;"Macro","Solo se delegan macroactividades",IF(N($AM77)&gt;0,"✔ Recibida por "&amp;$D77,"⚠ "&amp;$D77&amp;" aún no la agrega"))))</f>
        <v/>
      </c>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f>IF(NOT(AND($D77&lt;&gt;"",$V77="Macro")),"",IFERROR(CHOOSE(MATCH($D77,ListaPuestos,0),MATCH("[Jefatura] "&amp;$C77,'Cronograma R. Operacional'!$C$5:$C$1000,0),MATCH("[Jefatura] "&amp;$C77,'Cronograma R. Normativo'!$C$5:$C$1000,0),MATCH("[Jefatura] "&amp;$C77,'Cronograma R. Financiero'!$C$5:$C$1000,0),MATCH("[Jefatura] "&amp;$C77,'Cronograma Asistente Técnico'!$C$5:$C$1000,0)),0))</f>
        <v/>
      </c>
      <c r="AN77" s="62">
        <f>IF(AND(AND($D77&lt;&gt;"",$V77="Macro"),$S77=MesCiclo),COUNTIFS($D$5:$D77,$D77,$S$5:$S77,MesCiclo,$V$5:$V77,"Macro"),"")</f>
        <v/>
      </c>
      <c r="AO77" s="62">
        <f>IF($AN77="","",$D77&amp;"|"&amp;$AN77)</f>
        <v/>
      </c>
      <c r="AP77" s="62">
        <f>IF(AND($D77&lt;&gt;"",$V77="Macro"),$D77&amp;"|"&amp;$C77,"")</f>
        <v/>
      </c>
      <c r="AQ77" s="62">
        <f>""</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t="n"/>
      <c r="F78" s="59" t="n"/>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IF(NOT((COUNTA($B78:$D78)+COUNTA($G78:$H78)+COUNTA($Q78))&gt;0),"",IF(AND($D78&lt;&gt;"",$V78="Macro"),IF(N($AM78)&gt;0,N(CHOOSE(MATCH($D78,ListaPuestos,0),INDEX('Cronograma R. Operacional'!$M$5:$M$1000,$AM78),INDEX('Cronograma R. Normativo'!$M$5:$M$1000,$AM78),INDEX('Cronograma R. Financiero'!$M$5:$M$1000,$AM78),INDEX('Cronograma Asistente Técnico'!$M$5:$M$1000,$AM78))),0),IF(ISNUMBER($G78),1,IF(N($W78)&gt;0,MIN(1,SUMIFS($Y$5:$Y$1000,$U$5:$U$1000,ROW(),$V$5:$V$1000,"Sub")),$Y78))))</f>
        <v/>
      </c>
      <c r="N78" s="56">
        <f>IF(OR($M78="",$V78="Sub"),"",IF($M78&gt;=1,"Completado",IF($M78&gt;0,"En curso","Pendiente")))</f>
        <v/>
      </c>
      <c r="O78" s="56">
        <f>IF(NOT((COUNTA($B78:$D78)+COUNTA($G78:$H78)+COUNTA($Q78))&gt;0),"",IF(AND(AND($D78&lt;&gt;"",$V78="Macro"),N($AM78)&gt;0),CHOOSE(MATCH($D78,ListaPuestos,0),INDEX('Cronograma R. Operacional'!$O$5:$O$1000,$AM78),INDEX('Cronograma R. Normativo'!$O$5:$O$1000,$AM78),INDEX('Cronograma R. Financiero'!$O$5:$O$1000,$AM78),INDEX('Cronograma Asistente Técnico'!$O$5:$O$1000,$AM78))&amp;"",IF(ISNUMBER($G78),IF(AND(ISNUMBER($AS78),$G78&gt;$AS78),"Cumplida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f>IF(NOT((COUNTA($B78:$D78)+COUNTA($G78:$H78)+COUNTA($Q78))&gt;0),"",IF($D78="","Propia",IF($V78&lt;&gt;"Macro","Solo se delegan macroactividades",IF(N($AM78)&gt;0,"✔ Recibida por "&amp;$D78,"⚠ "&amp;$D78&amp;" aún no la agrega"))))</f>
        <v/>
      </c>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f>IF(NOT(AND($D78&lt;&gt;"",$V78="Macro")),"",IFERROR(CHOOSE(MATCH($D78,ListaPuestos,0),MATCH("[Jefatura] "&amp;$C78,'Cronograma R. Operacional'!$C$5:$C$1000,0),MATCH("[Jefatura] "&amp;$C78,'Cronograma R. Normativo'!$C$5:$C$1000,0),MATCH("[Jefatura] "&amp;$C78,'Cronograma R. Financiero'!$C$5:$C$1000,0),MATCH("[Jefatura] "&amp;$C78,'Cronograma Asistente Técnico'!$C$5:$C$1000,0)),0))</f>
        <v/>
      </c>
      <c r="AN78" s="62">
        <f>IF(AND(AND($D78&lt;&gt;"",$V78="Macro"),$S78=MesCiclo),COUNTIFS($D$5:$D78,$D78,$S$5:$S78,MesCiclo,$V$5:$V78,"Macro"),"")</f>
        <v/>
      </c>
      <c r="AO78" s="62">
        <f>IF($AN78="","",$D78&amp;"|"&amp;$AN78)</f>
        <v/>
      </c>
      <c r="AP78" s="62">
        <f>IF(AND($D78&lt;&gt;"",$V78="Macro"),$D78&amp;"|"&amp;$C78,"")</f>
        <v/>
      </c>
      <c r="AQ78" s="62">
        <f>""</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t="n"/>
      <c r="F79" s="59" t="n"/>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IF(NOT((COUNTA($B79:$D79)+COUNTA($G79:$H79)+COUNTA($Q79))&gt;0),"",IF(AND($D79&lt;&gt;"",$V79="Macro"),IF(N($AM79)&gt;0,N(CHOOSE(MATCH($D79,ListaPuestos,0),INDEX('Cronograma R. Operacional'!$M$5:$M$1000,$AM79),INDEX('Cronograma R. Normativo'!$M$5:$M$1000,$AM79),INDEX('Cronograma R. Financiero'!$M$5:$M$1000,$AM79),INDEX('Cronograma Asistente Técnico'!$M$5:$M$1000,$AM79))),0),IF(ISNUMBER($G79),1,IF(N($W79)&gt;0,MIN(1,SUMIFS($Y$5:$Y$1000,$U$5:$U$1000,ROW(),$V$5:$V$1000,"Sub")),$Y79))))</f>
        <v/>
      </c>
      <c r="N79" s="56">
        <f>IF(OR($M79="",$V79="Sub"),"",IF($M79&gt;=1,"Completado",IF($M79&gt;0,"En curso","Pendiente")))</f>
        <v/>
      </c>
      <c r="O79" s="56">
        <f>IF(NOT((COUNTA($B79:$D79)+COUNTA($G79:$H79)+COUNTA($Q79))&gt;0),"",IF(AND(AND($D79&lt;&gt;"",$V79="Macro"),N($AM79)&gt;0),CHOOSE(MATCH($D79,ListaPuestos,0),INDEX('Cronograma R. Operacional'!$O$5:$O$1000,$AM79),INDEX('Cronograma R. Normativo'!$O$5:$O$1000,$AM79),INDEX('Cronograma R. Financiero'!$O$5:$O$1000,$AM79),INDEX('Cronograma Asistente Técnico'!$O$5:$O$1000,$AM79))&amp;"",IF(ISNUMBER($G79),IF(AND(ISNUMBER($AS79),$G79&gt;$AS79),"Cumplida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f>IF(NOT((COUNTA($B79:$D79)+COUNTA($G79:$H79)+COUNTA($Q79))&gt;0),"",IF($D79="","Propia",IF($V79&lt;&gt;"Macro","Solo se delegan macroactividades",IF(N($AM79)&gt;0,"✔ Recibida por "&amp;$D79,"⚠ "&amp;$D79&amp;" aún no la agrega"))))</f>
        <v/>
      </c>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f>IF(NOT(AND($D79&lt;&gt;"",$V79="Macro")),"",IFERROR(CHOOSE(MATCH($D79,ListaPuestos,0),MATCH("[Jefatura] "&amp;$C79,'Cronograma R. Operacional'!$C$5:$C$1000,0),MATCH("[Jefatura] "&amp;$C79,'Cronograma R. Normativo'!$C$5:$C$1000,0),MATCH("[Jefatura] "&amp;$C79,'Cronograma R. Financiero'!$C$5:$C$1000,0),MATCH("[Jefatura] "&amp;$C79,'Cronograma Asistente Técnico'!$C$5:$C$1000,0)),0))</f>
        <v/>
      </c>
      <c r="AN79" s="62">
        <f>IF(AND(AND($D79&lt;&gt;"",$V79="Macro"),$S79=MesCiclo),COUNTIFS($D$5:$D79,$D79,$S$5:$S79,MesCiclo,$V$5:$V79,"Macro"),"")</f>
        <v/>
      </c>
      <c r="AO79" s="62">
        <f>IF($AN79="","",$D79&amp;"|"&amp;$AN79)</f>
        <v/>
      </c>
      <c r="AP79" s="62">
        <f>IF(AND($D79&lt;&gt;"",$V79="Macro"),$D79&amp;"|"&amp;$C79,"")</f>
        <v/>
      </c>
      <c r="AQ79" s="62">
        <f>""</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t="n"/>
      <c r="F80" s="59" t="n"/>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IF(NOT((COUNTA($B80:$D80)+COUNTA($G80:$H80)+COUNTA($Q80))&gt;0),"",IF(AND($D80&lt;&gt;"",$V80="Macro"),IF(N($AM80)&gt;0,N(CHOOSE(MATCH($D80,ListaPuestos,0),INDEX('Cronograma R. Operacional'!$M$5:$M$1000,$AM80),INDEX('Cronograma R. Normativo'!$M$5:$M$1000,$AM80),INDEX('Cronograma R. Financiero'!$M$5:$M$1000,$AM80),INDEX('Cronograma Asistente Técnico'!$M$5:$M$1000,$AM80))),0),IF(ISNUMBER($G80),1,IF(N($W80)&gt;0,MIN(1,SUMIFS($Y$5:$Y$1000,$U$5:$U$1000,ROW(),$V$5:$V$1000,"Sub")),$Y80))))</f>
        <v/>
      </c>
      <c r="N80" s="56">
        <f>IF(OR($M80="",$V80="Sub"),"",IF($M80&gt;=1,"Completado",IF($M80&gt;0,"En curso","Pendiente")))</f>
        <v/>
      </c>
      <c r="O80" s="56">
        <f>IF(NOT((COUNTA($B80:$D80)+COUNTA($G80:$H80)+COUNTA($Q80))&gt;0),"",IF(AND(AND($D80&lt;&gt;"",$V80="Macro"),N($AM80)&gt;0),CHOOSE(MATCH($D80,ListaPuestos,0),INDEX('Cronograma R. Operacional'!$O$5:$O$1000,$AM80),INDEX('Cronograma R. Normativo'!$O$5:$O$1000,$AM80),INDEX('Cronograma R. Financiero'!$O$5:$O$1000,$AM80),INDEX('Cronograma Asistente Técnico'!$O$5:$O$1000,$AM80))&amp;"",IF(ISNUMBER($G80),IF(AND(ISNUMBER($AS80),$G80&gt;$AS80),"Cumplida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f>IF(NOT((COUNTA($B80:$D80)+COUNTA($G80:$H80)+COUNTA($Q80))&gt;0),"",IF($D80="","Propia",IF($V80&lt;&gt;"Macro","Solo se delegan macroactividades",IF(N($AM80)&gt;0,"✔ Recibida por "&amp;$D80,"⚠ "&amp;$D80&amp;" aún no la agrega"))))</f>
        <v/>
      </c>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f>IF(NOT(AND($D80&lt;&gt;"",$V80="Macro")),"",IFERROR(CHOOSE(MATCH($D80,ListaPuestos,0),MATCH("[Jefatura] "&amp;$C80,'Cronograma R. Operacional'!$C$5:$C$1000,0),MATCH("[Jefatura] "&amp;$C80,'Cronograma R. Normativo'!$C$5:$C$1000,0),MATCH("[Jefatura] "&amp;$C80,'Cronograma R. Financiero'!$C$5:$C$1000,0),MATCH("[Jefatura] "&amp;$C80,'Cronograma Asistente Técnico'!$C$5:$C$1000,0)),0))</f>
        <v/>
      </c>
      <c r="AN80" s="62">
        <f>IF(AND(AND($D80&lt;&gt;"",$V80="Macro"),$S80=MesCiclo),COUNTIFS($D$5:$D80,$D80,$S$5:$S80,MesCiclo,$V$5:$V80,"Macro"),"")</f>
        <v/>
      </c>
      <c r="AO80" s="62">
        <f>IF($AN80="","",$D80&amp;"|"&amp;$AN80)</f>
        <v/>
      </c>
      <c r="AP80" s="62">
        <f>IF(AND($D80&lt;&gt;"",$V80="Macro"),$D80&amp;"|"&amp;$C80,"")</f>
        <v/>
      </c>
      <c r="AQ80" s="62">
        <f>""</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t="n"/>
      <c r="F81" s="59" t="n"/>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IF(NOT((COUNTA($B81:$D81)+COUNTA($G81:$H81)+COUNTA($Q81))&gt;0),"",IF(AND($D81&lt;&gt;"",$V81="Macro"),IF(N($AM81)&gt;0,N(CHOOSE(MATCH($D81,ListaPuestos,0),INDEX('Cronograma R. Operacional'!$M$5:$M$1000,$AM81),INDEX('Cronograma R. Normativo'!$M$5:$M$1000,$AM81),INDEX('Cronograma R. Financiero'!$M$5:$M$1000,$AM81),INDEX('Cronograma Asistente Técnico'!$M$5:$M$1000,$AM81))),0),IF(ISNUMBER($G81),1,IF(N($W81)&gt;0,MIN(1,SUMIFS($Y$5:$Y$1000,$U$5:$U$1000,ROW(),$V$5:$V$1000,"Sub")),$Y81))))</f>
        <v/>
      </c>
      <c r="N81" s="56">
        <f>IF(OR($M81="",$V81="Sub"),"",IF($M81&gt;=1,"Completado",IF($M81&gt;0,"En curso","Pendiente")))</f>
        <v/>
      </c>
      <c r="O81" s="56">
        <f>IF(NOT((COUNTA($B81:$D81)+COUNTA($G81:$H81)+COUNTA($Q81))&gt;0),"",IF(AND(AND($D81&lt;&gt;"",$V81="Macro"),N($AM81)&gt;0),CHOOSE(MATCH($D81,ListaPuestos,0),INDEX('Cronograma R. Operacional'!$O$5:$O$1000,$AM81),INDEX('Cronograma R. Normativo'!$O$5:$O$1000,$AM81),INDEX('Cronograma R. Financiero'!$O$5:$O$1000,$AM81),INDEX('Cronograma Asistente Técnico'!$O$5:$O$1000,$AM81))&amp;"",IF(ISNUMBER($G81),IF(AND(ISNUMBER($AS81),$G81&gt;$AS81),"Cumplida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f>IF(NOT((COUNTA($B81:$D81)+COUNTA($G81:$H81)+COUNTA($Q81))&gt;0),"",IF($D81="","Propia",IF($V81&lt;&gt;"Macro","Solo se delegan macroactividades",IF(N($AM81)&gt;0,"✔ Recibida por "&amp;$D81,"⚠ "&amp;$D81&amp;" aún no la agrega"))))</f>
        <v/>
      </c>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f>IF(NOT(AND($D81&lt;&gt;"",$V81="Macro")),"",IFERROR(CHOOSE(MATCH($D81,ListaPuestos,0),MATCH("[Jefatura] "&amp;$C81,'Cronograma R. Operacional'!$C$5:$C$1000,0),MATCH("[Jefatura] "&amp;$C81,'Cronograma R. Normativo'!$C$5:$C$1000,0),MATCH("[Jefatura] "&amp;$C81,'Cronograma R. Financiero'!$C$5:$C$1000,0),MATCH("[Jefatura] "&amp;$C81,'Cronograma Asistente Técnico'!$C$5:$C$1000,0)),0))</f>
        <v/>
      </c>
      <c r="AN81" s="62">
        <f>IF(AND(AND($D81&lt;&gt;"",$V81="Macro"),$S81=MesCiclo),COUNTIFS($D$5:$D81,$D81,$S$5:$S81,MesCiclo,$V$5:$V81,"Macro"),"")</f>
        <v/>
      </c>
      <c r="AO81" s="62">
        <f>IF($AN81="","",$D81&amp;"|"&amp;$AN81)</f>
        <v/>
      </c>
      <c r="AP81" s="62">
        <f>IF(AND($D81&lt;&gt;"",$V81="Macro"),$D81&amp;"|"&amp;$C81,"")</f>
        <v/>
      </c>
      <c r="AQ81" s="62">
        <f>""</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t="n"/>
      <c r="F82" s="59" t="n"/>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IF(NOT((COUNTA($B82:$D82)+COUNTA($G82:$H82)+COUNTA($Q82))&gt;0),"",IF(AND($D82&lt;&gt;"",$V82="Macro"),IF(N($AM82)&gt;0,N(CHOOSE(MATCH($D82,ListaPuestos,0),INDEX('Cronograma R. Operacional'!$M$5:$M$1000,$AM82),INDEX('Cronograma R. Normativo'!$M$5:$M$1000,$AM82),INDEX('Cronograma R. Financiero'!$M$5:$M$1000,$AM82),INDEX('Cronograma Asistente Técnico'!$M$5:$M$1000,$AM82))),0),IF(ISNUMBER($G82),1,IF(N($W82)&gt;0,MIN(1,SUMIFS($Y$5:$Y$1000,$U$5:$U$1000,ROW(),$V$5:$V$1000,"Sub")),$Y82))))</f>
        <v/>
      </c>
      <c r="N82" s="56">
        <f>IF(OR($M82="",$V82="Sub"),"",IF($M82&gt;=1,"Completado",IF($M82&gt;0,"En curso","Pendiente")))</f>
        <v/>
      </c>
      <c r="O82" s="56">
        <f>IF(NOT((COUNTA($B82:$D82)+COUNTA($G82:$H82)+COUNTA($Q82))&gt;0),"",IF(AND(AND($D82&lt;&gt;"",$V82="Macro"),N($AM82)&gt;0),CHOOSE(MATCH($D82,ListaPuestos,0),INDEX('Cronograma R. Operacional'!$O$5:$O$1000,$AM82),INDEX('Cronograma R. Normativo'!$O$5:$O$1000,$AM82),INDEX('Cronograma R. Financiero'!$O$5:$O$1000,$AM82),INDEX('Cronograma Asistente Técnico'!$O$5:$O$1000,$AM82))&amp;"",IF(ISNUMBER($G82),IF(AND(ISNUMBER($AS82),$G82&gt;$AS82),"Cumplida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f>IF(NOT((COUNTA($B82:$D82)+COUNTA($G82:$H82)+COUNTA($Q82))&gt;0),"",IF($D82="","Propia",IF($V82&lt;&gt;"Macro","Solo se delegan macroactividades",IF(N($AM82)&gt;0,"✔ Recibida por "&amp;$D82,"⚠ "&amp;$D82&amp;" aún no la agrega"))))</f>
        <v/>
      </c>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f>IF(NOT(AND($D82&lt;&gt;"",$V82="Macro")),"",IFERROR(CHOOSE(MATCH($D82,ListaPuestos,0),MATCH("[Jefatura] "&amp;$C82,'Cronograma R. Operacional'!$C$5:$C$1000,0),MATCH("[Jefatura] "&amp;$C82,'Cronograma R. Normativo'!$C$5:$C$1000,0),MATCH("[Jefatura] "&amp;$C82,'Cronograma R. Financiero'!$C$5:$C$1000,0),MATCH("[Jefatura] "&amp;$C82,'Cronograma Asistente Técnico'!$C$5:$C$1000,0)),0))</f>
        <v/>
      </c>
      <c r="AN82" s="62">
        <f>IF(AND(AND($D82&lt;&gt;"",$V82="Macro"),$S82=MesCiclo),COUNTIFS($D$5:$D82,$D82,$S$5:$S82,MesCiclo,$V$5:$V82,"Macro"),"")</f>
        <v/>
      </c>
      <c r="AO82" s="62">
        <f>IF($AN82="","",$D82&amp;"|"&amp;$AN82)</f>
        <v/>
      </c>
      <c r="AP82" s="62">
        <f>IF(AND($D82&lt;&gt;"",$V82="Macro"),$D82&amp;"|"&amp;$C82,"")</f>
        <v/>
      </c>
      <c r="AQ82" s="62">
        <f>""</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t="n"/>
      <c r="F83" s="59" t="n"/>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IF(NOT((COUNTA($B83:$D83)+COUNTA($G83:$H83)+COUNTA($Q83))&gt;0),"",IF(AND($D83&lt;&gt;"",$V83="Macro"),IF(N($AM83)&gt;0,N(CHOOSE(MATCH($D83,ListaPuestos,0),INDEX('Cronograma R. Operacional'!$M$5:$M$1000,$AM83),INDEX('Cronograma R. Normativo'!$M$5:$M$1000,$AM83),INDEX('Cronograma R. Financiero'!$M$5:$M$1000,$AM83),INDEX('Cronograma Asistente Técnico'!$M$5:$M$1000,$AM83))),0),IF(ISNUMBER($G83),1,IF(N($W83)&gt;0,MIN(1,SUMIFS($Y$5:$Y$1000,$U$5:$U$1000,ROW(),$V$5:$V$1000,"Sub")),$Y83))))</f>
        <v/>
      </c>
      <c r="N83" s="56">
        <f>IF(OR($M83="",$V83="Sub"),"",IF($M83&gt;=1,"Completado",IF($M83&gt;0,"En curso","Pendiente")))</f>
        <v/>
      </c>
      <c r="O83" s="56">
        <f>IF(NOT((COUNTA($B83:$D83)+COUNTA($G83:$H83)+COUNTA($Q83))&gt;0),"",IF(AND(AND($D83&lt;&gt;"",$V83="Macro"),N($AM83)&gt;0),CHOOSE(MATCH($D83,ListaPuestos,0),INDEX('Cronograma R. Operacional'!$O$5:$O$1000,$AM83),INDEX('Cronograma R. Normativo'!$O$5:$O$1000,$AM83),INDEX('Cronograma R. Financiero'!$O$5:$O$1000,$AM83),INDEX('Cronograma Asistente Técnico'!$O$5:$O$1000,$AM83))&amp;"",IF(ISNUMBER($G83),IF(AND(ISNUMBER($AS83),$G83&gt;$AS83),"Cumplida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f>IF(NOT((COUNTA($B83:$D83)+COUNTA($G83:$H83)+COUNTA($Q83))&gt;0),"",IF($D83="","Propia",IF($V83&lt;&gt;"Macro","Solo se delegan macroactividades",IF(N($AM83)&gt;0,"✔ Recibida por "&amp;$D83,"⚠ "&amp;$D83&amp;" aún no la agrega"))))</f>
        <v/>
      </c>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f>IF(NOT(AND($D83&lt;&gt;"",$V83="Macro")),"",IFERROR(CHOOSE(MATCH($D83,ListaPuestos,0),MATCH("[Jefatura] "&amp;$C83,'Cronograma R. Operacional'!$C$5:$C$1000,0),MATCH("[Jefatura] "&amp;$C83,'Cronograma R. Normativo'!$C$5:$C$1000,0),MATCH("[Jefatura] "&amp;$C83,'Cronograma R. Financiero'!$C$5:$C$1000,0),MATCH("[Jefatura] "&amp;$C83,'Cronograma Asistente Técnico'!$C$5:$C$1000,0)),0))</f>
        <v/>
      </c>
      <c r="AN83" s="62">
        <f>IF(AND(AND($D83&lt;&gt;"",$V83="Macro"),$S83=MesCiclo),COUNTIFS($D$5:$D83,$D83,$S$5:$S83,MesCiclo,$V$5:$V83,"Macro"),"")</f>
        <v/>
      </c>
      <c r="AO83" s="62">
        <f>IF($AN83="","",$D83&amp;"|"&amp;$AN83)</f>
        <v/>
      </c>
      <c r="AP83" s="62">
        <f>IF(AND($D83&lt;&gt;"",$V83="Macro"),$D83&amp;"|"&amp;$C83,"")</f>
        <v/>
      </c>
      <c r="AQ83" s="62">
        <f>""</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t="n"/>
      <c r="F84" s="59" t="n"/>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IF(NOT((COUNTA($B84:$D84)+COUNTA($G84:$H84)+COUNTA($Q84))&gt;0),"",IF(AND($D84&lt;&gt;"",$V84="Macro"),IF(N($AM84)&gt;0,N(CHOOSE(MATCH($D84,ListaPuestos,0),INDEX('Cronograma R. Operacional'!$M$5:$M$1000,$AM84),INDEX('Cronograma R. Normativo'!$M$5:$M$1000,$AM84),INDEX('Cronograma R. Financiero'!$M$5:$M$1000,$AM84),INDEX('Cronograma Asistente Técnico'!$M$5:$M$1000,$AM84))),0),IF(ISNUMBER($G84),1,IF(N($W84)&gt;0,MIN(1,SUMIFS($Y$5:$Y$1000,$U$5:$U$1000,ROW(),$V$5:$V$1000,"Sub")),$Y84))))</f>
        <v/>
      </c>
      <c r="N84" s="56">
        <f>IF(OR($M84="",$V84="Sub"),"",IF($M84&gt;=1,"Completado",IF($M84&gt;0,"En curso","Pendiente")))</f>
        <v/>
      </c>
      <c r="O84" s="56">
        <f>IF(NOT((COUNTA($B84:$D84)+COUNTA($G84:$H84)+COUNTA($Q84))&gt;0),"",IF(AND(AND($D84&lt;&gt;"",$V84="Macro"),N($AM84)&gt;0),CHOOSE(MATCH($D84,ListaPuestos,0),INDEX('Cronograma R. Operacional'!$O$5:$O$1000,$AM84),INDEX('Cronograma R. Normativo'!$O$5:$O$1000,$AM84),INDEX('Cronograma R. Financiero'!$O$5:$O$1000,$AM84),INDEX('Cronograma Asistente Técnico'!$O$5:$O$1000,$AM84))&amp;"",IF(ISNUMBER($G84),IF(AND(ISNUMBER($AS84),$G84&gt;$AS84),"Cumplida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f>IF(NOT((COUNTA($B84:$D84)+COUNTA($G84:$H84)+COUNTA($Q84))&gt;0),"",IF($D84="","Propia",IF($V84&lt;&gt;"Macro","Solo se delegan macroactividades",IF(N($AM84)&gt;0,"✔ Recibida por "&amp;$D84,"⚠ "&amp;$D84&amp;" aún no la agrega"))))</f>
        <v/>
      </c>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f>IF(NOT(AND($D84&lt;&gt;"",$V84="Macro")),"",IFERROR(CHOOSE(MATCH($D84,ListaPuestos,0),MATCH("[Jefatura] "&amp;$C84,'Cronograma R. Operacional'!$C$5:$C$1000,0),MATCH("[Jefatura] "&amp;$C84,'Cronograma R. Normativo'!$C$5:$C$1000,0),MATCH("[Jefatura] "&amp;$C84,'Cronograma R. Financiero'!$C$5:$C$1000,0),MATCH("[Jefatura] "&amp;$C84,'Cronograma Asistente Técnico'!$C$5:$C$1000,0)),0))</f>
        <v/>
      </c>
      <c r="AN84" s="62">
        <f>IF(AND(AND($D84&lt;&gt;"",$V84="Macro"),$S84=MesCiclo),COUNTIFS($D$5:$D84,$D84,$S$5:$S84,MesCiclo,$V$5:$V84,"Macro"),"")</f>
        <v/>
      </c>
      <c r="AO84" s="62">
        <f>IF($AN84="","",$D84&amp;"|"&amp;$AN84)</f>
        <v/>
      </c>
      <c r="AP84" s="62">
        <f>IF(AND($D84&lt;&gt;"",$V84="Macro"),$D84&amp;"|"&amp;$C84,"")</f>
        <v/>
      </c>
      <c r="AQ84" s="62">
        <f>""</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t="n"/>
      <c r="F85" s="59" t="n"/>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IF(NOT((COUNTA($B85:$D85)+COUNTA($G85:$H85)+COUNTA($Q85))&gt;0),"",IF(AND($D85&lt;&gt;"",$V85="Macro"),IF(N($AM85)&gt;0,N(CHOOSE(MATCH($D85,ListaPuestos,0),INDEX('Cronograma R. Operacional'!$M$5:$M$1000,$AM85),INDEX('Cronograma R. Normativo'!$M$5:$M$1000,$AM85),INDEX('Cronograma R. Financiero'!$M$5:$M$1000,$AM85),INDEX('Cronograma Asistente Técnico'!$M$5:$M$1000,$AM85))),0),IF(ISNUMBER($G85),1,IF(N($W85)&gt;0,MIN(1,SUMIFS($Y$5:$Y$1000,$U$5:$U$1000,ROW(),$V$5:$V$1000,"Sub")),$Y85))))</f>
        <v/>
      </c>
      <c r="N85" s="56">
        <f>IF(OR($M85="",$V85="Sub"),"",IF($M85&gt;=1,"Completado",IF($M85&gt;0,"En curso","Pendiente")))</f>
        <v/>
      </c>
      <c r="O85" s="56">
        <f>IF(NOT((COUNTA($B85:$D85)+COUNTA($G85:$H85)+COUNTA($Q85))&gt;0),"",IF(AND(AND($D85&lt;&gt;"",$V85="Macro"),N($AM85)&gt;0),CHOOSE(MATCH($D85,ListaPuestos,0),INDEX('Cronograma R. Operacional'!$O$5:$O$1000,$AM85),INDEX('Cronograma R. Normativo'!$O$5:$O$1000,$AM85),INDEX('Cronograma R. Financiero'!$O$5:$O$1000,$AM85),INDEX('Cronograma Asistente Técnico'!$O$5:$O$1000,$AM85))&amp;"",IF(ISNUMBER($G85),IF(AND(ISNUMBER($AS85),$G85&gt;$AS85),"Cumplida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f>IF(NOT((COUNTA($B85:$D85)+COUNTA($G85:$H85)+COUNTA($Q85))&gt;0),"",IF($D85="","Propia",IF($V85&lt;&gt;"Macro","Solo se delegan macroactividades",IF(N($AM85)&gt;0,"✔ Recibida por "&amp;$D85,"⚠ "&amp;$D85&amp;" aún no la agrega"))))</f>
        <v/>
      </c>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f>IF(NOT(AND($D85&lt;&gt;"",$V85="Macro")),"",IFERROR(CHOOSE(MATCH($D85,ListaPuestos,0),MATCH("[Jefatura] "&amp;$C85,'Cronograma R. Operacional'!$C$5:$C$1000,0),MATCH("[Jefatura] "&amp;$C85,'Cronograma R. Normativo'!$C$5:$C$1000,0),MATCH("[Jefatura] "&amp;$C85,'Cronograma R. Financiero'!$C$5:$C$1000,0),MATCH("[Jefatura] "&amp;$C85,'Cronograma Asistente Técnico'!$C$5:$C$1000,0)),0))</f>
        <v/>
      </c>
      <c r="AN85" s="62">
        <f>IF(AND(AND($D85&lt;&gt;"",$V85="Macro"),$S85=MesCiclo),COUNTIFS($D$5:$D85,$D85,$S$5:$S85,MesCiclo,$V$5:$V85,"Macro"),"")</f>
        <v/>
      </c>
      <c r="AO85" s="62">
        <f>IF($AN85="","",$D85&amp;"|"&amp;$AN85)</f>
        <v/>
      </c>
      <c r="AP85" s="62">
        <f>IF(AND($D85&lt;&gt;"",$V85="Macro"),$D85&amp;"|"&amp;$C85,"")</f>
        <v/>
      </c>
      <c r="AQ85" s="62">
        <f>""</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t="n"/>
      <c r="F86" s="59" t="n"/>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IF(NOT((COUNTA($B86:$D86)+COUNTA($G86:$H86)+COUNTA($Q86))&gt;0),"",IF(AND($D86&lt;&gt;"",$V86="Macro"),IF(N($AM86)&gt;0,N(CHOOSE(MATCH($D86,ListaPuestos,0),INDEX('Cronograma R. Operacional'!$M$5:$M$1000,$AM86),INDEX('Cronograma R. Normativo'!$M$5:$M$1000,$AM86),INDEX('Cronograma R. Financiero'!$M$5:$M$1000,$AM86),INDEX('Cronograma Asistente Técnico'!$M$5:$M$1000,$AM86))),0),IF(ISNUMBER($G86),1,IF(N($W86)&gt;0,MIN(1,SUMIFS($Y$5:$Y$1000,$U$5:$U$1000,ROW(),$V$5:$V$1000,"Sub")),$Y86))))</f>
        <v/>
      </c>
      <c r="N86" s="56">
        <f>IF(OR($M86="",$V86="Sub"),"",IF($M86&gt;=1,"Completado",IF($M86&gt;0,"En curso","Pendiente")))</f>
        <v/>
      </c>
      <c r="O86" s="56">
        <f>IF(NOT((COUNTA($B86:$D86)+COUNTA($G86:$H86)+COUNTA($Q86))&gt;0),"",IF(AND(AND($D86&lt;&gt;"",$V86="Macro"),N($AM86)&gt;0),CHOOSE(MATCH($D86,ListaPuestos,0),INDEX('Cronograma R. Operacional'!$O$5:$O$1000,$AM86),INDEX('Cronograma R. Normativo'!$O$5:$O$1000,$AM86),INDEX('Cronograma R. Financiero'!$O$5:$O$1000,$AM86),INDEX('Cronograma Asistente Técnico'!$O$5:$O$1000,$AM86))&amp;"",IF(ISNUMBER($G86),IF(AND(ISNUMBER($AS86),$G86&gt;$AS86),"Cumplida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f>IF(NOT((COUNTA($B86:$D86)+COUNTA($G86:$H86)+COUNTA($Q86))&gt;0),"",IF($D86="","Propia",IF($V86&lt;&gt;"Macro","Solo se delegan macroactividades",IF(N($AM86)&gt;0,"✔ Recibida por "&amp;$D86,"⚠ "&amp;$D86&amp;" aún no la agrega"))))</f>
        <v/>
      </c>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f>IF(NOT(AND($D86&lt;&gt;"",$V86="Macro")),"",IFERROR(CHOOSE(MATCH($D86,ListaPuestos,0),MATCH("[Jefatura] "&amp;$C86,'Cronograma R. Operacional'!$C$5:$C$1000,0),MATCH("[Jefatura] "&amp;$C86,'Cronograma R. Normativo'!$C$5:$C$1000,0),MATCH("[Jefatura] "&amp;$C86,'Cronograma R. Financiero'!$C$5:$C$1000,0),MATCH("[Jefatura] "&amp;$C86,'Cronograma Asistente Técnico'!$C$5:$C$1000,0)),0))</f>
        <v/>
      </c>
      <c r="AN86" s="62">
        <f>IF(AND(AND($D86&lt;&gt;"",$V86="Macro"),$S86=MesCiclo),COUNTIFS($D$5:$D86,$D86,$S$5:$S86,MesCiclo,$V$5:$V86,"Macro"),"")</f>
        <v/>
      </c>
      <c r="AO86" s="62">
        <f>IF($AN86="","",$D86&amp;"|"&amp;$AN86)</f>
        <v/>
      </c>
      <c r="AP86" s="62">
        <f>IF(AND($D86&lt;&gt;"",$V86="Macro"),$D86&amp;"|"&amp;$C86,"")</f>
        <v/>
      </c>
      <c r="AQ86" s="62">
        <f>""</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t="n"/>
      <c r="F87" s="59" t="n"/>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IF(NOT((COUNTA($B87:$D87)+COUNTA($G87:$H87)+COUNTA($Q87))&gt;0),"",IF(AND($D87&lt;&gt;"",$V87="Macro"),IF(N($AM87)&gt;0,N(CHOOSE(MATCH($D87,ListaPuestos,0),INDEX('Cronograma R. Operacional'!$M$5:$M$1000,$AM87),INDEX('Cronograma R. Normativo'!$M$5:$M$1000,$AM87),INDEX('Cronograma R. Financiero'!$M$5:$M$1000,$AM87),INDEX('Cronograma Asistente Técnico'!$M$5:$M$1000,$AM87))),0),IF(ISNUMBER($G87),1,IF(N($W87)&gt;0,MIN(1,SUMIFS($Y$5:$Y$1000,$U$5:$U$1000,ROW(),$V$5:$V$1000,"Sub")),$Y87))))</f>
        <v/>
      </c>
      <c r="N87" s="56">
        <f>IF(OR($M87="",$V87="Sub"),"",IF($M87&gt;=1,"Completado",IF($M87&gt;0,"En curso","Pendiente")))</f>
        <v/>
      </c>
      <c r="O87" s="56">
        <f>IF(NOT((COUNTA($B87:$D87)+COUNTA($G87:$H87)+COUNTA($Q87))&gt;0),"",IF(AND(AND($D87&lt;&gt;"",$V87="Macro"),N($AM87)&gt;0),CHOOSE(MATCH($D87,ListaPuestos,0),INDEX('Cronograma R. Operacional'!$O$5:$O$1000,$AM87),INDEX('Cronograma R. Normativo'!$O$5:$O$1000,$AM87),INDEX('Cronograma R. Financiero'!$O$5:$O$1000,$AM87),INDEX('Cronograma Asistente Técnico'!$O$5:$O$1000,$AM87))&amp;"",IF(ISNUMBER($G87),IF(AND(ISNUMBER($AS87),$G87&gt;$AS87),"Cumplida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f>IF(NOT((COUNTA($B87:$D87)+COUNTA($G87:$H87)+COUNTA($Q87))&gt;0),"",IF($D87="","Propia",IF($V87&lt;&gt;"Macro","Solo se delegan macroactividades",IF(N($AM87)&gt;0,"✔ Recibida por "&amp;$D87,"⚠ "&amp;$D87&amp;" aún no la agrega"))))</f>
        <v/>
      </c>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f>IF(NOT(AND($D87&lt;&gt;"",$V87="Macro")),"",IFERROR(CHOOSE(MATCH($D87,ListaPuestos,0),MATCH("[Jefatura] "&amp;$C87,'Cronograma R. Operacional'!$C$5:$C$1000,0),MATCH("[Jefatura] "&amp;$C87,'Cronograma R. Normativo'!$C$5:$C$1000,0),MATCH("[Jefatura] "&amp;$C87,'Cronograma R. Financiero'!$C$5:$C$1000,0),MATCH("[Jefatura] "&amp;$C87,'Cronograma Asistente Técnico'!$C$5:$C$1000,0)),0))</f>
        <v/>
      </c>
      <c r="AN87" s="62">
        <f>IF(AND(AND($D87&lt;&gt;"",$V87="Macro"),$S87=MesCiclo),COUNTIFS($D$5:$D87,$D87,$S$5:$S87,MesCiclo,$V$5:$V87,"Macro"),"")</f>
        <v/>
      </c>
      <c r="AO87" s="62">
        <f>IF($AN87="","",$D87&amp;"|"&amp;$AN87)</f>
        <v/>
      </c>
      <c r="AP87" s="62">
        <f>IF(AND($D87&lt;&gt;"",$V87="Macro"),$D87&amp;"|"&amp;$C87,"")</f>
        <v/>
      </c>
      <c r="AQ87" s="62">
        <f>""</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t="n"/>
      <c r="F88" s="59" t="n"/>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IF(NOT((COUNTA($B88:$D88)+COUNTA($G88:$H88)+COUNTA($Q88))&gt;0),"",IF(AND($D88&lt;&gt;"",$V88="Macro"),IF(N($AM88)&gt;0,N(CHOOSE(MATCH($D88,ListaPuestos,0),INDEX('Cronograma R. Operacional'!$M$5:$M$1000,$AM88),INDEX('Cronograma R. Normativo'!$M$5:$M$1000,$AM88),INDEX('Cronograma R. Financiero'!$M$5:$M$1000,$AM88),INDEX('Cronograma Asistente Técnico'!$M$5:$M$1000,$AM88))),0),IF(ISNUMBER($G88),1,IF(N($W88)&gt;0,MIN(1,SUMIFS($Y$5:$Y$1000,$U$5:$U$1000,ROW(),$V$5:$V$1000,"Sub")),$Y88))))</f>
        <v/>
      </c>
      <c r="N88" s="56">
        <f>IF(OR($M88="",$V88="Sub"),"",IF($M88&gt;=1,"Completado",IF($M88&gt;0,"En curso","Pendiente")))</f>
        <v/>
      </c>
      <c r="O88" s="56">
        <f>IF(NOT((COUNTA($B88:$D88)+COUNTA($G88:$H88)+COUNTA($Q88))&gt;0),"",IF(AND(AND($D88&lt;&gt;"",$V88="Macro"),N($AM88)&gt;0),CHOOSE(MATCH($D88,ListaPuestos,0),INDEX('Cronograma R. Operacional'!$O$5:$O$1000,$AM88),INDEX('Cronograma R. Normativo'!$O$5:$O$1000,$AM88),INDEX('Cronograma R. Financiero'!$O$5:$O$1000,$AM88),INDEX('Cronograma Asistente Técnico'!$O$5:$O$1000,$AM88))&amp;"",IF(ISNUMBER($G88),IF(AND(ISNUMBER($AS88),$G88&gt;$AS88),"Cumplida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f>IF(NOT((COUNTA($B88:$D88)+COUNTA($G88:$H88)+COUNTA($Q88))&gt;0),"",IF($D88="","Propia",IF($V88&lt;&gt;"Macro","Solo se delegan macroactividades",IF(N($AM88)&gt;0,"✔ Recibida por "&amp;$D88,"⚠ "&amp;$D88&amp;" aún no la agrega"))))</f>
        <v/>
      </c>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f>IF(NOT(AND($D88&lt;&gt;"",$V88="Macro")),"",IFERROR(CHOOSE(MATCH($D88,ListaPuestos,0),MATCH("[Jefatura] "&amp;$C88,'Cronograma R. Operacional'!$C$5:$C$1000,0),MATCH("[Jefatura] "&amp;$C88,'Cronograma R. Normativo'!$C$5:$C$1000,0),MATCH("[Jefatura] "&amp;$C88,'Cronograma R. Financiero'!$C$5:$C$1000,0),MATCH("[Jefatura] "&amp;$C88,'Cronograma Asistente Técnico'!$C$5:$C$1000,0)),0))</f>
        <v/>
      </c>
      <c r="AN88" s="62">
        <f>IF(AND(AND($D88&lt;&gt;"",$V88="Macro"),$S88=MesCiclo),COUNTIFS($D$5:$D88,$D88,$S$5:$S88,MesCiclo,$V$5:$V88,"Macro"),"")</f>
        <v/>
      </c>
      <c r="AO88" s="62">
        <f>IF($AN88="","",$D88&amp;"|"&amp;$AN88)</f>
        <v/>
      </c>
      <c r="AP88" s="62">
        <f>IF(AND($D88&lt;&gt;"",$V88="Macro"),$D88&amp;"|"&amp;$C88,"")</f>
        <v/>
      </c>
      <c r="AQ88" s="62">
        <f>""</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t="n"/>
      <c r="F89" s="59" t="n"/>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IF(NOT((COUNTA($B89:$D89)+COUNTA($G89:$H89)+COUNTA($Q89))&gt;0),"",IF(AND($D89&lt;&gt;"",$V89="Macro"),IF(N($AM89)&gt;0,N(CHOOSE(MATCH($D89,ListaPuestos,0),INDEX('Cronograma R. Operacional'!$M$5:$M$1000,$AM89),INDEX('Cronograma R. Normativo'!$M$5:$M$1000,$AM89),INDEX('Cronograma R. Financiero'!$M$5:$M$1000,$AM89),INDEX('Cronograma Asistente Técnico'!$M$5:$M$1000,$AM89))),0),IF(ISNUMBER($G89),1,IF(N($W89)&gt;0,MIN(1,SUMIFS($Y$5:$Y$1000,$U$5:$U$1000,ROW(),$V$5:$V$1000,"Sub")),$Y89))))</f>
        <v/>
      </c>
      <c r="N89" s="56">
        <f>IF(OR($M89="",$V89="Sub"),"",IF($M89&gt;=1,"Completado",IF($M89&gt;0,"En curso","Pendiente")))</f>
        <v/>
      </c>
      <c r="O89" s="56">
        <f>IF(NOT((COUNTA($B89:$D89)+COUNTA($G89:$H89)+COUNTA($Q89))&gt;0),"",IF(AND(AND($D89&lt;&gt;"",$V89="Macro"),N($AM89)&gt;0),CHOOSE(MATCH($D89,ListaPuestos,0),INDEX('Cronograma R. Operacional'!$O$5:$O$1000,$AM89),INDEX('Cronograma R. Normativo'!$O$5:$O$1000,$AM89),INDEX('Cronograma R. Financiero'!$O$5:$O$1000,$AM89),INDEX('Cronograma Asistente Técnico'!$O$5:$O$1000,$AM89))&amp;"",IF(ISNUMBER($G89),IF(AND(ISNUMBER($AS89),$G89&gt;$AS89),"Cumplida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f>IF(NOT((COUNTA($B89:$D89)+COUNTA($G89:$H89)+COUNTA($Q89))&gt;0),"",IF($D89="","Propia",IF($V89&lt;&gt;"Macro","Solo se delegan macroactividades",IF(N($AM89)&gt;0,"✔ Recibida por "&amp;$D89,"⚠ "&amp;$D89&amp;" aún no la agrega"))))</f>
        <v/>
      </c>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f>IF(NOT(AND($D89&lt;&gt;"",$V89="Macro")),"",IFERROR(CHOOSE(MATCH($D89,ListaPuestos,0),MATCH("[Jefatura] "&amp;$C89,'Cronograma R. Operacional'!$C$5:$C$1000,0),MATCH("[Jefatura] "&amp;$C89,'Cronograma R. Normativo'!$C$5:$C$1000,0),MATCH("[Jefatura] "&amp;$C89,'Cronograma R. Financiero'!$C$5:$C$1000,0),MATCH("[Jefatura] "&amp;$C89,'Cronograma Asistente Técnico'!$C$5:$C$1000,0)),0))</f>
        <v/>
      </c>
      <c r="AN89" s="62">
        <f>IF(AND(AND($D89&lt;&gt;"",$V89="Macro"),$S89=MesCiclo),COUNTIFS($D$5:$D89,$D89,$S$5:$S89,MesCiclo,$V$5:$V89,"Macro"),"")</f>
        <v/>
      </c>
      <c r="AO89" s="62">
        <f>IF($AN89="","",$D89&amp;"|"&amp;$AN89)</f>
        <v/>
      </c>
      <c r="AP89" s="62">
        <f>IF(AND($D89&lt;&gt;"",$V89="Macro"),$D89&amp;"|"&amp;$C89,"")</f>
        <v/>
      </c>
      <c r="AQ89" s="62">
        <f>""</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t="n"/>
      <c r="F90" s="59" t="n"/>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IF(NOT((COUNTA($B90:$D90)+COUNTA($G90:$H90)+COUNTA($Q90))&gt;0),"",IF(AND($D90&lt;&gt;"",$V90="Macro"),IF(N($AM90)&gt;0,N(CHOOSE(MATCH($D90,ListaPuestos,0),INDEX('Cronograma R. Operacional'!$M$5:$M$1000,$AM90),INDEX('Cronograma R. Normativo'!$M$5:$M$1000,$AM90),INDEX('Cronograma R. Financiero'!$M$5:$M$1000,$AM90),INDEX('Cronograma Asistente Técnico'!$M$5:$M$1000,$AM90))),0),IF(ISNUMBER($G90),1,IF(N($W90)&gt;0,MIN(1,SUMIFS($Y$5:$Y$1000,$U$5:$U$1000,ROW(),$V$5:$V$1000,"Sub")),$Y90))))</f>
        <v/>
      </c>
      <c r="N90" s="56">
        <f>IF(OR($M90="",$V90="Sub"),"",IF($M90&gt;=1,"Completado",IF($M90&gt;0,"En curso","Pendiente")))</f>
        <v/>
      </c>
      <c r="O90" s="56">
        <f>IF(NOT((COUNTA($B90:$D90)+COUNTA($G90:$H90)+COUNTA($Q90))&gt;0),"",IF(AND(AND($D90&lt;&gt;"",$V90="Macro"),N($AM90)&gt;0),CHOOSE(MATCH($D90,ListaPuestos,0),INDEX('Cronograma R. Operacional'!$O$5:$O$1000,$AM90),INDEX('Cronograma R. Normativo'!$O$5:$O$1000,$AM90),INDEX('Cronograma R. Financiero'!$O$5:$O$1000,$AM90),INDEX('Cronograma Asistente Técnico'!$O$5:$O$1000,$AM90))&amp;"",IF(ISNUMBER($G90),IF(AND(ISNUMBER($AS90),$G90&gt;$AS90),"Cumplida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f>IF(NOT((COUNTA($B90:$D90)+COUNTA($G90:$H90)+COUNTA($Q90))&gt;0),"",IF($D90="","Propia",IF($V90&lt;&gt;"Macro","Solo se delegan macroactividades",IF(N($AM90)&gt;0,"✔ Recibida por "&amp;$D90,"⚠ "&amp;$D90&amp;" aún no la agrega"))))</f>
        <v/>
      </c>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f>IF(NOT(AND($D90&lt;&gt;"",$V90="Macro")),"",IFERROR(CHOOSE(MATCH($D90,ListaPuestos,0),MATCH("[Jefatura] "&amp;$C90,'Cronograma R. Operacional'!$C$5:$C$1000,0),MATCH("[Jefatura] "&amp;$C90,'Cronograma R. Normativo'!$C$5:$C$1000,0),MATCH("[Jefatura] "&amp;$C90,'Cronograma R. Financiero'!$C$5:$C$1000,0),MATCH("[Jefatura] "&amp;$C90,'Cronograma Asistente Técnico'!$C$5:$C$1000,0)),0))</f>
        <v/>
      </c>
      <c r="AN90" s="62">
        <f>IF(AND(AND($D90&lt;&gt;"",$V90="Macro"),$S90=MesCiclo),COUNTIFS($D$5:$D90,$D90,$S$5:$S90,MesCiclo,$V$5:$V90,"Macro"),"")</f>
        <v/>
      </c>
      <c r="AO90" s="62">
        <f>IF($AN90="","",$D90&amp;"|"&amp;$AN90)</f>
        <v/>
      </c>
      <c r="AP90" s="62">
        <f>IF(AND($D90&lt;&gt;"",$V90="Macro"),$D90&amp;"|"&amp;$C90,"")</f>
        <v/>
      </c>
      <c r="AQ90" s="62">
        <f>""</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t="n"/>
      <c r="F91" s="59" t="n"/>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IF(NOT((COUNTA($B91:$D91)+COUNTA($G91:$H91)+COUNTA($Q91))&gt;0),"",IF(AND($D91&lt;&gt;"",$V91="Macro"),IF(N($AM91)&gt;0,N(CHOOSE(MATCH($D91,ListaPuestos,0),INDEX('Cronograma R. Operacional'!$M$5:$M$1000,$AM91),INDEX('Cronograma R. Normativo'!$M$5:$M$1000,$AM91),INDEX('Cronograma R. Financiero'!$M$5:$M$1000,$AM91),INDEX('Cronograma Asistente Técnico'!$M$5:$M$1000,$AM91))),0),IF(ISNUMBER($G91),1,IF(N($W91)&gt;0,MIN(1,SUMIFS($Y$5:$Y$1000,$U$5:$U$1000,ROW(),$V$5:$V$1000,"Sub")),$Y91))))</f>
        <v/>
      </c>
      <c r="N91" s="56">
        <f>IF(OR($M91="",$V91="Sub"),"",IF($M91&gt;=1,"Completado",IF($M91&gt;0,"En curso","Pendiente")))</f>
        <v/>
      </c>
      <c r="O91" s="56">
        <f>IF(NOT((COUNTA($B91:$D91)+COUNTA($G91:$H91)+COUNTA($Q91))&gt;0),"",IF(AND(AND($D91&lt;&gt;"",$V91="Macro"),N($AM91)&gt;0),CHOOSE(MATCH($D91,ListaPuestos,0),INDEX('Cronograma R. Operacional'!$O$5:$O$1000,$AM91),INDEX('Cronograma R. Normativo'!$O$5:$O$1000,$AM91),INDEX('Cronograma R. Financiero'!$O$5:$O$1000,$AM91),INDEX('Cronograma Asistente Técnico'!$O$5:$O$1000,$AM91))&amp;"",IF(ISNUMBER($G91),IF(AND(ISNUMBER($AS91),$G91&gt;$AS91),"Cumplida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f>IF(NOT((COUNTA($B91:$D91)+COUNTA($G91:$H91)+COUNTA($Q91))&gt;0),"",IF($D91="","Propia",IF($V91&lt;&gt;"Macro","Solo se delegan macroactividades",IF(N($AM91)&gt;0,"✔ Recibida por "&amp;$D91,"⚠ "&amp;$D91&amp;" aún no la agrega"))))</f>
        <v/>
      </c>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f>IF(NOT(AND($D91&lt;&gt;"",$V91="Macro")),"",IFERROR(CHOOSE(MATCH($D91,ListaPuestos,0),MATCH("[Jefatura] "&amp;$C91,'Cronograma R. Operacional'!$C$5:$C$1000,0),MATCH("[Jefatura] "&amp;$C91,'Cronograma R. Normativo'!$C$5:$C$1000,0),MATCH("[Jefatura] "&amp;$C91,'Cronograma R. Financiero'!$C$5:$C$1000,0),MATCH("[Jefatura] "&amp;$C91,'Cronograma Asistente Técnico'!$C$5:$C$1000,0)),0))</f>
        <v/>
      </c>
      <c r="AN91" s="62">
        <f>IF(AND(AND($D91&lt;&gt;"",$V91="Macro"),$S91=MesCiclo),COUNTIFS($D$5:$D91,$D91,$S$5:$S91,MesCiclo,$V$5:$V91,"Macro"),"")</f>
        <v/>
      </c>
      <c r="AO91" s="62">
        <f>IF($AN91="","",$D91&amp;"|"&amp;$AN91)</f>
        <v/>
      </c>
      <c r="AP91" s="62">
        <f>IF(AND($D91&lt;&gt;"",$V91="Macro"),$D91&amp;"|"&amp;$C91,"")</f>
        <v/>
      </c>
      <c r="AQ91" s="62">
        <f>""</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t="n"/>
      <c r="F92" s="59" t="n"/>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IF(NOT((COUNTA($B92:$D92)+COUNTA($G92:$H92)+COUNTA($Q92))&gt;0),"",IF(AND($D92&lt;&gt;"",$V92="Macro"),IF(N($AM92)&gt;0,N(CHOOSE(MATCH($D92,ListaPuestos,0),INDEX('Cronograma R. Operacional'!$M$5:$M$1000,$AM92),INDEX('Cronograma R. Normativo'!$M$5:$M$1000,$AM92),INDEX('Cronograma R. Financiero'!$M$5:$M$1000,$AM92),INDEX('Cronograma Asistente Técnico'!$M$5:$M$1000,$AM92))),0),IF(ISNUMBER($G92),1,IF(N($W92)&gt;0,MIN(1,SUMIFS($Y$5:$Y$1000,$U$5:$U$1000,ROW(),$V$5:$V$1000,"Sub")),$Y92))))</f>
        <v/>
      </c>
      <c r="N92" s="56">
        <f>IF(OR($M92="",$V92="Sub"),"",IF($M92&gt;=1,"Completado",IF($M92&gt;0,"En curso","Pendiente")))</f>
        <v/>
      </c>
      <c r="O92" s="56">
        <f>IF(NOT((COUNTA($B92:$D92)+COUNTA($G92:$H92)+COUNTA($Q92))&gt;0),"",IF(AND(AND($D92&lt;&gt;"",$V92="Macro"),N($AM92)&gt;0),CHOOSE(MATCH($D92,ListaPuestos,0),INDEX('Cronograma R. Operacional'!$O$5:$O$1000,$AM92),INDEX('Cronograma R. Normativo'!$O$5:$O$1000,$AM92),INDEX('Cronograma R. Financiero'!$O$5:$O$1000,$AM92),INDEX('Cronograma Asistente Técnico'!$O$5:$O$1000,$AM92))&amp;"",IF(ISNUMBER($G92),IF(AND(ISNUMBER($AS92),$G92&gt;$AS92),"Cumplida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f>IF(NOT((COUNTA($B92:$D92)+COUNTA($G92:$H92)+COUNTA($Q92))&gt;0),"",IF($D92="","Propia",IF($V92&lt;&gt;"Macro","Solo se delegan macroactividades",IF(N($AM92)&gt;0,"✔ Recibida por "&amp;$D92,"⚠ "&amp;$D92&amp;" aún no la agrega"))))</f>
        <v/>
      </c>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f>IF(NOT(AND($D92&lt;&gt;"",$V92="Macro")),"",IFERROR(CHOOSE(MATCH($D92,ListaPuestos,0),MATCH("[Jefatura] "&amp;$C92,'Cronograma R. Operacional'!$C$5:$C$1000,0),MATCH("[Jefatura] "&amp;$C92,'Cronograma R. Normativo'!$C$5:$C$1000,0),MATCH("[Jefatura] "&amp;$C92,'Cronograma R. Financiero'!$C$5:$C$1000,0),MATCH("[Jefatura] "&amp;$C92,'Cronograma Asistente Técnico'!$C$5:$C$1000,0)),0))</f>
        <v/>
      </c>
      <c r="AN92" s="62">
        <f>IF(AND(AND($D92&lt;&gt;"",$V92="Macro"),$S92=MesCiclo),COUNTIFS($D$5:$D92,$D92,$S$5:$S92,MesCiclo,$V$5:$V92,"Macro"),"")</f>
        <v/>
      </c>
      <c r="AO92" s="62">
        <f>IF($AN92="","",$D92&amp;"|"&amp;$AN92)</f>
        <v/>
      </c>
      <c r="AP92" s="62">
        <f>IF(AND($D92&lt;&gt;"",$V92="Macro"),$D92&amp;"|"&amp;$C92,"")</f>
        <v/>
      </c>
      <c r="AQ92" s="62">
        <f>""</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t="n"/>
      <c r="F93" s="59" t="n"/>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IF(NOT((COUNTA($B93:$D93)+COUNTA($G93:$H93)+COUNTA($Q93))&gt;0),"",IF(AND($D93&lt;&gt;"",$V93="Macro"),IF(N($AM93)&gt;0,N(CHOOSE(MATCH($D93,ListaPuestos,0),INDEX('Cronograma R. Operacional'!$M$5:$M$1000,$AM93),INDEX('Cronograma R. Normativo'!$M$5:$M$1000,$AM93),INDEX('Cronograma R. Financiero'!$M$5:$M$1000,$AM93),INDEX('Cronograma Asistente Técnico'!$M$5:$M$1000,$AM93))),0),IF(ISNUMBER($G93),1,IF(N($W93)&gt;0,MIN(1,SUMIFS($Y$5:$Y$1000,$U$5:$U$1000,ROW(),$V$5:$V$1000,"Sub")),$Y93))))</f>
        <v/>
      </c>
      <c r="N93" s="56">
        <f>IF(OR($M93="",$V93="Sub"),"",IF($M93&gt;=1,"Completado",IF($M93&gt;0,"En curso","Pendiente")))</f>
        <v/>
      </c>
      <c r="O93" s="56">
        <f>IF(NOT((COUNTA($B93:$D93)+COUNTA($G93:$H93)+COUNTA($Q93))&gt;0),"",IF(AND(AND($D93&lt;&gt;"",$V93="Macro"),N($AM93)&gt;0),CHOOSE(MATCH($D93,ListaPuestos,0),INDEX('Cronograma R. Operacional'!$O$5:$O$1000,$AM93),INDEX('Cronograma R. Normativo'!$O$5:$O$1000,$AM93),INDEX('Cronograma R. Financiero'!$O$5:$O$1000,$AM93),INDEX('Cronograma Asistente Técnico'!$O$5:$O$1000,$AM93))&amp;"",IF(ISNUMBER($G93),IF(AND(ISNUMBER($AS93),$G93&gt;$AS93),"Cumplida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f>IF(NOT((COUNTA($B93:$D93)+COUNTA($G93:$H93)+COUNTA($Q93))&gt;0),"",IF($D93="","Propia",IF($V93&lt;&gt;"Macro","Solo se delegan macroactividades",IF(N($AM93)&gt;0,"✔ Recibida por "&amp;$D93,"⚠ "&amp;$D93&amp;" aún no la agrega"))))</f>
        <v/>
      </c>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f>IF(NOT(AND($D93&lt;&gt;"",$V93="Macro")),"",IFERROR(CHOOSE(MATCH($D93,ListaPuestos,0),MATCH("[Jefatura] "&amp;$C93,'Cronograma R. Operacional'!$C$5:$C$1000,0),MATCH("[Jefatura] "&amp;$C93,'Cronograma R. Normativo'!$C$5:$C$1000,0),MATCH("[Jefatura] "&amp;$C93,'Cronograma R. Financiero'!$C$5:$C$1000,0),MATCH("[Jefatura] "&amp;$C93,'Cronograma Asistente Técnico'!$C$5:$C$1000,0)),0))</f>
        <v/>
      </c>
      <c r="AN93" s="62">
        <f>IF(AND(AND($D93&lt;&gt;"",$V93="Macro"),$S93=MesCiclo),COUNTIFS($D$5:$D93,$D93,$S$5:$S93,MesCiclo,$V$5:$V93,"Macro"),"")</f>
        <v/>
      </c>
      <c r="AO93" s="62">
        <f>IF($AN93="","",$D93&amp;"|"&amp;$AN93)</f>
        <v/>
      </c>
      <c r="AP93" s="62">
        <f>IF(AND($D93&lt;&gt;"",$V93="Macro"),$D93&amp;"|"&amp;$C93,"")</f>
        <v/>
      </c>
      <c r="AQ93" s="62">
        <f>""</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t="n"/>
      <c r="F94" s="59" t="n"/>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IF(NOT((COUNTA($B94:$D94)+COUNTA($G94:$H94)+COUNTA($Q94))&gt;0),"",IF(AND($D94&lt;&gt;"",$V94="Macro"),IF(N($AM94)&gt;0,N(CHOOSE(MATCH($D94,ListaPuestos,0),INDEX('Cronograma R. Operacional'!$M$5:$M$1000,$AM94),INDEX('Cronograma R. Normativo'!$M$5:$M$1000,$AM94),INDEX('Cronograma R. Financiero'!$M$5:$M$1000,$AM94),INDEX('Cronograma Asistente Técnico'!$M$5:$M$1000,$AM94))),0),IF(ISNUMBER($G94),1,IF(N($W94)&gt;0,MIN(1,SUMIFS($Y$5:$Y$1000,$U$5:$U$1000,ROW(),$V$5:$V$1000,"Sub")),$Y94))))</f>
        <v/>
      </c>
      <c r="N94" s="56">
        <f>IF(OR($M94="",$V94="Sub"),"",IF($M94&gt;=1,"Completado",IF($M94&gt;0,"En curso","Pendiente")))</f>
        <v/>
      </c>
      <c r="O94" s="56">
        <f>IF(NOT((COUNTA($B94:$D94)+COUNTA($G94:$H94)+COUNTA($Q94))&gt;0),"",IF(AND(AND($D94&lt;&gt;"",$V94="Macro"),N($AM94)&gt;0),CHOOSE(MATCH($D94,ListaPuestos,0),INDEX('Cronograma R. Operacional'!$O$5:$O$1000,$AM94),INDEX('Cronograma R. Normativo'!$O$5:$O$1000,$AM94),INDEX('Cronograma R. Financiero'!$O$5:$O$1000,$AM94),INDEX('Cronograma Asistente Técnico'!$O$5:$O$1000,$AM94))&amp;"",IF(ISNUMBER($G94),IF(AND(ISNUMBER($AS94),$G94&gt;$AS94),"Cumplida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f>IF(NOT((COUNTA($B94:$D94)+COUNTA($G94:$H94)+COUNTA($Q94))&gt;0),"",IF($D94="","Propia",IF($V94&lt;&gt;"Macro","Solo se delegan macroactividades",IF(N($AM94)&gt;0,"✔ Recibida por "&amp;$D94,"⚠ "&amp;$D94&amp;" aún no la agrega"))))</f>
        <v/>
      </c>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f>IF(NOT(AND($D94&lt;&gt;"",$V94="Macro")),"",IFERROR(CHOOSE(MATCH($D94,ListaPuestos,0),MATCH("[Jefatura] "&amp;$C94,'Cronograma R. Operacional'!$C$5:$C$1000,0),MATCH("[Jefatura] "&amp;$C94,'Cronograma R. Normativo'!$C$5:$C$1000,0),MATCH("[Jefatura] "&amp;$C94,'Cronograma R. Financiero'!$C$5:$C$1000,0),MATCH("[Jefatura] "&amp;$C94,'Cronograma Asistente Técnico'!$C$5:$C$1000,0)),0))</f>
        <v/>
      </c>
      <c r="AN94" s="62">
        <f>IF(AND(AND($D94&lt;&gt;"",$V94="Macro"),$S94=MesCiclo),COUNTIFS($D$5:$D94,$D94,$S$5:$S94,MesCiclo,$V$5:$V94,"Macro"),"")</f>
        <v/>
      </c>
      <c r="AO94" s="62">
        <f>IF($AN94="","",$D94&amp;"|"&amp;$AN94)</f>
        <v/>
      </c>
      <c r="AP94" s="62">
        <f>IF(AND($D94&lt;&gt;"",$V94="Macro"),$D94&amp;"|"&amp;$C94,"")</f>
        <v/>
      </c>
      <c r="AQ94" s="62">
        <f>""</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t="n"/>
      <c r="F95" s="59" t="n"/>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IF(NOT((COUNTA($B95:$D95)+COUNTA($G95:$H95)+COUNTA($Q95))&gt;0),"",IF(AND($D95&lt;&gt;"",$V95="Macro"),IF(N($AM95)&gt;0,N(CHOOSE(MATCH($D95,ListaPuestos,0),INDEX('Cronograma R. Operacional'!$M$5:$M$1000,$AM95),INDEX('Cronograma R. Normativo'!$M$5:$M$1000,$AM95),INDEX('Cronograma R. Financiero'!$M$5:$M$1000,$AM95),INDEX('Cronograma Asistente Técnico'!$M$5:$M$1000,$AM95))),0),IF(ISNUMBER($G95),1,IF(N($W95)&gt;0,MIN(1,SUMIFS($Y$5:$Y$1000,$U$5:$U$1000,ROW(),$V$5:$V$1000,"Sub")),$Y95))))</f>
        <v/>
      </c>
      <c r="N95" s="56">
        <f>IF(OR($M95="",$V95="Sub"),"",IF($M95&gt;=1,"Completado",IF($M95&gt;0,"En curso","Pendiente")))</f>
        <v/>
      </c>
      <c r="O95" s="56">
        <f>IF(NOT((COUNTA($B95:$D95)+COUNTA($G95:$H95)+COUNTA($Q95))&gt;0),"",IF(AND(AND($D95&lt;&gt;"",$V95="Macro"),N($AM95)&gt;0),CHOOSE(MATCH($D95,ListaPuestos,0),INDEX('Cronograma R. Operacional'!$O$5:$O$1000,$AM95),INDEX('Cronograma R. Normativo'!$O$5:$O$1000,$AM95),INDEX('Cronograma R. Financiero'!$O$5:$O$1000,$AM95),INDEX('Cronograma Asistente Técnico'!$O$5:$O$1000,$AM95))&amp;"",IF(ISNUMBER($G95),IF(AND(ISNUMBER($AS95),$G95&gt;$AS95),"Cumplida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f>IF(NOT((COUNTA($B95:$D95)+COUNTA($G95:$H95)+COUNTA($Q95))&gt;0),"",IF($D95="","Propia",IF($V95&lt;&gt;"Macro","Solo se delegan macroactividades",IF(N($AM95)&gt;0,"✔ Recibida por "&amp;$D95,"⚠ "&amp;$D95&amp;" aún no la agrega"))))</f>
        <v/>
      </c>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f>IF(NOT(AND($D95&lt;&gt;"",$V95="Macro")),"",IFERROR(CHOOSE(MATCH($D95,ListaPuestos,0),MATCH("[Jefatura] "&amp;$C95,'Cronograma R. Operacional'!$C$5:$C$1000,0),MATCH("[Jefatura] "&amp;$C95,'Cronograma R. Normativo'!$C$5:$C$1000,0),MATCH("[Jefatura] "&amp;$C95,'Cronograma R. Financiero'!$C$5:$C$1000,0),MATCH("[Jefatura] "&amp;$C95,'Cronograma Asistente Técnico'!$C$5:$C$1000,0)),0))</f>
        <v/>
      </c>
      <c r="AN95" s="62">
        <f>IF(AND(AND($D95&lt;&gt;"",$V95="Macro"),$S95=MesCiclo),COUNTIFS($D$5:$D95,$D95,$S$5:$S95,MesCiclo,$V$5:$V95,"Macro"),"")</f>
        <v/>
      </c>
      <c r="AO95" s="62">
        <f>IF($AN95="","",$D95&amp;"|"&amp;$AN95)</f>
        <v/>
      </c>
      <c r="AP95" s="62">
        <f>IF(AND($D95&lt;&gt;"",$V95="Macro"),$D95&amp;"|"&amp;$C95,"")</f>
        <v/>
      </c>
      <c r="AQ95" s="62">
        <f>""</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t="n"/>
      <c r="F96" s="59" t="n"/>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IF(NOT((COUNTA($B96:$D96)+COUNTA($G96:$H96)+COUNTA($Q96))&gt;0),"",IF(AND($D96&lt;&gt;"",$V96="Macro"),IF(N($AM96)&gt;0,N(CHOOSE(MATCH($D96,ListaPuestos,0),INDEX('Cronograma R. Operacional'!$M$5:$M$1000,$AM96),INDEX('Cronograma R. Normativo'!$M$5:$M$1000,$AM96),INDEX('Cronograma R. Financiero'!$M$5:$M$1000,$AM96),INDEX('Cronograma Asistente Técnico'!$M$5:$M$1000,$AM96))),0),IF(ISNUMBER($G96),1,IF(N($W96)&gt;0,MIN(1,SUMIFS($Y$5:$Y$1000,$U$5:$U$1000,ROW(),$V$5:$V$1000,"Sub")),$Y96))))</f>
        <v/>
      </c>
      <c r="N96" s="56">
        <f>IF(OR($M96="",$V96="Sub"),"",IF($M96&gt;=1,"Completado",IF($M96&gt;0,"En curso","Pendiente")))</f>
        <v/>
      </c>
      <c r="O96" s="56">
        <f>IF(NOT((COUNTA($B96:$D96)+COUNTA($G96:$H96)+COUNTA($Q96))&gt;0),"",IF(AND(AND($D96&lt;&gt;"",$V96="Macro"),N($AM96)&gt;0),CHOOSE(MATCH($D96,ListaPuestos,0),INDEX('Cronograma R. Operacional'!$O$5:$O$1000,$AM96),INDEX('Cronograma R. Normativo'!$O$5:$O$1000,$AM96),INDEX('Cronograma R. Financiero'!$O$5:$O$1000,$AM96),INDEX('Cronograma Asistente Técnico'!$O$5:$O$1000,$AM96))&amp;"",IF(ISNUMBER($G96),IF(AND(ISNUMBER($AS96),$G96&gt;$AS96),"Cumplida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f>IF(NOT((COUNTA($B96:$D96)+COUNTA($G96:$H96)+COUNTA($Q96))&gt;0),"",IF($D96="","Propia",IF($V96&lt;&gt;"Macro","Solo se delegan macroactividades",IF(N($AM96)&gt;0,"✔ Recibida por "&amp;$D96,"⚠ "&amp;$D96&amp;" aún no la agrega"))))</f>
        <v/>
      </c>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f>IF(NOT(AND($D96&lt;&gt;"",$V96="Macro")),"",IFERROR(CHOOSE(MATCH($D96,ListaPuestos,0),MATCH("[Jefatura] "&amp;$C96,'Cronograma R. Operacional'!$C$5:$C$1000,0),MATCH("[Jefatura] "&amp;$C96,'Cronograma R. Normativo'!$C$5:$C$1000,0),MATCH("[Jefatura] "&amp;$C96,'Cronograma R. Financiero'!$C$5:$C$1000,0),MATCH("[Jefatura] "&amp;$C96,'Cronograma Asistente Técnico'!$C$5:$C$1000,0)),0))</f>
        <v/>
      </c>
      <c r="AN96" s="62">
        <f>IF(AND(AND($D96&lt;&gt;"",$V96="Macro"),$S96=MesCiclo),COUNTIFS($D$5:$D96,$D96,$S$5:$S96,MesCiclo,$V$5:$V96,"Macro"),"")</f>
        <v/>
      </c>
      <c r="AO96" s="62">
        <f>IF($AN96="","",$D96&amp;"|"&amp;$AN96)</f>
        <v/>
      </c>
      <c r="AP96" s="62">
        <f>IF(AND($D96&lt;&gt;"",$V96="Macro"),$D96&amp;"|"&amp;$C96,"")</f>
        <v/>
      </c>
      <c r="AQ96" s="62">
        <f>""</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t="n"/>
      <c r="F97" s="59" t="n"/>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IF(NOT((COUNTA($B97:$D97)+COUNTA($G97:$H97)+COUNTA($Q97))&gt;0),"",IF(AND($D97&lt;&gt;"",$V97="Macro"),IF(N($AM97)&gt;0,N(CHOOSE(MATCH($D97,ListaPuestos,0),INDEX('Cronograma R. Operacional'!$M$5:$M$1000,$AM97),INDEX('Cronograma R. Normativo'!$M$5:$M$1000,$AM97),INDEX('Cronograma R. Financiero'!$M$5:$M$1000,$AM97),INDEX('Cronograma Asistente Técnico'!$M$5:$M$1000,$AM97))),0),IF(ISNUMBER($G97),1,IF(N($W97)&gt;0,MIN(1,SUMIFS($Y$5:$Y$1000,$U$5:$U$1000,ROW(),$V$5:$V$1000,"Sub")),$Y97))))</f>
        <v/>
      </c>
      <c r="N97" s="56">
        <f>IF(OR($M97="",$V97="Sub"),"",IF($M97&gt;=1,"Completado",IF($M97&gt;0,"En curso","Pendiente")))</f>
        <v/>
      </c>
      <c r="O97" s="56">
        <f>IF(NOT((COUNTA($B97:$D97)+COUNTA($G97:$H97)+COUNTA($Q97))&gt;0),"",IF(AND(AND($D97&lt;&gt;"",$V97="Macro"),N($AM97)&gt;0),CHOOSE(MATCH($D97,ListaPuestos,0),INDEX('Cronograma R. Operacional'!$O$5:$O$1000,$AM97),INDEX('Cronograma R. Normativo'!$O$5:$O$1000,$AM97),INDEX('Cronograma R. Financiero'!$O$5:$O$1000,$AM97),INDEX('Cronograma Asistente Técnico'!$O$5:$O$1000,$AM97))&amp;"",IF(ISNUMBER($G97),IF(AND(ISNUMBER($AS97),$G97&gt;$AS97),"Cumplida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f>IF(NOT((COUNTA($B97:$D97)+COUNTA($G97:$H97)+COUNTA($Q97))&gt;0),"",IF($D97="","Propia",IF($V97&lt;&gt;"Macro","Solo se delegan macroactividades",IF(N($AM97)&gt;0,"✔ Recibida por "&amp;$D97,"⚠ "&amp;$D97&amp;" aún no la agrega"))))</f>
        <v/>
      </c>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f>IF(NOT(AND($D97&lt;&gt;"",$V97="Macro")),"",IFERROR(CHOOSE(MATCH($D97,ListaPuestos,0),MATCH("[Jefatura] "&amp;$C97,'Cronograma R. Operacional'!$C$5:$C$1000,0),MATCH("[Jefatura] "&amp;$C97,'Cronograma R. Normativo'!$C$5:$C$1000,0),MATCH("[Jefatura] "&amp;$C97,'Cronograma R. Financiero'!$C$5:$C$1000,0),MATCH("[Jefatura] "&amp;$C97,'Cronograma Asistente Técnico'!$C$5:$C$1000,0)),0))</f>
        <v/>
      </c>
      <c r="AN97" s="62">
        <f>IF(AND(AND($D97&lt;&gt;"",$V97="Macro"),$S97=MesCiclo),COUNTIFS($D$5:$D97,$D97,$S$5:$S97,MesCiclo,$V$5:$V97,"Macro"),"")</f>
        <v/>
      </c>
      <c r="AO97" s="62">
        <f>IF($AN97="","",$D97&amp;"|"&amp;$AN97)</f>
        <v/>
      </c>
      <c r="AP97" s="62">
        <f>IF(AND($D97&lt;&gt;"",$V97="Macro"),$D97&amp;"|"&amp;$C97,"")</f>
        <v/>
      </c>
      <c r="AQ97" s="62">
        <f>""</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t="n"/>
      <c r="F98" s="59" t="n"/>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IF(NOT((COUNTA($B98:$D98)+COUNTA($G98:$H98)+COUNTA($Q98))&gt;0),"",IF(AND($D98&lt;&gt;"",$V98="Macro"),IF(N($AM98)&gt;0,N(CHOOSE(MATCH($D98,ListaPuestos,0),INDEX('Cronograma R. Operacional'!$M$5:$M$1000,$AM98),INDEX('Cronograma R. Normativo'!$M$5:$M$1000,$AM98),INDEX('Cronograma R. Financiero'!$M$5:$M$1000,$AM98),INDEX('Cronograma Asistente Técnico'!$M$5:$M$1000,$AM98))),0),IF(ISNUMBER($G98),1,IF(N($W98)&gt;0,MIN(1,SUMIFS($Y$5:$Y$1000,$U$5:$U$1000,ROW(),$V$5:$V$1000,"Sub")),$Y98))))</f>
        <v/>
      </c>
      <c r="N98" s="56">
        <f>IF(OR($M98="",$V98="Sub"),"",IF($M98&gt;=1,"Completado",IF($M98&gt;0,"En curso","Pendiente")))</f>
        <v/>
      </c>
      <c r="O98" s="56">
        <f>IF(NOT((COUNTA($B98:$D98)+COUNTA($G98:$H98)+COUNTA($Q98))&gt;0),"",IF(AND(AND($D98&lt;&gt;"",$V98="Macro"),N($AM98)&gt;0),CHOOSE(MATCH($D98,ListaPuestos,0),INDEX('Cronograma R. Operacional'!$O$5:$O$1000,$AM98),INDEX('Cronograma R. Normativo'!$O$5:$O$1000,$AM98),INDEX('Cronograma R. Financiero'!$O$5:$O$1000,$AM98),INDEX('Cronograma Asistente Técnico'!$O$5:$O$1000,$AM98))&amp;"",IF(ISNUMBER($G98),IF(AND(ISNUMBER($AS98),$G98&gt;$AS98),"Cumplida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f>IF(NOT((COUNTA($B98:$D98)+COUNTA($G98:$H98)+COUNTA($Q98))&gt;0),"",IF($D98="","Propia",IF($V98&lt;&gt;"Macro","Solo se delegan macroactividades",IF(N($AM98)&gt;0,"✔ Recibida por "&amp;$D98,"⚠ "&amp;$D98&amp;" aún no la agrega"))))</f>
        <v/>
      </c>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f>IF(NOT(AND($D98&lt;&gt;"",$V98="Macro")),"",IFERROR(CHOOSE(MATCH($D98,ListaPuestos,0),MATCH("[Jefatura] "&amp;$C98,'Cronograma R. Operacional'!$C$5:$C$1000,0),MATCH("[Jefatura] "&amp;$C98,'Cronograma R. Normativo'!$C$5:$C$1000,0),MATCH("[Jefatura] "&amp;$C98,'Cronograma R. Financiero'!$C$5:$C$1000,0),MATCH("[Jefatura] "&amp;$C98,'Cronograma Asistente Técnico'!$C$5:$C$1000,0)),0))</f>
        <v/>
      </c>
      <c r="AN98" s="62">
        <f>IF(AND(AND($D98&lt;&gt;"",$V98="Macro"),$S98=MesCiclo),COUNTIFS($D$5:$D98,$D98,$S$5:$S98,MesCiclo,$V$5:$V98,"Macro"),"")</f>
        <v/>
      </c>
      <c r="AO98" s="62">
        <f>IF($AN98="","",$D98&amp;"|"&amp;$AN98)</f>
        <v/>
      </c>
      <c r="AP98" s="62">
        <f>IF(AND($D98&lt;&gt;"",$V98="Macro"),$D98&amp;"|"&amp;$C98,"")</f>
        <v/>
      </c>
      <c r="AQ98" s="62">
        <f>""</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t="n"/>
      <c r="F99" s="59" t="n"/>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IF(NOT((COUNTA($B99:$D99)+COUNTA($G99:$H99)+COUNTA($Q99))&gt;0),"",IF(AND($D99&lt;&gt;"",$V99="Macro"),IF(N($AM99)&gt;0,N(CHOOSE(MATCH($D99,ListaPuestos,0),INDEX('Cronograma R. Operacional'!$M$5:$M$1000,$AM99),INDEX('Cronograma R. Normativo'!$M$5:$M$1000,$AM99),INDEX('Cronograma R. Financiero'!$M$5:$M$1000,$AM99),INDEX('Cronograma Asistente Técnico'!$M$5:$M$1000,$AM99))),0),IF(ISNUMBER($G99),1,IF(N($W99)&gt;0,MIN(1,SUMIFS($Y$5:$Y$1000,$U$5:$U$1000,ROW(),$V$5:$V$1000,"Sub")),$Y99))))</f>
        <v/>
      </c>
      <c r="N99" s="56">
        <f>IF(OR($M99="",$V99="Sub"),"",IF($M99&gt;=1,"Completado",IF($M99&gt;0,"En curso","Pendiente")))</f>
        <v/>
      </c>
      <c r="O99" s="56">
        <f>IF(NOT((COUNTA($B99:$D99)+COUNTA($G99:$H99)+COUNTA($Q99))&gt;0),"",IF(AND(AND($D99&lt;&gt;"",$V99="Macro"),N($AM99)&gt;0),CHOOSE(MATCH($D99,ListaPuestos,0),INDEX('Cronograma R. Operacional'!$O$5:$O$1000,$AM99),INDEX('Cronograma R. Normativo'!$O$5:$O$1000,$AM99),INDEX('Cronograma R. Financiero'!$O$5:$O$1000,$AM99),INDEX('Cronograma Asistente Técnico'!$O$5:$O$1000,$AM99))&amp;"",IF(ISNUMBER($G99),IF(AND(ISNUMBER($AS99),$G99&gt;$AS99),"Cumplida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f>IF(NOT((COUNTA($B99:$D99)+COUNTA($G99:$H99)+COUNTA($Q99))&gt;0),"",IF($D99="","Propia",IF($V99&lt;&gt;"Macro","Solo se delegan macroactividades",IF(N($AM99)&gt;0,"✔ Recibida por "&amp;$D99,"⚠ "&amp;$D99&amp;" aún no la agrega"))))</f>
        <v/>
      </c>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f>IF(NOT(AND($D99&lt;&gt;"",$V99="Macro")),"",IFERROR(CHOOSE(MATCH($D99,ListaPuestos,0),MATCH("[Jefatura] "&amp;$C99,'Cronograma R. Operacional'!$C$5:$C$1000,0),MATCH("[Jefatura] "&amp;$C99,'Cronograma R. Normativo'!$C$5:$C$1000,0),MATCH("[Jefatura] "&amp;$C99,'Cronograma R. Financiero'!$C$5:$C$1000,0),MATCH("[Jefatura] "&amp;$C99,'Cronograma Asistente Técnico'!$C$5:$C$1000,0)),0))</f>
        <v/>
      </c>
      <c r="AN99" s="62">
        <f>IF(AND(AND($D99&lt;&gt;"",$V99="Macro"),$S99=MesCiclo),COUNTIFS($D$5:$D99,$D99,$S$5:$S99,MesCiclo,$V$5:$V99,"Macro"),"")</f>
        <v/>
      </c>
      <c r="AO99" s="62">
        <f>IF($AN99="","",$D99&amp;"|"&amp;$AN99)</f>
        <v/>
      </c>
      <c r="AP99" s="62">
        <f>IF(AND($D99&lt;&gt;"",$V99="Macro"),$D99&amp;"|"&amp;$C99,"")</f>
        <v/>
      </c>
      <c r="AQ99" s="62">
        <f>""</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t="n"/>
      <c r="F100" s="59" t="n"/>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IF(NOT((COUNTA($B100:$D100)+COUNTA($G100:$H100)+COUNTA($Q100))&gt;0),"",IF(AND($D100&lt;&gt;"",$V100="Macro"),IF(N($AM100)&gt;0,N(CHOOSE(MATCH($D100,ListaPuestos,0),INDEX('Cronograma R. Operacional'!$M$5:$M$1000,$AM100),INDEX('Cronograma R. Normativo'!$M$5:$M$1000,$AM100),INDEX('Cronograma R. Financiero'!$M$5:$M$1000,$AM100),INDEX('Cronograma Asistente Técnico'!$M$5:$M$1000,$AM100))),0),IF(ISNUMBER($G100),1,IF(N($W100)&gt;0,MIN(1,SUMIFS($Y$5:$Y$1000,$U$5:$U$1000,ROW(),$V$5:$V$1000,"Sub")),$Y100))))</f>
        <v/>
      </c>
      <c r="N100" s="56">
        <f>IF(OR($M100="",$V100="Sub"),"",IF($M100&gt;=1,"Completado",IF($M100&gt;0,"En curso","Pendiente")))</f>
        <v/>
      </c>
      <c r="O100" s="56">
        <f>IF(NOT((COUNTA($B100:$D100)+COUNTA($G100:$H100)+COUNTA($Q100))&gt;0),"",IF(AND(AND($D100&lt;&gt;"",$V100="Macro"),N($AM100)&gt;0),CHOOSE(MATCH($D100,ListaPuestos,0),INDEX('Cronograma R. Operacional'!$O$5:$O$1000,$AM100),INDEX('Cronograma R. Normativo'!$O$5:$O$1000,$AM100),INDEX('Cronograma R. Financiero'!$O$5:$O$1000,$AM100),INDEX('Cronograma Asistente Técnico'!$O$5:$O$1000,$AM100))&amp;"",IF(ISNUMBER($G100),IF(AND(ISNUMBER($AS100),$G100&gt;$AS100),"Cumplida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f>IF(NOT((COUNTA($B100:$D100)+COUNTA($G100:$H100)+COUNTA($Q100))&gt;0),"",IF($D100="","Propia",IF($V100&lt;&gt;"Macro","Solo se delegan macroactividades",IF(N($AM100)&gt;0,"✔ Recibida por "&amp;$D100,"⚠ "&amp;$D100&amp;" aún no la agrega"))))</f>
        <v/>
      </c>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f>IF(NOT(AND($D100&lt;&gt;"",$V100="Macro")),"",IFERROR(CHOOSE(MATCH($D100,ListaPuestos,0),MATCH("[Jefatura] "&amp;$C100,'Cronograma R. Operacional'!$C$5:$C$1000,0),MATCH("[Jefatura] "&amp;$C100,'Cronograma R. Normativo'!$C$5:$C$1000,0),MATCH("[Jefatura] "&amp;$C100,'Cronograma R. Financiero'!$C$5:$C$1000,0),MATCH("[Jefatura] "&amp;$C100,'Cronograma Asistente Técnico'!$C$5:$C$1000,0)),0))</f>
        <v/>
      </c>
      <c r="AN100" s="62">
        <f>IF(AND(AND($D100&lt;&gt;"",$V100="Macro"),$S100=MesCiclo),COUNTIFS($D$5:$D100,$D100,$S$5:$S100,MesCiclo,$V$5:$V100,"Macro"),"")</f>
        <v/>
      </c>
      <c r="AO100" s="62">
        <f>IF($AN100="","",$D100&amp;"|"&amp;$AN100)</f>
        <v/>
      </c>
      <c r="AP100" s="62">
        <f>IF(AND($D100&lt;&gt;"",$V100="Macro"),$D100&amp;"|"&amp;$C100,"")</f>
        <v/>
      </c>
      <c r="AQ100" s="62">
        <f>""</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t="n"/>
      <c r="F101" s="59" t="n"/>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IF(NOT((COUNTA($B101:$D101)+COUNTA($G101:$H101)+COUNTA($Q101))&gt;0),"",IF(AND($D101&lt;&gt;"",$V101="Macro"),IF(N($AM101)&gt;0,N(CHOOSE(MATCH($D101,ListaPuestos,0),INDEX('Cronograma R. Operacional'!$M$5:$M$1000,$AM101),INDEX('Cronograma R. Normativo'!$M$5:$M$1000,$AM101),INDEX('Cronograma R. Financiero'!$M$5:$M$1000,$AM101),INDEX('Cronograma Asistente Técnico'!$M$5:$M$1000,$AM101))),0),IF(ISNUMBER($G101),1,IF(N($W101)&gt;0,MIN(1,SUMIFS($Y$5:$Y$1000,$U$5:$U$1000,ROW(),$V$5:$V$1000,"Sub")),$Y101))))</f>
        <v/>
      </c>
      <c r="N101" s="56">
        <f>IF(OR($M101="",$V101="Sub"),"",IF($M101&gt;=1,"Completado",IF($M101&gt;0,"En curso","Pendiente")))</f>
        <v/>
      </c>
      <c r="O101" s="56">
        <f>IF(NOT((COUNTA($B101:$D101)+COUNTA($G101:$H101)+COUNTA($Q101))&gt;0),"",IF(AND(AND($D101&lt;&gt;"",$V101="Macro"),N($AM101)&gt;0),CHOOSE(MATCH($D101,ListaPuestos,0),INDEX('Cronograma R. Operacional'!$O$5:$O$1000,$AM101),INDEX('Cronograma R. Normativo'!$O$5:$O$1000,$AM101),INDEX('Cronograma R. Financiero'!$O$5:$O$1000,$AM101),INDEX('Cronograma Asistente Técnico'!$O$5:$O$1000,$AM101))&amp;"",IF(ISNUMBER($G101),IF(AND(ISNUMBER($AS101),$G101&gt;$AS101),"Cumplida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f>IF(NOT((COUNTA($B101:$D101)+COUNTA($G101:$H101)+COUNTA($Q101))&gt;0),"",IF($D101="","Propia",IF($V101&lt;&gt;"Macro","Solo se delegan macroactividades",IF(N($AM101)&gt;0,"✔ Recibida por "&amp;$D101,"⚠ "&amp;$D101&amp;" aún no la agrega"))))</f>
        <v/>
      </c>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f>IF(NOT(AND($D101&lt;&gt;"",$V101="Macro")),"",IFERROR(CHOOSE(MATCH($D101,ListaPuestos,0),MATCH("[Jefatura] "&amp;$C101,'Cronograma R. Operacional'!$C$5:$C$1000,0),MATCH("[Jefatura] "&amp;$C101,'Cronograma R. Normativo'!$C$5:$C$1000,0),MATCH("[Jefatura] "&amp;$C101,'Cronograma R. Financiero'!$C$5:$C$1000,0),MATCH("[Jefatura] "&amp;$C101,'Cronograma Asistente Técnico'!$C$5:$C$1000,0)),0))</f>
        <v/>
      </c>
      <c r="AN101" s="62">
        <f>IF(AND(AND($D101&lt;&gt;"",$V101="Macro"),$S101=MesCiclo),COUNTIFS($D$5:$D101,$D101,$S$5:$S101,MesCiclo,$V$5:$V101,"Macro"),"")</f>
        <v/>
      </c>
      <c r="AO101" s="62">
        <f>IF($AN101="","",$D101&amp;"|"&amp;$AN101)</f>
        <v/>
      </c>
      <c r="AP101" s="62">
        <f>IF(AND($D101&lt;&gt;"",$V101="Macro"),$D101&amp;"|"&amp;$C101,"")</f>
        <v/>
      </c>
      <c r="AQ101" s="62">
        <f>""</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t="n"/>
      <c r="F102" s="59" t="n"/>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IF(NOT((COUNTA($B102:$D102)+COUNTA($G102:$H102)+COUNTA($Q102))&gt;0),"",IF(AND($D102&lt;&gt;"",$V102="Macro"),IF(N($AM102)&gt;0,N(CHOOSE(MATCH($D102,ListaPuestos,0),INDEX('Cronograma R. Operacional'!$M$5:$M$1000,$AM102),INDEX('Cronograma R. Normativo'!$M$5:$M$1000,$AM102),INDEX('Cronograma R. Financiero'!$M$5:$M$1000,$AM102),INDEX('Cronograma Asistente Técnico'!$M$5:$M$1000,$AM102))),0),IF(ISNUMBER($G102),1,IF(N($W102)&gt;0,MIN(1,SUMIFS($Y$5:$Y$1000,$U$5:$U$1000,ROW(),$V$5:$V$1000,"Sub")),$Y102))))</f>
        <v/>
      </c>
      <c r="N102" s="56">
        <f>IF(OR($M102="",$V102="Sub"),"",IF($M102&gt;=1,"Completado",IF($M102&gt;0,"En curso","Pendiente")))</f>
        <v/>
      </c>
      <c r="O102" s="56">
        <f>IF(NOT((COUNTA($B102:$D102)+COUNTA($G102:$H102)+COUNTA($Q102))&gt;0),"",IF(AND(AND($D102&lt;&gt;"",$V102="Macro"),N($AM102)&gt;0),CHOOSE(MATCH($D102,ListaPuestos,0),INDEX('Cronograma R. Operacional'!$O$5:$O$1000,$AM102),INDEX('Cronograma R. Normativo'!$O$5:$O$1000,$AM102),INDEX('Cronograma R. Financiero'!$O$5:$O$1000,$AM102),INDEX('Cronograma Asistente Técnico'!$O$5:$O$1000,$AM102))&amp;"",IF(ISNUMBER($G102),IF(AND(ISNUMBER($AS102),$G102&gt;$AS102),"Cumplida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f>IF(NOT((COUNTA($B102:$D102)+COUNTA($G102:$H102)+COUNTA($Q102))&gt;0),"",IF($D102="","Propia",IF($V102&lt;&gt;"Macro","Solo se delegan macroactividades",IF(N($AM102)&gt;0,"✔ Recibida por "&amp;$D102,"⚠ "&amp;$D102&amp;" aún no la agrega"))))</f>
        <v/>
      </c>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f>IF(NOT(AND($D102&lt;&gt;"",$V102="Macro")),"",IFERROR(CHOOSE(MATCH($D102,ListaPuestos,0),MATCH("[Jefatura] "&amp;$C102,'Cronograma R. Operacional'!$C$5:$C$1000,0),MATCH("[Jefatura] "&amp;$C102,'Cronograma R. Normativo'!$C$5:$C$1000,0),MATCH("[Jefatura] "&amp;$C102,'Cronograma R. Financiero'!$C$5:$C$1000,0),MATCH("[Jefatura] "&amp;$C102,'Cronograma Asistente Técnico'!$C$5:$C$1000,0)),0))</f>
        <v/>
      </c>
      <c r="AN102" s="62">
        <f>IF(AND(AND($D102&lt;&gt;"",$V102="Macro"),$S102=MesCiclo),COUNTIFS($D$5:$D102,$D102,$S$5:$S102,MesCiclo,$V$5:$V102,"Macro"),"")</f>
        <v/>
      </c>
      <c r="AO102" s="62">
        <f>IF($AN102="","",$D102&amp;"|"&amp;$AN102)</f>
        <v/>
      </c>
      <c r="AP102" s="62">
        <f>IF(AND($D102&lt;&gt;"",$V102="Macro"),$D102&amp;"|"&amp;$C102,"")</f>
        <v/>
      </c>
      <c r="AQ102" s="62">
        <f>""</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t="n"/>
      <c r="F103" s="59" t="n"/>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IF(NOT((COUNTA($B103:$D103)+COUNTA($G103:$H103)+COUNTA($Q103))&gt;0),"",IF(AND($D103&lt;&gt;"",$V103="Macro"),IF(N($AM103)&gt;0,N(CHOOSE(MATCH($D103,ListaPuestos,0),INDEX('Cronograma R. Operacional'!$M$5:$M$1000,$AM103),INDEX('Cronograma R. Normativo'!$M$5:$M$1000,$AM103),INDEX('Cronograma R. Financiero'!$M$5:$M$1000,$AM103),INDEX('Cronograma Asistente Técnico'!$M$5:$M$1000,$AM103))),0),IF(ISNUMBER($G103),1,IF(N($W103)&gt;0,MIN(1,SUMIFS($Y$5:$Y$1000,$U$5:$U$1000,ROW(),$V$5:$V$1000,"Sub")),$Y103))))</f>
        <v/>
      </c>
      <c r="N103" s="56">
        <f>IF(OR($M103="",$V103="Sub"),"",IF($M103&gt;=1,"Completado",IF($M103&gt;0,"En curso","Pendiente")))</f>
        <v/>
      </c>
      <c r="O103" s="56">
        <f>IF(NOT((COUNTA($B103:$D103)+COUNTA($G103:$H103)+COUNTA($Q103))&gt;0),"",IF(AND(AND($D103&lt;&gt;"",$V103="Macro"),N($AM103)&gt;0),CHOOSE(MATCH($D103,ListaPuestos,0),INDEX('Cronograma R. Operacional'!$O$5:$O$1000,$AM103),INDEX('Cronograma R. Normativo'!$O$5:$O$1000,$AM103),INDEX('Cronograma R. Financiero'!$O$5:$O$1000,$AM103),INDEX('Cronograma Asistente Técnico'!$O$5:$O$1000,$AM103))&amp;"",IF(ISNUMBER($G103),IF(AND(ISNUMBER($AS103),$G103&gt;$AS103),"Cumplida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f>IF(NOT((COUNTA($B103:$D103)+COUNTA($G103:$H103)+COUNTA($Q103))&gt;0),"",IF($D103="","Propia",IF($V103&lt;&gt;"Macro","Solo se delegan macroactividades",IF(N($AM103)&gt;0,"✔ Recibida por "&amp;$D103,"⚠ "&amp;$D103&amp;" aún no la agrega"))))</f>
        <v/>
      </c>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f>IF(NOT(AND($D103&lt;&gt;"",$V103="Macro")),"",IFERROR(CHOOSE(MATCH($D103,ListaPuestos,0),MATCH("[Jefatura] "&amp;$C103,'Cronograma R. Operacional'!$C$5:$C$1000,0),MATCH("[Jefatura] "&amp;$C103,'Cronograma R. Normativo'!$C$5:$C$1000,0),MATCH("[Jefatura] "&amp;$C103,'Cronograma R. Financiero'!$C$5:$C$1000,0),MATCH("[Jefatura] "&amp;$C103,'Cronograma Asistente Técnico'!$C$5:$C$1000,0)),0))</f>
        <v/>
      </c>
      <c r="AN103" s="62">
        <f>IF(AND(AND($D103&lt;&gt;"",$V103="Macro"),$S103=MesCiclo),COUNTIFS($D$5:$D103,$D103,$S$5:$S103,MesCiclo,$V$5:$V103,"Macro"),"")</f>
        <v/>
      </c>
      <c r="AO103" s="62">
        <f>IF($AN103="","",$D103&amp;"|"&amp;$AN103)</f>
        <v/>
      </c>
      <c r="AP103" s="62">
        <f>IF(AND($D103&lt;&gt;"",$V103="Macro"),$D103&amp;"|"&amp;$C103,"")</f>
        <v/>
      </c>
      <c r="AQ103" s="62">
        <f>""</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t="n"/>
      <c r="F104" s="59" t="n"/>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IF(NOT((COUNTA($B104:$D104)+COUNTA($G104:$H104)+COUNTA($Q104))&gt;0),"",IF(AND($D104&lt;&gt;"",$V104="Macro"),IF(N($AM104)&gt;0,N(CHOOSE(MATCH($D104,ListaPuestos,0),INDEX('Cronograma R. Operacional'!$M$5:$M$1000,$AM104),INDEX('Cronograma R. Normativo'!$M$5:$M$1000,$AM104),INDEX('Cronograma R. Financiero'!$M$5:$M$1000,$AM104),INDEX('Cronograma Asistente Técnico'!$M$5:$M$1000,$AM104))),0),IF(ISNUMBER($G104),1,IF(N($W104)&gt;0,MIN(1,SUMIFS($Y$5:$Y$1000,$U$5:$U$1000,ROW(),$V$5:$V$1000,"Sub")),$Y104))))</f>
        <v/>
      </c>
      <c r="N104" s="56">
        <f>IF(OR($M104="",$V104="Sub"),"",IF($M104&gt;=1,"Completado",IF($M104&gt;0,"En curso","Pendiente")))</f>
        <v/>
      </c>
      <c r="O104" s="56">
        <f>IF(NOT((COUNTA($B104:$D104)+COUNTA($G104:$H104)+COUNTA($Q104))&gt;0),"",IF(AND(AND($D104&lt;&gt;"",$V104="Macro"),N($AM104)&gt;0),CHOOSE(MATCH($D104,ListaPuestos,0),INDEX('Cronograma R. Operacional'!$O$5:$O$1000,$AM104),INDEX('Cronograma R. Normativo'!$O$5:$O$1000,$AM104),INDEX('Cronograma R. Financiero'!$O$5:$O$1000,$AM104),INDEX('Cronograma Asistente Técnico'!$O$5:$O$1000,$AM104))&amp;"",IF(ISNUMBER($G104),IF(AND(ISNUMBER($AS104),$G104&gt;$AS104),"Cumplida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f>IF(NOT((COUNTA($B104:$D104)+COUNTA($G104:$H104)+COUNTA($Q104))&gt;0),"",IF($D104="","Propia",IF($V104&lt;&gt;"Macro","Solo se delegan macroactividades",IF(N($AM104)&gt;0,"✔ Recibida por "&amp;$D104,"⚠ "&amp;$D104&amp;" aún no la agrega"))))</f>
        <v/>
      </c>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f>IF(NOT(AND($D104&lt;&gt;"",$V104="Macro")),"",IFERROR(CHOOSE(MATCH($D104,ListaPuestos,0),MATCH("[Jefatura] "&amp;$C104,'Cronograma R. Operacional'!$C$5:$C$1000,0),MATCH("[Jefatura] "&amp;$C104,'Cronograma R. Normativo'!$C$5:$C$1000,0),MATCH("[Jefatura] "&amp;$C104,'Cronograma R. Financiero'!$C$5:$C$1000,0),MATCH("[Jefatura] "&amp;$C104,'Cronograma Asistente Técnico'!$C$5:$C$1000,0)),0))</f>
        <v/>
      </c>
      <c r="AN104" s="62">
        <f>IF(AND(AND($D104&lt;&gt;"",$V104="Macro"),$S104=MesCiclo),COUNTIFS($D$5:$D104,$D104,$S$5:$S104,MesCiclo,$V$5:$V104,"Macro"),"")</f>
        <v/>
      </c>
      <c r="AO104" s="62">
        <f>IF($AN104="","",$D104&amp;"|"&amp;$AN104)</f>
        <v/>
      </c>
      <c r="AP104" s="62">
        <f>IF(AND($D104&lt;&gt;"",$V104="Macro"),$D104&amp;"|"&amp;$C104,"")</f>
        <v/>
      </c>
      <c r="AQ104" s="62">
        <f>""</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t="n"/>
      <c r="F105" s="59" t="n"/>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IF(NOT((COUNTA($B105:$D105)+COUNTA($G105:$H105)+COUNTA($Q105))&gt;0),"",IF(AND($D105&lt;&gt;"",$V105="Macro"),IF(N($AM105)&gt;0,N(CHOOSE(MATCH($D105,ListaPuestos,0),INDEX('Cronograma R. Operacional'!$M$5:$M$1000,$AM105),INDEX('Cronograma R. Normativo'!$M$5:$M$1000,$AM105),INDEX('Cronograma R. Financiero'!$M$5:$M$1000,$AM105),INDEX('Cronograma Asistente Técnico'!$M$5:$M$1000,$AM105))),0),IF(ISNUMBER($G105),1,IF(N($W105)&gt;0,MIN(1,SUMIFS($Y$5:$Y$1000,$U$5:$U$1000,ROW(),$V$5:$V$1000,"Sub")),$Y105))))</f>
        <v/>
      </c>
      <c r="N105" s="56">
        <f>IF(OR($M105="",$V105="Sub"),"",IF($M105&gt;=1,"Completado",IF($M105&gt;0,"En curso","Pendiente")))</f>
        <v/>
      </c>
      <c r="O105" s="56">
        <f>IF(NOT((COUNTA($B105:$D105)+COUNTA($G105:$H105)+COUNTA($Q105))&gt;0),"",IF(AND(AND($D105&lt;&gt;"",$V105="Macro"),N($AM105)&gt;0),CHOOSE(MATCH($D105,ListaPuestos,0),INDEX('Cronograma R. Operacional'!$O$5:$O$1000,$AM105),INDEX('Cronograma R. Normativo'!$O$5:$O$1000,$AM105),INDEX('Cronograma R. Financiero'!$O$5:$O$1000,$AM105),INDEX('Cronograma Asistente Técnico'!$O$5:$O$1000,$AM105))&amp;"",IF(ISNUMBER($G105),IF(AND(ISNUMBER($AS105),$G105&gt;$AS105),"Cumplida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f>IF(NOT((COUNTA($B105:$D105)+COUNTA($G105:$H105)+COUNTA($Q105))&gt;0),"",IF($D105="","Propia",IF($V105&lt;&gt;"Macro","Solo se delegan macroactividades",IF(N($AM105)&gt;0,"✔ Recibida por "&amp;$D105,"⚠ "&amp;$D105&amp;" aún no la agrega"))))</f>
        <v/>
      </c>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f>IF(NOT(AND($D105&lt;&gt;"",$V105="Macro")),"",IFERROR(CHOOSE(MATCH($D105,ListaPuestos,0),MATCH("[Jefatura] "&amp;$C105,'Cronograma R. Operacional'!$C$5:$C$1000,0),MATCH("[Jefatura] "&amp;$C105,'Cronograma R. Normativo'!$C$5:$C$1000,0),MATCH("[Jefatura] "&amp;$C105,'Cronograma R. Financiero'!$C$5:$C$1000,0),MATCH("[Jefatura] "&amp;$C105,'Cronograma Asistente Técnico'!$C$5:$C$1000,0)),0))</f>
        <v/>
      </c>
      <c r="AN105" s="62">
        <f>IF(AND(AND($D105&lt;&gt;"",$V105="Macro"),$S105=MesCiclo),COUNTIFS($D$5:$D105,$D105,$S$5:$S105,MesCiclo,$V$5:$V105,"Macro"),"")</f>
        <v/>
      </c>
      <c r="AO105" s="62">
        <f>IF($AN105="","",$D105&amp;"|"&amp;$AN105)</f>
        <v/>
      </c>
      <c r="AP105" s="62">
        <f>IF(AND($D105&lt;&gt;"",$V105="Macro"),$D105&amp;"|"&amp;$C105,"")</f>
        <v/>
      </c>
      <c r="AQ105" s="62">
        <f>""</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t="n"/>
      <c r="F106" s="59" t="n"/>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IF(NOT((COUNTA($B106:$D106)+COUNTA($G106:$H106)+COUNTA($Q106))&gt;0),"",IF(AND($D106&lt;&gt;"",$V106="Macro"),IF(N($AM106)&gt;0,N(CHOOSE(MATCH($D106,ListaPuestos,0),INDEX('Cronograma R. Operacional'!$M$5:$M$1000,$AM106),INDEX('Cronograma R. Normativo'!$M$5:$M$1000,$AM106),INDEX('Cronograma R. Financiero'!$M$5:$M$1000,$AM106),INDEX('Cronograma Asistente Técnico'!$M$5:$M$1000,$AM106))),0),IF(ISNUMBER($G106),1,IF(N($W106)&gt;0,MIN(1,SUMIFS($Y$5:$Y$1000,$U$5:$U$1000,ROW(),$V$5:$V$1000,"Sub")),$Y106))))</f>
        <v/>
      </c>
      <c r="N106" s="56">
        <f>IF(OR($M106="",$V106="Sub"),"",IF($M106&gt;=1,"Completado",IF($M106&gt;0,"En curso","Pendiente")))</f>
        <v/>
      </c>
      <c r="O106" s="56">
        <f>IF(NOT((COUNTA($B106:$D106)+COUNTA($G106:$H106)+COUNTA($Q106))&gt;0),"",IF(AND(AND($D106&lt;&gt;"",$V106="Macro"),N($AM106)&gt;0),CHOOSE(MATCH($D106,ListaPuestos,0),INDEX('Cronograma R. Operacional'!$O$5:$O$1000,$AM106),INDEX('Cronograma R. Normativo'!$O$5:$O$1000,$AM106),INDEX('Cronograma R. Financiero'!$O$5:$O$1000,$AM106),INDEX('Cronograma Asistente Técnico'!$O$5:$O$1000,$AM106))&amp;"",IF(ISNUMBER($G106),IF(AND(ISNUMBER($AS106),$G106&gt;$AS106),"Cumplida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f>IF(NOT((COUNTA($B106:$D106)+COUNTA($G106:$H106)+COUNTA($Q106))&gt;0),"",IF($D106="","Propia",IF($V106&lt;&gt;"Macro","Solo se delegan macroactividades",IF(N($AM106)&gt;0,"✔ Recibida por "&amp;$D106,"⚠ "&amp;$D106&amp;" aún no la agrega"))))</f>
        <v/>
      </c>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f>IF(NOT(AND($D106&lt;&gt;"",$V106="Macro")),"",IFERROR(CHOOSE(MATCH($D106,ListaPuestos,0),MATCH("[Jefatura] "&amp;$C106,'Cronograma R. Operacional'!$C$5:$C$1000,0),MATCH("[Jefatura] "&amp;$C106,'Cronograma R. Normativo'!$C$5:$C$1000,0),MATCH("[Jefatura] "&amp;$C106,'Cronograma R. Financiero'!$C$5:$C$1000,0),MATCH("[Jefatura] "&amp;$C106,'Cronograma Asistente Técnico'!$C$5:$C$1000,0)),0))</f>
        <v/>
      </c>
      <c r="AN106" s="62">
        <f>IF(AND(AND($D106&lt;&gt;"",$V106="Macro"),$S106=MesCiclo),COUNTIFS($D$5:$D106,$D106,$S$5:$S106,MesCiclo,$V$5:$V106,"Macro"),"")</f>
        <v/>
      </c>
      <c r="AO106" s="62">
        <f>IF($AN106="","",$D106&amp;"|"&amp;$AN106)</f>
        <v/>
      </c>
      <c r="AP106" s="62">
        <f>IF(AND($D106&lt;&gt;"",$V106="Macro"),$D106&amp;"|"&amp;$C106,"")</f>
        <v/>
      </c>
      <c r="AQ106" s="62">
        <f>""</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t="n"/>
      <c r="F107" s="59" t="n"/>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IF(NOT((COUNTA($B107:$D107)+COUNTA($G107:$H107)+COUNTA($Q107))&gt;0),"",IF(AND($D107&lt;&gt;"",$V107="Macro"),IF(N($AM107)&gt;0,N(CHOOSE(MATCH($D107,ListaPuestos,0),INDEX('Cronograma R. Operacional'!$M$5:$M$1000,$AM107),INDEX('Cronograma R. Normativo'!$M$5:$M$1000,$AM107),INDEX('Cronograma R. Financiero'!$M$5:$M$1000,$AM107),INDEX('Cronograma Asistente Técnico'!$M$5:$M$1000,$AM107))),0),IF(ISNUMBER($G107),1,IF(N($W107)&gt;0,MIN(1,SUMIFS($Y$5:$Y$1000,$U$5:$U$1000,ROW(),$V$5:$V$1000,"Sub")),$Y107))))</f>
        <v/>
      </c>
      <c r="N107" s="56">
        <f>IF(OR($M107="",$V107="Sub"),"",IF($M107&gt;=1,"Completado",IF($M107&gt;0,"En curso","Pendiente")))</f>
        <v/>
      </c>
      <c r="O107" s="56">
        <f>IF(NOT((COUNTA($B107:$D107)+COUNTA($G107:$H107)+COUNTA($Q107))&gt;0),"",IF(AND(AND($D107&lt;&gt;"",$V107="Macro"),N($AM107)&gt;0),CHOOSE(MATCH($D107,ListaPuestos,0),INDEX('Cronograma R. Operacional'!$O$5:$O$1000,$AM107),INDEX('Cronograma R. Normativo'!$O$5:$O$1000,$AM107),INDEX('Cronograma R. Financiero'!$O$5:$O$1000,$AM107),INDEX('Cronograma Asistente Técnico'!$O$5:$O$1000,$AM107))&amp;"",IF(ISNUMBER($G107),IF(AND(ISNUMBER($AS107),$G107&gt;$AS107),"Cumplida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f>IF(NOT((COUNTA($B107:$D107)+COUNTA($G107:$H107)+COUNTA($Q107))&gt;0),"",IF($D107="","Propia",IF($V107&lt;&gt;"Macro","Solo se delegan macroactividades",IF(N($AM107)&gt;0,"✔ Recibida por "&amp;$D107,"⚠ "&amp;$D107&amp;" aún no la agrega"))))</f>
        <v/>
      </c>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f>IF(NOT(AND($D107&lt;&gt;"",$V107="Macro")),"",IFERROR(CHOOSE(MATCH($D107,ListaPuestos,0),MATCH("[Jefatura] "&amp;$C107,'Cronograma R. Operacional'!$C$5:$C$1000,0),MATCH("[Jefatura] "&amp;$C107,'Cronograma R. Normativo'!$C$5:$C$1000,0),MATCH("[Jefatura] "&amp;$C107,'Cronograma R. Financiero'!$C$5:$C$1000,0),MATCH("[Jefatura] "&amp;$C107,'Cronograma Asistente Técnico'!$C$5:$C$1000,0)),0))</f>
        <v/>
      </c>
      <c r="AN107" s="62">
        <f>IF(AND(AND($D107&lt;&gt;"",$V107="Macro"),$S107=MesCiclo),COUNTIFS($D$5:$D107,$D107,$S$5:$S107,MesCiclo,$V$5:$V107,"Macro"),"")</f>
        <v/>
      </c>
      <c r="AO107" s="62">
        <f>IF($AN107="","",$D107&amp;"|"&amp;$AN107)</f>
        <v/>
      </c>
      <c r="AP107" s="62">
        <f>IF(AND($D107&lt;&gt;"",$V107="Macro"),$D107&amp;"|"&amp;$C107,"")</f>
        <v/>
      </c>
      <c r="AQ107" s="62">
        <f>""</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t="n"/>
      <c r="F108" s="59" t="n"/>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IF(NOT((COUNTA($B108:$D108)+COUNTA($G108:$H108)+COUNTA($Q108))&gt;0),"",IF(AND($D108&lt;&gt;"",$V108="Macro"),IF(N($AM108)&gt;0,N(CHOOSE(MATCH($D108,ListaPuestos,0),INDEX('Cronograma R. Operacional'!$M$5:$M$1000,$AM108),INDEX('Cronograma R. Normativo'!$M$5:$M$1000,$AM108),INDEX('Cronograma R. Financiero'!$M$5:$M$1000,$AM108),INDEX('Cronograma Asistente Técnico'!$M$5:$M$1000,$AM108))),0),IF(ISNUMBER($G108),1,IF(N($W108)&gt;0,MIN(1,SUMIFS($Y$5:$Y$1000,$U$5:$U$1000,ROW(),$V$5:$V$1000,"Sub")),$Y108))))</f>
        <v/>
      </c>
      <c r="N108" s="56">
        <f>IF(OR($M108="",$V108="Sub"),"",IF($M108&gt;=1,"Completado",IF($M108&gt;0,"En curso","Pendiente")))</f>
        <v/>
      </c>
      <c r="O108" s="56">
        <f>IF(NOT((COUNTA($B108:$D108)+COUNTA($G108:$H108)+COUNTA($Q108))&gt;0),"",IF(AND(AND($D108&lt;&gt;"",$V108="Macro"),N($AM108)&gt;0),CHOOSE(MATCH($D108,ListaPuestos,0),INDEX('Cronograma R. Operacional'!$O$5:$O$1000,$AM108),INDEX('Cronograma R. Normativo'!$O$5:$O$1000,$AM108),INDEX('Cronograma R. Financiero'!$O$5:$O$1000,$AM108),INDEX('Cronograma Asistente Técnico'!$O$5:$O$1000,$AM108))&amp;"",IF(ISNUMBER($G108),IF(AND(ISNUMBER($AS108),$G108&gt;$AS108),"Cumplida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f>IF(NOT((COUNTA($B108:$D108)+COUNTA($G108:$H108)+COUNTA($Q108))&gt;0),"",IF($D108="","Propia",IF($V108&lt;&gt;"Macro","Solo se delegan macroactividades",IF(N($AM108)&gt;0,"✔ Recibida por "&amp;$D108,"⚠ "&amp;$D108&amp;" aún no la agrega"))))</f>
        <v/>
      </c>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f>IF(NOT(AND($D108&lt;&gt;"",$V108="Macro")),"",IFERROR(CHOOSE(MATCH($D108,ListaPuestos,0),MATCH("[Jefatura] "&amp;$C108,'Cronograma R. Operacional'!$C$5:$C$1000,0),MATCH("[Jefatura] "&amp;$C108,'Cronograma R. Normativo'!$C$5:$C$1000,0),MATCH("[Jefatura] "&amp;$C108,'Cronograma R. Financiero'!$C$5:$C$1000,0),MATCH("[Jefatura] "&amp;$C108,'Cronograma Asistente Técnico'!$C$5:$C$1000,0)),0))</f>
        <v/>
      </c>
      <c r="AN108" s="62">
        <f>IF(AND(AND($D108&lt;&gt;"",$V108="Macro"),$S108=MesCiclo),COUNTIFS($D$5:$D108,$D108,$S$5:$S108,MesCiclo,$V$5:$V108,"Macro"),"")</f>
        <v/>
      </c>
      <c r="AO108" s="62">
        <f>IF($AN108="","",$D108&amp;"|"&amp;$AN108)</f>
        <v/>
      </c>
      <c r="AP108" s="62">
        <f>IF(AND($D108&lt;&gt;"",$V108="Macro"),$D108&amp;"|"&amp;$C108,"")</f>
        <v/>
      </c>
      <c r="AQ108" s="62">
        <f>""</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t="n"/>
      <c r="F109" s="59" t="n"/>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IF(NOT((COUNTA($B109:$D109)+COUNTA($G109:$H109)+COUNTA($Q109))&gt;0),"",IF(AND($D109&lt;&gt;"",$V109="Macro"),IF(N($AM109)&gt;0,N(CHOOSE(MATCH($D109,ListaPuestos,0),INDEX('Cronograma R. Operacional'!$M$5:$M$1000,$AM109),INDEX('Cronograma R. Normativo'!$M$5:$M$1000,$AM109),INDEX('Cronograma R. Financiero'!$M$5:$M$1000,$AM109),INDEX('Cronograma Asistente Técnico'!$M$5:$M$1000,$AM109))),0),IF(ISNUMBER($G109),1,IF(N($W109)&gt;0,MIN(1,SUMIFS($Y$5:$Y$1000,$U$5:$U$1000,ROW(),$V$5:$V$1000,"Sub")),$Y109))))</f>
        <v/>
      </c>
      <c r="N109" s="56">
        <f>IF(OR($M109="",$V109="Sub"),"",IF($M109&gt;=1,"Completado",IF($M109&gt;0,"En curso","Pendiente")))</f>
        <v/>
      </c>
      <c r="O109" s="56">
        <f>IF(NOT((COUNTA($B109:$D109)+COUNTA($G109:$H109)+COUNTA($Q109))&gt;0),"",IF(AND(AND($D109&lt;&gt;"",$V109="Macro"),N($AM109)&gt;0),CHOOSE(MATCH($D109,ListaPuestos,0),INDEX('Cronograma R. Operacional'!$O$5:$O$1000,$AM109),INDEX('Cronograma R. Normativo'!$O$5:$O$1000,$AM109),INDEX('Cronograma R. Financiero'!$O$5:$O$1000,$AM109),INDEX('Cronograma Asistente Técnico'!$O$5:$O$1000,$AM109))&amp;"",IF(ISNUMBER($G109),IF(AND(ISNUMBER($AS109),$G109&gt;$AS109),"Cumplida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f>IF(NOT((COUNTA($B109:$D109)+COUNTA($G109:$H109)+COUNTA($Q109))&gt;0),"",IF($D109="","Propia",IF($V109&lt;&gt;"Macro","Solo se delegan macroactividades",IF(N($AM109)&gt;0,"✔ Recibida por "&amp;$D109,"⚠ "&amp;$D109&amp;" aún no la agrega"))))</f>
        <v/>
      </c>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f>IF(NOT(AND($D109&lt;&gt;"",$V109="Macro")),"",IFERROR(CHOOSE(MATCH($D109,ListaPuestos,0),MATCH("[Jefatura] "&amp;$C109,'Cronograma R. Operacional'!$C$5:$C$1000,0),MATCH("[Jefatura] "&amp;$C109,'Cronograma R. Normativo'!$C$5:$C$1000,0),MATCH("[Jefatura] "&amp;$C109,'Cronograma R. Financiero'!$C$5:$C$1000,0),MATCH("[Jefatura] "&amp;$C109,'Cronograma Asistente Técnico'!$C$5:$C$1000,0)),0))</f>
        <v/>
      </c>
      <c r="AN109" s="62">
        <f>IF(AND(AND($D109&lt;&gt;"",$V109="Macro"),$S109=MesCiclo),COUNTIFS($D$5:$D109,$D109,$S$5:$S109,MesCiclo,$V$5:$V109,"Macro"),"")</f>
        <v/>
      </c>
      <c r="AO109" s="62">
        <f>IF($AN109="","",$D109&amp;"|"&amp;$AN109)</f>
        <v/>
      </c>
      <c r="AP109" s="62">
        <f>IF(AND($D109&lt;&gt;"",$V109="Macro"),$D109&amp;"|"&amp;$C109,"")</f>
        <v/>
      </c>
      <c r="AQ109" s="62">
        <f>""</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t="n"/>
      <c r="F110" s="59" t="n"/>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IF(NOT((COUNTA($B110:$D110)+COUNTA($G110:$H110)+COUNTA($Q110))&gt;0),"",IF(AND($D110&lt;&gt;"",$V110="Macro"),IF(N($AM110)&gt;0,N(CHOOSE(MATCH($D110,ListaPuestos,0),INDEX('Cronograma R. Operacional'!$M$5:$M$1000,$AM110),INDEX('Cronograma R. Normativo'!$M$5:$M$1000,$AM110),INDEX('Cronograma R. Financiero'!$M$5:$M$1000,$AM110),INDEX('Cronograma Asistente Técnico'!$M$5:$M$1000,$AM110))),0),IF(ISNUMBER($G110),1,IF(N($W110)&gt;0,MIN(1,SUMIFS($Y$5:$Y$1000,$U$5:$U$1000,ROW(),$V$5:$V$1000,"Sub")),$Y110))))</f>
        <v/>
      </c>
      <c r="N110" s="56">
        <f>IF(OR($M110="",$V110="Sub"),"",IF($M110&gt;=1,"Completado",IF($M110&gt;0,"En curso","Pendiente")))</f>
        <v/>
      </c>
      <c r="O110" s="56">
        <f>IF(NOT((COUNTA($B110:$D110)+COUNTA($G110:$H110)+COUNTA($Q110))&gt;0),"",IF(AND(AND($D110&lt;&gt;"",$V110="Macro"),N($AM110)&gt;0),CHOOSE(MATCH($D110,ListaPuestos,0),INDEX('Cronograma R. Operacional'!$O$5:$O$1000,$AM110),INDEX('Cronograma R. Normativo'!$O$5:$O$1000,$AM110),INDEX('Cronograma R. Financiero'!$O$5:$O$1000,$AM110),INDEX('Cronograma Asistente Técnico'!$O$5:$O$1000,$AM110))&amp;"",IF(ISNUMBER($G110),IF(AND(ISNUMBER($AS110),$G110&gt;$AS110),"Cumplida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f>IF(NOT((COUNTA($B110:$D110)+COUNTA($G110:$H110)+COUNTA($Q110))&gt;0),"",IF($D110="","Propia",IF($V110&lt;&gt;"Macro","Solo se delegan macroactividades",IF(N($AM110)&gt;0,"✔ Recibida por "&amp;$D110,"⚠ "&amp;$D110&amp;" aún no la agrega"))))</f>
        <v/>
      </c>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f>IF(NOT(AND($D110&lt;&gt;"",$V110="Macro")),"",IFERROR(CHOOSE(MATCH($D110,ListaPuestos,0),MATCH("[Jefatura] "&amp;$C110,'Cronograma R. Operacional'!$C$5:$C$1000,0),MATCH("[Jefatura] "&amp;$C110,'Cronograma R. Normativo'!$C$5:$C$1000,0),MATCH("[Jefatura] "&amp;$C110,'Cronograma R. Financiero'!$C$5:$C$1000,0),MATCH("[Jefatura] "&amp;$C110,'Cronograma Asistente Técnico'!$C$5:$C$1000,0)),0))</f>
        <v/>
      </c>
      <c r="AN110" s="62">
        <f>IF(AND(AND($D110&lt;&gt;"",$V110="Macro"),$S110=MesCiclo),COUNTIFS($D$5:$D110,$D110,$S$5:$S110,MesCiclo,$V$5:$V110,"Macro"),"")</f>
        <v/>
      </c>
      <c r="AO110" s="62">
        <f>IF($AN110="","",$D110&amp;"|"&amp;$AN110)</f>
        <v/>
      </c>
      <c r="AP110" s="62">
        <f>IF(AND($D110&lt;&gt;"",$V110="Macro"),$D110&amp;"|"&amp;$C110,"")</f>
        <v/>
      </c>
      <c r="AQ110" s="62">
        <f>""</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t="n"/>
      <c r="F111" s="59" t="n"/>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IF(NOT((COUNTA($B111:$D111)+COUNTA($G111:$H111)+COUNTA($Q111))&gt;0),"",IF(AND($D111&lt;&gt;"",$V111="Macro"),IF(N($AM111)&gt;0,N(CHOOSE(MATCH($D111,ListaPuestos,0),INDEX('Cronograma R. Operacional'!$M$5:$M$1000,$AM111),INDEX('Cronograma R. Normativo'!$M$5:$M$1000,$AM111),INDEX('Cronograma R. Financiero'!$M$5:$M$1000,$AM111),INDEX('Cronograma Asistente Técnico'!$M$5:$M$1000,$AM111))),0),IF(ISNUMBER($G111),1,IF(N($W111)&gt;0,MIN(1,SUMIFS($Y$5:$Y$1000,$U$5:$U$1000,ROW(),$V$5:$V$1000,"Sub")),$Y111))))</f>
        <v/>
      </c>
      <c r="N111" s="56">
        <f>IF(OR($M111="",$V111="Sub"),"",IF($M111&gt;=1,"Completado",IF($M111&gt;0,"En curso","Pendiente")))</f>
        <v/>
      </c>
      <c r="O111" s="56">
        <f>IF(NOT((COUNTA($B111:$D111)+COUNTA($G111:$H111)+COUNTA($Q111))&gt;0),"",IF(AND(AND($D111&lt;&gt;"",$V111="Macro"),N($AM111)&gt;0),CHOOSE(MATCH($D111,ListaPuestos,0),INDEX('Cronograma R. Operacional'!$O$5:$O$1000,$AM111),INDEX('Cronograma R. Normativo'!$O$5:$O$1000,$AM111),INDEX('Cronograma R. Financiero'!$O$5:$O$1000,$AM111),INDEX('Cronograma Asistente Técnico'!$O$5:$O$1000,$AM111))&amp;"",IF(ISNUMBER($G111),IF(AND(ISNUMBER($AS111),$G111&gt;$AS111),"Cumplida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f>IF(NOT((COUNTA($B111:$D111)+COUNTA($G111:$H111)+COUNTA($Q111))&gt;0),"",IF($D111="","Propia",IF($V111&lt;&gt;"Macro","Solo se delegan macroactividades",IF(N($AM111)&gt;0,"✔ Recibida por "&amp;$D111,"⚠ "&amp;$D111&amp;" aún no la agrega"))))</f>
        <v/>
      </c>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f>IF(NOT(AND($D111&lt;&gt;"",$V111="Macro")),"",IFERROR(CHOOSE(MATCH($D111,ListaPuestos,0),MATCH("[Jefatura] "&amp;$C111,'Cronograma R. Operacional'!$C$5:$C$1000,0),MATCH("[Jefatura] "&amp;$C111,'Cronograma R. Normativo'!$C$5:$C$1000,0),MATCH("[Jefatura] "&amp;$C111,'Cronograma R. Financiero'!$C$5:$C$1000,0),MATCH("[Jefatura] "&amp;$C111,'Cronograma Asistente Técnico'!$C$5:$C$1000,0)),0))</f>
        <v/>
      </c>
      <c r="AN111" s="62">
        <f>IF(AND(AND($D111&lt;&gt;"",$V111="Macro"),$S111=MesCiclo),COUNTIFS($D$5:$D111,$D111,$S$5:$S111,MesCiclo,$V$5:$V111,"Macro"),"")</f>
        <v/>
      </c>
      <c r="AO111" s="62">
        <f>IF($AN111="","",$D111&amp;"|"&amp;$AN111)</f>
        <v/>
      </c>
      <c r="AP111" s="62">
        <f>IF(AND($D111&lt;&gt;"",$V111="Macro"),$D111&amp;"|"&amp;$C111,"")</f>
        <v/>
      </c>
      <c r="AQ111" s="62">
        <f>""</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t="n"/>
      <c r="F112" s="59" t="n"/>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IF(NOT((COUNTA($B112:$D112)+COUNTA($G112:$H112)+COUNTA($Q112))&gt;0),"",IF(AND($D112&lt;&gt;"",$V112="Macro"),IF(N($AM112)&gt;0,N(CHOOSE(MATCH($D112,ListaPuestos,0),INDEX('Cronograma R. Operacional'!$M$5:$M$1000,$AM112),INDEX('Cronograma R. Normativo'!$M$5:$M$1000,$AM112),INDEX('Cronograma R. Financiero'!$M$5:$M$1000,$AM112),INDEX('Cronograma Asistente Técnico'!$M$5:$M$1000,$AM112))),0),IF(ISNUMBER($G112),1,IF(N($W112)&gt;0,MIN(1,SUMIFS($Y$5:$Y$1000,$U$5:$U$1000,ROW(),$V$5:$V$1000,"Sub")),$Y112))))</f>
        <v/>
      </c>
      <c r="N112" s="56">
        <f>IF(OR($M112="",$V112="Sub"),"",IF($M112&gt;=1,"Completado",IF($M112&gt;0,"En curso","Pendiente")))</f>
        <v/>
      </c>
      <c r="O112" s="56">
        <f>IF(NOT((COUNTA($B112:$D112)+COUNTA($G112:$H112)+COUNTA($Q112))&gt;0),"",IF(AND(AND($D112&lt;&gt;"",$V112="Macro"),N($AM112)&gt;0),CHOOSE(MATCH($D112,ListaPuestos,0),INDEX('Cronograma R. Operacional'!$O$5:$O$1000,$AM112),INDEX('Cronograma R. Normativo'!$O$5:$O$1000,$AM112),INDEX('Cronograma R. Financiero'!$O$5:$O$1000,$AM112),INDEX('Cronograma Asistente Técnico'!$O$5:$O$1000,$AM112))&amp;"",IF(ISNUMBER($G112),IF(AND(ISNUMBER($AS112),$G112&gt;$AS112),"Cumplida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f>IF(NOT((COUNTA($B112:$D112)+COUNTA($G112:$H112)+COUNTA($Q112))&gt;0),"",IF($D112="","Propia",IF($V112&lt;&gt;"Macro","Solo se delegan macroactividades",IF(N($AM112)&gt;0,"✔ Recibida por "&amp;$D112,"⚠ "&amp;$D112&amp;" aún no la agrega"))))</f>
        <v/>
      </c>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f>IF(NOT(AND($D112&lt;&gt;"",$V112="Macro")),"",IFERROR(CHOOSE(MATCH($D112,ListaPuestos,0),MATCH("[Jefatura] "&amp;$C112,'Cronograma R. Operacional'!$C$5:$C$1000,0),MATCH("[Jefatura] "&amp;$C112,'Cronograma R. Normativo'!$C$5:$C$1000,0),MATCH("[Jefatura] "&amp;$C112,'Cronograma R. Financiero'!$C$5:$C$1000,0),MATCH("[Jefatura] "&amp;$C112,'Cronograma Asistente Técnico'!$C$5:$C$1000,0)),0))</f>
        <v/>
      </c>
      <c r="AN112" s="62">
        <f>IF(AND(AND($D112&lt;&gt;"",$V112="Macro"),$S112=MesCiclo),COUNTIFS($D$5:$D112,$D112,$S$5:$S112,MesCiclo,$V$5:$V112,"Macro"),"")</f>
        <v/>
      </c>
      <c r="AO112" s="62">
        <f>IF($AN112="","",$D112&amp;"|"&amp;$AN112)</f>
        <v/>
      </c>
      <c r="AP112" s="62">
        <f>IF(AND($D112&lt;&gt;"",$V112="Macro"),$D112&amp;"|"&amp;$C112,"")</f>
        <v/>
      </c>
      <c r="AQ112" s="62">
        <f>""</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t="n"/>
      <c r="F113" s="59" t="n"/>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IF(NOT((COUNTA($B113:$D113)+COUNTA($G113:$H113)+COUNTA($Q113))&gt;0),"",IF(AND($D113&lt;&gt;"",$V113="Macro"),IF(N($AM113)&gt;0,N(CHOOSE(MATCH($D113,ListaPuestos,0),INDEX('Cronograma R. Operacional'!$M$5:$M$1000,$AM113),INDEX('Cronograma R. Normativo'!$M$5:$M$1000,$AM113),INDEX('Cronograma R. Financiero'!$M$5:$M$1000,$AM113),INDEX('Cronograma Asistente Técnico'!$M$5:$M$1000,$AM113))),0),IF(ISNUMBER($G113),1,IF(N($W113)&gt;0,MIN(1,SUMIFS($Y$5:$Y$1000,$U$5:$U$1000,ROW(),$V$5:$V$1000,"Sub")),$Y113))))</f>
        <v/>
      </c>
      <c r="N113" s="56">
        <f>IF(OR($M113="",$V113="Sub"),"",IF($M113&gt;=1,"Completado",IF($M113&gt;0,"En curso","Pendiente")))</f>
        <v/>
      </c>
      <c r="O113" s="56">
        <f>IF(NOT((COUNTA($B113:$D113)+COUNTA($G113:$H113)+COUNTA($Q113))&gt;0),"",IF(AND(AND($D113&lt;&gt;"",$V113="Macro"),N($AM113)&gt;0),CHOOSE(MATCH($D113,ListaPuestos,0),INDEX('Cronograma R. Operacional'!$O$5:$O$1000,$AM113),INDEX('Cronograma R. Normativo'!$O$5:$O$1000,$AM113),INDEX('Cronograma R. Financiero'!$O$5:$O$1000,$AM113),INDEX('Cronograma Asistente Técnico'!$O$5:$O$1000,$AM113))&amp;"",IF(ISNUMBER($G113),IF(AND(ISNUMBER($AS113),$G113&gt;$AS113),"Cumplida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f>IF(NOT((COUNTA($B113:$D113)+COUNTA($G113:$H113)+COUNTA($Q113))&gt;0),"",IF($D113="","Propia",IF($V113&lt;&gt;"Macro","Solo se delegan macroactividades",IF(N($AM113)&gt;0,"✔ Recibida por "&amp;$D113,"⚠ "&amp;$D113&amp;" aún no la agrega"))))</f>
        <v/>
      </c>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f>IF(NOT(AND($D113&lt;&gt;"",$V113="Macro")),"",IFERROR(CHOOSE(MATCH($D113,ListaPuestos,0),MATCH("[Jefatura] "&amp;$C113,'Cronograma R. Operacional'!$C$5:$C$1000,0),MATCH("[Jefatura] "&amp;$C113,'Cronograma R. Normativo'!$C$5:$C$1000,0),MATCH("[Jefatura] "&amp;$C113,'Cronograma R. Financiero'!$C$5:$C$1000,0),MATCH("[Jefatura] "&amp;$C113,'Cronograma Asistente Técnico'!$C$5:$C$1000,0)),0))</f>
        <v/>
      </c>
      <c r="AN113" s="62">
        <f>IF(AND(AND($D113&lt;&gt;"",$V113="Macro"),$S113=MesCiclo),COUNTIFS($D$5:$D113,$D113,$S$5:$S113,MesCiclo,$V$5:$V113,"Macro"),"")</f>
        <v/>
      </c>
      <c r="AO113" s="62">
        <f>IF($AN113="","",$D113&amp;"|"&amp;$AN113)</f>
        <v/>
      </c>
      <c r="AP113" s="62">
        <f>IF(AND($D113&lt;&gt;"",$V113="Macro"),$D113&amp;"|"&amp;$C113,"")</f>
        <v/>
      </c>
      <c r="AQ113" s="62">
        <f>""</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t="n"/>
      <c r="F114" s="59" t="n"/>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IF(NOT((COUNTA($B114:$D114)+COUNTA($G114:$H114)+COUNTA($Q114))&gt;0),"",IF(AND($D114&lt;&gt;"",$V114="Macro"),IF(N($AM114)&gt;0,N(CHOOSE(MATCH($D114,ListaPuestos,0),INDEX('Cronograma R. Operacional'!$M$5:$M$1000,$AM114),INDEX('Cronograma R. Normativo'!$M$5:$M$1000,$AM114),INDEX('Cronograma R. Financiero'!$M$5:$M$1000,$AM114),INDEX('Cronograma Asistente Técnico'!$M$5:$M$1000,$AM114))),0),IF(ISNUMBER($G114),1,IF(N($W114)&gt;0,MIN(1,SUMIFS($Y$5:$Y$1000,$U$5:$U$1000,ROW(),$V$5:$V$1000,"Sub")),$Y114))))</f>
        <v/>
      </c>
      <c r="N114" s="56">
        <f>IF(OR($M114="",$V114="Sub"),"",IF($M114&gt;=1,"Completado",IF($M114&gt;0,"En curso","Pendiente")))</f>
        <v/>
      </c>
      <c r="O114" s="56">
        <f>IF(NOT((COUNTA($B114:$D114)+COUNTA($G114:$H114)+COUNTA($Q114))&gt;0),"",IF(AND(AND($D114&lt;&gt;"",$V114="Macro"),N($AM114)&gt;0),CHOOSE(MATCH($D114,ListaPuestos,0),INDEX('Cronograma R. Operacional'!$O$5:$O$1000,$AM114),INDEX('Cronograma R. Normativo'!$O$5:$O$1000,$AM114),INDEX('Cronograma R. Financiero'!$O$5:$O$1000,$AM114),INDEX('Cronograma Asistente Técnico'!$O$5:$O$1000,$AM114))&amp;"",IF(ISNUMBER($G114),IF(AND(ISNUMBER($AS114),$G114&gt;$AS114),"Cumplida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f>IF(NOT((COUNTA($B114:$D114)+COUNTA($G114:$H114)+COUNTA($Q114))&gt;0),"",IF($D114="","Propia",IF($V114&lt;&gt;"Macro","Solo se delegan macroactividades",IF(N($AM114)&gt;0,"✔ Recibida por "&amp;$D114,"⚠ "&amp;$D114&amp;" aún no la agrega"))))</f>
        <v/>
      </c>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f>IF(NOT(AND($D114&lt;&gt;"",$V114="Macro")),"",IFERROR(CHOOSE(MATCH($D114,ListaPuestos,0),MATCH("[Jefatura] "&amp;$C114,'Cronograma R. Operacional'!$C$5:$C$1000,0),MATCH("[Jefatura] "&amp;$C114,'Cronograma R. Normativo'!$C$5:$C$1000,0),MATCH("[Jefatura] "&amp;$C114,'Cronograma R. Financiero'!$C$5:$C$1000,0),MATCH("[Jefatura] "&amp;$C114,'Cronograma Asistente Técnico'!$C$5:$C$1000,0)),0))</f>
        <v/>
      </c>
      <c r="AN114" s="62">
        <f>IF(AND(AND($D114&lt;&gt;"",$V114="Macro"),$S114=MesCiclo),COUNTIFS($D$5:$D114,$D114,$S$5:$S114,MesCiclo,$V$5:$V114,"Macro"),"")</f>
        <v/>
      </c>
      <c r="AO114" s="62">
        <f>IF($AN114="","",$D114&amp;"|"&amp;$AN114)</f>
        <v/>
      </c>
      <c r="AP114" s="62">
        <f>IF(AND($D114&lt;&gt;"",$V114="Macro"),$D114&amp;"|"&amp;$C114,"")</f>
        <v/>
      </c>
      <c r="AQ114" s="62">
        <f>""</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t="n"/>
      <c r="F115" s="59" t="n"/>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IF(NOT((COUNTA($B115:$D115)+COUNTA($G115:$H115)+COUNTA($Q115))&gt;0),"",IF(AND($D115&lt;&gt;"",$V115="Macro"),IF(N($AM115)&gt;0,N(CHOOSE(MATCH($D115,ListaPuestos,0),INDEX('Cronograma R. Operacional'!$M$5:$M$1000,$AM115),INDEX('Cronograma R. Normativo'!$M$5:$M$1000,$AM115),INDEX('Cronograma R. Financiero'!$M$5:$M$1000,$AM115),INDEX('Cronograma Asistente Técnico'!$M$5:$M$1000,$AM115))),0),IF(ISNUMBER($G115),1,IF(N($W115)&gt;0,MIN(1,SUMIFS($Y$5:$Y$1000,$U$5:$U$1000,ROW(),$V$5:$V$1000,"Sub")),$Y115))))</f>
        <v/>
      </c>
      <c r="N115" s="56">
        <f>IF(OR($M115="",$V115="Sub"),"",IF($M115&gt;=1,"Completado",IF($M115&gt;0,"En curso","Pendiente")))</f>
        <v/>
      </c>
      <c r="O115" s="56">
        <f>IF(NOT((COUNTA($B115:$D115)+COUNTA($G115:$H115)+COUNTA($Q115))&gt;0),"",IF(AND(AND($D115&lt;&gt;"",$V115="Macro"),N($AM115)&gt;0),CHOOSE(MATCH($D115,ListaPuestos,0),INDEX('Cronograma R. Operacional'!$O$5:$O$1000,$AM115),INDEX('Cronograma R. Normativo'!$O$5:$O$1000,$AM115),INDEX('Cronograma R. Financiero'!$O$5:$O$1000,$AM115),INDEX('Cronograma Asistente Técnico'!$O$5:$O$1000,$AM115))&amp;"",IF(ISNUMBER($G115),IF(AND(ISNUMBER($AS115),$G115&gt;$AS115),"Cumplida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f>IF(NOT((COUNTA($B115:$D115)+COUNTA($G115:$H115)+COUNTA($Q115))&gt;0),"",IF($D115="","Propia",IF($V115&lt;&gt;"Macro","Solo se delegan macroactividades",IF(N($AM115)&gt;0,"✔ Recibida por "&amp;$D115,"⚠ "&amp;$D115&amp;" aún no la agrega"))))</f>
        <v/>
      </c>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f>IF(NOT(AND($D115&lt;&gt;"",$V115="Macro")),"",IFERROR(CHOOSE(MATCH($D115,ListaPuestos,0),MATCH("[Jefatura] "&amp;$C115,'Cronograma R. Operacional'!$C$5:$C$1000,0),MATCH("[Jefatura] "&amp;$C115,'Cronograma R. Normativo'!$C$5:$C$1000,0),MATCH("[Jefatura] "&amp;$C115,'Cronograma R. Financiero'!$C$5:$C$1000,0),MATCH("[Jefatura] "&amp;$C115,'Cronograma Asistente Técnico'!$C$5:$C$1000,0)),0))</f>
        <v/>
      </c>
      <c r="AN115" s="62">
        <f>IF(AND(AND($D115&lt;&gt;"",$V115="Macro"),$S115=MesCiclo),COUNTIFS($D$5:$D115,$D115,$S$5:$S115,MesCiclo,$V$5:$V115,"Macro"),"")</f>
        <v/>
      </c>
      <c r="AO115" s="62">
        <f>IF($AN115="","",$D115&amp;"|"&amp;$AN115)</f>
        <v/>
      </c>
      <c r="AP115" s="62">
        <f>IF(AND($D115&lt;&gt;"",$V115="Macro"),$D115&amp;"|"&amp;$C115,"")</f>
        <v/>
      </c>
      <c r="AQ115" s="62">
        <f>""</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t="n"/>
      <c r="F116" s="59" t="n"/>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IF(NOT((COUNTA($B116:$D116)+COUNTA($G116:$H116)+COUNTA($Q116))&gt;0),"",IF(AND($D116&lt;&gt;"",$V116="Macro"),IF(N($AM116)&gt;0,N(CHOOSE(MATCH($D116,ListaPuestos,0),INDEX('Cronograma R. Operacional'!$M$5:$M$1000,$AM116),INDEX('Cronograma R. Normativo'!$M$5:$M$1000,$AM116),INDEX('Cronograma R. Financiero'!$M$5:$M$1000,$AM116),INDEX('Cronograma Asistente Técnico'!$M$5:$M$1000,$AM116))),0),IF(ISNUMBER($G116),1,IF(N($W116)&gt;0,MIN(1,SUMIFS($Y$5:$Y$1000,$U$5:$U$1000,ROW(),$V$5:$V$1000,"Sub")),$Y116))))</f>
        <v/>
      </c>
      <c r="N116" s="56">
        <f>IF(OR($M116="",$V116="Sub"),"",IF($M116&gt;=1,"Completado",IF($M116&gt;0,"En curso","Pendiente")))</f>
        <v/>
      </c>
      <c r="O116" s="56">
        <f>IF(NOT((COUNTA($B116:$D116)+COUNTA($G116:$H116)+COUNTA($Q116))&gt;0),"",IF(AND(AND($D116&lt;&gt;"",$V116="Macro"),N($AM116)&gt;0),CHOOSE(MATCH($D116,ListaPuestos,0),INDEX('Cronograma R. Operacional'!$O$5:$O$1000,$AM116),INDEX('Cronograma R. Normativo'!$O$5:$O$1000,$AM116),INDEX('Cronograma R. Financiero'!$O$5:$O$1000,$AM116),INDEX('Cronograma Asistente Técnico'!$O$5:$O$1000,$AM116))&amp;"",IF(ISNUMBER($G116),IF(AND(ISNUMBER($AS116),$G116&gt;$AS116),"Cumplida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f>IF(NOT((COUNTA($B116:$D116)+COUNTA($G116:$H116)+COUNTA($Q116))&gt;0),"",IF($D116="","Propia",IF($V116&lt;&gt;"Macro","Solo se delegan macroactividades",IF(N($AM116)&gt;0,"✔ Recibida por "&amp;$D116,"⚠ "&amp;$D116&amp;" aún no la agrega"))))</f>
        <v/>
      </c>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f>IF(NOT(AND($D116&lt;&gt;"",$V116="Macro")),"",IFERROR(CHOOSE(MATCH($D116,ListaPuestos,0),MATCH("[Jefatura] "&amp;$C116,'Cronograma R. Operacional'!$C$5:$C$1000,0),MATCH("[Jefatura] "&amp;$C116,'Cronograma R. Normativo'!$C$5:$C$1000,0),MATCH("[Jefatura] "&amp;$C116,'Cronograma R. Financiero'!$C$5:$C$1000,0),MATCH("[Jefatura] "&amp;$C116,'Cronograma Asistente Técnico'!$C$5:$C$1000,0)),0))</f>
        <v/>
      </c>
      <c r="AN116" s="62">
        <f>IF(AND(AND($D116&lt;&gt;"",$V116="Macro"),$S116=MesCiclo),COUNTIFS($D$5:$D116,$D116,$S$5:$S116,MesCiclo,$V$5:$V116,"Macro"),"")</f>
        <v/>
      </c>
      <c r="AO116" s="62">
        <f>IF($AN116="","",$D116&amp;"|"&amp;$AN116)</f>
        <v/>
      </c>
      <c r="AP116" s="62">
        <f>IF(AND($D116&lt;&gt;"",$V116="Macro"),$D116&amp;"|"&amp;$C116,"")</f>
        <v/>
      </c>
      <c r="AQ116" s="62">
        <f>""</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t="n"/>
      <c r="F117" s="59" t="n"/>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IF(NOT((COUNTA($B117:$D117)+COUNTA($G117:$H117)+COUNTA($Q117))&gt;0),"",IF(AND($D117&lt;&gt;"",$V117="Macro"),IF(N($AM117)&gt;0,N(CHOOSE(MATCH($D117,ListaPuestos,0),INDEX('Cronograma R. Operacional'!$M$5:$M$1000,$AM117),INDEX('Cronograma R. Normativo'!$M$5:$M$1000,$AM117),INDEX('Cronograma R. Financiero'!$M$5:$M$1000,$AM117),INDEX('Cronograma Asistente Técnico'!$M$5:$M$1000,$AM117))),0),IF(ISNUMBER($G117),1,IF(N($W117)&gt;0,MIN(1,SUMIFS($Y$5:$Y$1000,$U$5:$U$1000,ROW(),$V$5:$V$1000,"Sub")),$Y117))))</f>
        <v/>
      </c>
      <c r="N117" s="56">
        <f>IF(OR($M117="",$V117="Sub"),"",IF($M117&gt;=1,"Completado",IF($M117&gt;0,"En curso","Pendiente")))</f>
        <v/>
      </c>
      <c r="O117" s="56">
        <f>IF(NOT((COUNTA($B117:$D117)+COUNTA($G117:$H117)+COUNTA($Q117))&gt;0),"",IF(AND(AND($D117&lt;&gt;"",$V117="Macro"),N($AM117)&gt;0),CHOOSE(MATCH($D117,ListaPuestos,0),INDEX('Cronograma R. Operacional'!$O$5:$O$1000,$AM117),INDEX('Cronograma R. Normativo'!$O$5:$O$1000,$AM117),INDEX('Cronograma R. Financiero'!$O$5:$O$1000,$AM117),INDEX('Cronograma Asistente Técnico'!$O$5:$O$1000,$AM117))&amp;"",IF(ISNUMBER($G117),IF(AND(ISNUMBER($AS117),$G117&gt;$AS117),"Cumplida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f>IF(NOT((COUNTA($B117:$D117)+COUNTA($G117:$H117)+COUNTA($Q117))&gt;0),"",IF($D117="","Propia",IF($V117&lt;&gt;"Macro","Solo se delegan macroactividades",IF(N($AM117)&gt;0,"✔ Recibida por "&amp;$D117,"⚠ "&amp;$D117&amp;" aún no la agrega"))))</f>
        <v/>
      </c>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f>IF(NOT(AND($D117&lt;&gt;"",$V117="Macro")),"",IFERROR(CHOOSE(MATCH($D117,ListaPuestos,0),MATCH("[Jefatura] "&amp;$C117,'Cronograma R. Operacional'!$C$5:$C$1000,0),MATCH("[Jefatura] "&amp;$C117,'Cronograma R. Normativo'!$C$5:$C$1000,0),MATCH("[Jefatura] "&amp;$C117,'Cronograma R. Financiero'!$C$5:$C$1000,0),MATCH("[Jefatura] "&amp;$C117,'Cronograma Asistente Técnico'!$C$5:$C$1000,0)),0))</f>
        <v/>
      </c>
      <c r="AN117" s="62">
        <f>IF(AND(AND($D117&lt;&gt;"",$V117="Macro"),$S117=MesCiclo),COUNTIFS($D$5:$D117,$D117,$S$5:$S117,MesCiclo,$V$5:$V117,"Macro"),"")</f>
        <v/>
      </c>
      <c r="AO117" s="62">
        <f>IF($AN117="","",$D117&amp;"|"&amp;$AN117)</f>
        <v/>
      </c>
      <c r="AP117" s="62">
        <f>IF(AND($D117&lt;&gt;"",$V117="Macro"),$D117&amp;"|"&amp;$C117,"")</f>
        <v/>
      </c>
      <c r="AQ117" s="62">
        <f>""</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t="n"/>
      <c r="F118" s="59" t="n"/>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IF(NOT((COUNTA($B118:$D118)+COUNTA($G118:$H118)+COUNTA($Q118))&gt;0),"",IF(AND($D118&lt;&gt;"",$V118="Macro"),IF(N($AM118)&gt;0,N(CHOOSE(MATCH($D118,ListaPuestos,0),INDEX('Cronograma R. Operacional'!$M$5:$M$1000,$AM118),INDEX('Cronograma R. Normativo'!$M$5:$M$1000,$AM118),INDEX('Cronograma R. Financiero'!$M$5:$M$1000,$AM118),INDEX('Cronograma Asistente Técnico'!$M$5:$M$1000,$AM118))),0),IF(ISNUMBER($G118),1,IF(N($W118)&gt;0,MIN(1,SUMIFS($Y$5:$Y$1000,$U$5:$U$1000,ROW(),$V$5:$V$1000,"Sub")),$Y118))))</f>
        <v/>
      </c>
      <c r="N118" s="56">
        <f>IF(OR($M118="",$V118="Sub"),"",IF($M118&gt;=1,"Completado",IF($M118&gt;0,"En curso","Pendiente")))</f>
        <v/>
      </c>
      <c r="O118" s="56">
        <f>IF(NOT((COUNTA($B118:$D118)+COUNTA($G118:$H118)+COUNTA($Q118))&gt;0),"",IF(AND(AND($D118&lt;&gt;"",$V118="Macro"),N($AM118)&gt;0),CHOOSE(MATCH($D118,ListaPuestos,0),INDEX('Cronograma R. Operacional'!$O$5:$O$1000,$AM118),INDEX('Cronograma R. Normativo'!$O$5:$O$1000,$AM118),INDEX('Cronograma R. Financiero'!$O$5:$O$1000,$AM118),INDEX('Cronograma Asistente Técnico'!$O$5:$O$1000,$AM118))&amp;"",IF(ISNUMBER($G118),IF(AND(ISNUMBER($AS118),$G118&gt;$AS118),"Cumplida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f>IF(NOT((COUNTA($B118:$D118)+COUNTA($G118:$H118)+COUNTA($Q118))&gt;0),"",IF($D118="","Propia",IF($V118&lt;&gt;"Macro","Solo se delegan macroactividades",IF(N($AM118)&gt;0,"✔ Recibida por "&amp;$D118,"⚠ "&amp;$D118&amp;" aún no la agrega"))))</f>
        <v/>
      </c>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f>IF(NOT(AND($D118&lt;&gt;"",$V118="Macro")),"",IFERROR(CHOOSE(MATCH($D118,ListaPuestos,0),MATCH("[Jefatura] "&amp;$C118,'Cronograma R. Operacional'!$C$5:$C$1000,0),MATCH("[Jefatura] "&amp;$C118,'Cronograma R. Normativo'!$C$5:$C$1000,0),MATCH("[Jefatura] "&amp;$C118,'Cronograma R. Financiero'!$C$5:$C$1000,0),MATCH("[Jefatura] "&amp;$C118,'Cronograma Asistente Técnico'!$C$5:$C$1000,0)),0))</f>
        <v/>
      </c>
      <c r="AN118" s="62">
        <f>IF(AND(AND($D118&lt;&gt;"",$V118="Macro"),$S118=MesCiclo),COUNTIFS($D$5:$D118,$D118,$S$5:$S118,MesCiclo,$V$5:$V118,"Macro"),"")</f>
        <v/>
      </c>
      <c r="AO118" s="62">
        <f>IF($AN118="","",$D118&amp;"|"&amp;$AN118)</f>
        <v/>
      </c>
      <c r="AP118" s="62">
        <f>IF(AND($D118&lt;&gt;"",$V118="Macro"),$D118&amp;"|"&amp;$C118,"")</f>
        <v/>
      </c>
      <c r="AQ118" s="62">
        <f>""</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t="n"/>
      <c r="F119" s="59" t="n"/>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IF(NOT((COUNTA($B119:$D119)+COUNTA($G119:$H119)+COUNTA($Q119))&gt;0),"",IF(AND($D119&lt;&gt;"",$V119="Macro"),IF(N($AM119)&gt;0,N(CHOOSE(MATCH($D119,ListaPuestos,0),INDEX('Cronograma R. Operacional'!$M$5:$M$1000,$AM119),INDEX('Cronograma R. Normativo'!$M$5:$M$1000,$AM119),INDEX('Cronograma R. Financiero'!$M$5:$M$1000,$AM119),INDEX('Cronograma Asistente Técnico'!$M$5:$M$1000,$AM119))),0),IF(ISNUMBER($G119),1,IF(N($W119)&gt;0,MIN(1,SUMIFS($Y$5:$Y$1000,$U$5:$U$1000,ROW(),$V$5:$V$1000,"Sub")),$Y119))))</f>
        <v/>
      </c>
      <c r="N119" s="56">
        <f>IF(OR($M119="",$V119="Sub"),"",IF($M119&gt;=1,"Completado",IF($M119&gt;0,"En curso","Pendiente")))</f>
        <v/>
      </c>
      <c r="O119" s="56">
        <f>IF(NOT((COUNTA($B119:$D119)+COUNTA($G119:$H119)+COUNTA($Q119))&gt;0),"",IF(AND(AND($D119&lt;&gt;"",$V119="Macro"),N($AM119)&gt;0),CHOOSE(MATCH($D119,ListaPuestos,0),INDEX('Cronograma R. Operacional'!$O$5:$O$1000,$AM119),INDEX('Cronograma R. Normativo'!$O$5:$O$1000,$AM119),INDEX('Cronograma R. Financiero'!$O$5:$O$1000,$AM119),INDEX('Cronograma Asistente Técnico'!$O$5:$O$1000,$AM119))&amp;"",IF(ISNUMBER($G119),IF(AND(ISNUMBER($AS119),$G119&gt;$AS119),"Cumplida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f>IF(NOT((COUNTA($B119:$D119)+COUNTA($G119:$H119)+COUNTA($Q119))&gt;0),"",IF($D119="","Propia",IF($V119&lt;&gt;"Macro","Solo se delegan macroactividades",IF(N($AM119)&gt;0,"✔ Recibida por "&amp;$D119,"⚠ "&amp;$D119&amp;" aún no la agrega"))))</f>
        <v/>
      </c>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f>IF(NOT(AND($D119&lt;&gt;"",$V119="Macro")),"",IFERROR(CHOOSE(MATCH($D119,ListaPuestos,0),MATCH("[Jefatura] "&amp;$C119,'Cronograma R. Operacional'!$C$5:$C$1000,0),MATCH("[Jefatura] "&amp;$C119,'Cronograma R. Normativo'!$C$5:$C$1000,0),MATCH("[Jefatura] "&amp;$C119,'Cronograma R. Financiero'!$C$5:$C$1000,0),MATCH("[Jefatura] "&amp;$C119,'Cronograma Asistente Técnico'!$C$5:$C$1000,0)),0))</f>
        <v/>
      </c>
      <c r="AN119" s="62">
        <f>IF(AND(AND($D119&lt;&gt;"",$V119="Macro"),$S119=MesCiclo),COUNTIFS($D$5:$D119,$D119,$S$5:$S119,MesCiclo,$V$5:$V119,"Macro"),"")</f>
        <v/>
      </c>
      <c r="AO119" s="62">
        <f>IF($AN119="","",$D119&amp;"|"&amp;$AN119)</f>
        <v/>
      </c>
      <c r="AP119" s="62">
        <f>IF(AND($D119&lt;&gt;"",$V119="Macro"),$D119&amp;"|"&amp;$C119,"")</f>
        <v/>
      </c>
      <c r="AQ119" s="62">
        <f>""</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t="n"/>
      <c r="F120" s="59" t="n"/>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IF(NOT((COUNTA($B120:$D120)+COUNTA($G120:$H120)+COUNTA($Q120))&gt;0),"",IF(AND($D120&lt;&gt;"",$V120="Macro"),IF(N($AM120)&gt;0,N(CHOOSE(MATCH($D120,ListaPuestos,0),INDEX('Cronograma R. Operacional'!$M$5:$M$1000,$AM120),INDEX('Cronograma R. Normativo'!$M$5:$M$1000,$AM120),INDEX('Cronograma R. Financiero'!$M$5:$M$1000,$AM120),INDEX('Cronograma Asistente Técnico'!$M$5:$M$1000,$AM120))),0),IF(ISNUMBER($G120),1,IF(N($W120)&gt;0,MIN(1,SUMIFS($Y$5:$Y$1000,$U$5:$U$1000,ROW(),$V$5:$V$1000,"Sub")),$Y120))))</f>
        <v/>
      </c>
      <c r="N120" s="56">
        <f>IF(OR($M120="",$V120="Sub"),"",IF($M120&gt;=1,"Completado",IF($M120&gt;0,"En curso","Pendiente")))</f>
        <v/>
      </c>
      <c r="O120" s="56">
        <f>IF(NOT((COUNTA($B120:$D120)+COUNTA($G120:$H120)+COUNTA($Q120))&gt;0),"",IF(AND(AND($D120&lt;&gt;"",$V120="Macro"),N($AM120)&gt;0),CHOOSE(MATCH($D120,ListaPuestos,0),INDEX('Cronograma R. Operacional'!$O$5:$O$1000,$AM120),INDEX('Cronograma R. Normativo'!$O$5:$O$1000,$AM120),INDEX('Cronograma R. Financiero'!$O$5:$O$1000,$AM120),INDEX('Cronograma Asistente Técnico'!$O$5:$O$1000,$AM120))&amp;"",IF(ISNUMBER($G120),IF(AND(ISNUMBER($AS120),$G120&gt;$AS120),"Cumplida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f>IF(NOT((COUNTA($B120:$D120)+COUNTA($G120:$H120)+COUNTA($Q120))&gt;0),"",IF($D120="","Propia",IF($V120&lt;&gt;"Macro","Solo se delegan macroactividades",IF(N($AM120)&gt;0,"✔ Recibida por "&amp;$D120,"⚠ "&amp;$D120&amp;" aún no la agrega"))))</f>
        <v/>
      </c>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f>IF(NOT(AND($D120&lt;&gt;"",$V120="Macro")),"",IFERROR(CHOOSE(MATCH($D120,ListaPuestos,0),MATCH("[Jefatura] "&amp;$C120,'Cronograma R. Operacional'!$C$5:$C$1000,0),MATCH("[Jefatura] "&amp;$C120,'Cronograma R. Normativo'!$C$5:$C$1000,0),MATCH("[Jefatura] "&amp;$C120,'Cronograma R. Financiero'!$C$5:$C$1000,0),MATCH("[Jefatura] "&amp;$C120,'Cronograma Asistente Técnico'!$C$5:$C$1000,0)),0))</f>
        <v/>
      </c>
      <c r="AN120" s="62">
        <f>IF(AND(AND($D120&lt;&gt;"",$V120="Macro"),$S120=MesCiclo),COUNTIFS($D$5:$D120,$D120,$S$5:$S120,MesCiclo,$V$5:$V120,"Macro"),"")</f>
        <v/>
      </c>
      <c r="AO120" s="62">
        <f>IF($AN120="","",$D120&amp;"|"&amp;$AN120)</f>
        <v/>
      </c>
      <c r="AP120" s="62">
        <f>IF(AND($D120&lt;&gt;"",$V120="Macro"),$D120&amp;"|"&amp;$C120,"")</f>
        <v/>
      </c>
      <c r="AQ120" s="62">
        <f>""</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t="n"/>
      <c r="F121" s="59" t="n"/>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IF(NOT((COUNTA($B121:$D121)+COUNTA($G121:$H121)+COUNTA($Q121))&gt;0),"",IF(AND($D121&lt;&gt;"",$V121="Macro"),IF(N($AM121)&gt;0,N(CHOOSE(MATCH($D121,ListaPuestos,0),INDEX('Cronograma R. Operacional'!$M$5:$M$1000,$AM121),INDEX('Cronograma R. Normativo'!$M$5:$M$1000,$AM121),INDEX('Cronograma R. Financiero'!$M$5:$M$1000,$AM121),INDEX('Cronograma Asistente Técnico'!$M$5:$M$1000,$AM121))),0),IF(ISNUMBER($G121),1,IF(N($W121)&gt;0,MIN(1,SUMIFS($Y$5:$Y$1000,$U$5:$U$1000,ROW(),$V$5:$V$1000,"Sub")),$Y121))))</f>
        <v/>
      </c>
      <c r="N121" s="56">
        <f>IF(OR($M121="",$V121="Sub"),"",IF($M121&gt;=1,"Completado",IF($M121&gt;0,"En curso","Pendiente")))</f>
        <v/>
      </c>
      <c r="O121" s="56">
        <f>IF(NOT((COUNTA($B121:$D121)+COUNTA($G121:$H121)+COUNTA($Q121))&gt;0),"",IF(AND(AND($D121&lt;&gt;"",$V121="Macro"),N($AM121)&gt;0),CHOOSE(MATCH($D121,ListaPuestos,0),INDEX('Cronograma R. Operacional'!$O$5:$O$1000,$AM121),INDEX('Cronograma R. Normativo'!$O$5:$O$1000,$AM121),INDEX('Cronograma R. Financiero'!$O$5:$O$1000,$AM121),INDEX('Cronograma Asistente Técnico'!$O$5:$O$1000,$AM121))&amp;"",IF(ISNUMBER($G121),IF(AND(ISNUMBER($AS121),$G121&gt;$AS121),"Cumplida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f>IF(NOT((COUNTA($B121:$D121)+COUNTA($G121:$H121)+COUNTA($Q121))&gt;0),"",IF($D121="","Propia",IF($V121&lt;&gt;"Macro","Solo se delegan macroactividades",IF(N($AM121)&gt;0,"✔ Recibida por "&amp;$D121,"⚠ "&amp;$D121&amp;" aún no la agrega"))))</f>
        <v/>
      </c>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f>IF(NOT(AND($D121&lt;&gt;"",$V121="Macro")),"",IFERROR(CHOOSE(MATCH($D121,ListaPuestos,0),MATCH("[Jefatura] "&amp;$C121,'Cronograma R. Operacional'!$C$5:$C$1000,0),MATCH("[Jefatura] "&amp;$C121,'Cronograma R. Normativo'!$C$5:$C$1000,0),MATCH("[Jefatura] "&amp;$C121,'Cronograma R. Financiero'!$C$5:$C$1000,0),MATCH("[Jefatura] "&amp;$C121,'Cronograma Asistente Técnico'!$C$5:$C$1000,0)),0))</f>
        <v/>
      </c>
      <c r="AN121" s="62">
        <f>IF(AND(AND($D121&lt;&gt;"",$V121="Macro"),$S121=MesCiclo),COUNTIFS($D$5:$D121,$D121,$S$5:$S121,MesCiclo,$V$5:$V121,"Macro"),"")</f>
        <v/>
      </c>
      <c r="AO121" s="62">
        <f>IF($AN121="","",$D121&amp;"|"&amp;$AN121)</f>
        <v/>
      </c>
      <c r="AP121" s="62">
        <f>IF(AND($D121&lt;&gt;"",$V121="Macro"),$D121&amp;"|"&amp;$C121,"")</f>
        <v/>
      </c>
      <c r="AQ121" s="62">
        <f>""</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t="n"/>
      <c r="F122" s="59" t="n"/>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IF(NOT((COUNTA($B122:$D122)+COUNTA($G122:$H122)+COUNTA($Q122))&gt;0),"",IF(AND($D122&lt;&gt;"",$V122="Macro"),IF(N($AM122)&gt;0,N(CHOOSE(MATCH($D122,ListaPuestos,0),INDEX('Cronograma R. Operacional'!$M$5:$M$1000,$AM122),INDEX('Cronograma R. Normativo'!$M$5:$M$1000,$AM122),INDEX('Cronograma R. Financiero'!$M$5:$M$1000,$AM122),INDEX('Cronograma Asistente Técnico'!$M$5:$M$1000,$AM122))),0),IF(ISNUMBER($G122),1,IF(N($W122)&gt;0,MIN(1,SUMIFS($Y$5:$Y$1000,$U$5:$U$1000,ROW(),$V$5:$V$1000,"Sub")),$Y122))))</f>
        <v/>
      </c>
      <c r="N122" s="56">
        <f>IF(OR($M122="",$V122="Sub"),"",IF($M122&gt;=1,"Completado",IF($M122&gt;0,"En curso","Pendiente")))</f>
        <v/>
      </c>
      <c r="O122" s="56">
        <f>IF(NOT((COUNTA($B122:$D122)+COUNTA($G122:$H122)+COUNTA($Q122))&gt;0),"",IF(AND(AND($D122&lt;&gt;"",$V122="Macro"),N($AM122)&gt;0),CHOOSE(MATCH($D122,ListaPuestos,0),INDEX('Cronograma R. Operacional'!$O$5:$O$1000,$AM122),INDEX('Cronograma R. Normativo'!$O$5:$O$1000,$AM122),INDEX('Cronograma R. Financiero'!$O$5:$O$1000,$AM122),INDEX('Cronograma Asistente Técnico'!$O$5:$O$1000,$AM122))&amp;"",IF(ISNUMBER($G122),IF(AND(ISNUMBER($AS122),$G122&gt;$AS122),"Cumplida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f>IF(NOT((COUNTA($B122:$D122)+COUNTA($G122:$H122)+COUNTA($Q122))&gt;0),"",IF($D122="","Propia",IF($V122&lt;&gt;"Macro","Solo se delegan macroactividades",IF(N($AM122)&gt;0,"✔ Recibida por "&amp;$D122,"⚠ "&amp;$D122&amp;" aún no la agrega"))))</f>
        <v/>
      </c>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f>IF(NOT(AND($D122&lt;&gt;"",$V122="Macro")),"",IFERROR(CHOOSE(MATCH($D122,ListaPuestos,0),MATCH("[Jefatura] "&amp;$C122,'Cronograma R. Operacional'!$C$5:$C$1000,0),MATCH("[Jefatura] "&amp;$C122,'Cronograma R. Normativo'!$C$5:$C$1000,0),MATCH("[Jefatura] "&amp;$C122,'Cronograma R. Financiero'!$C$5:$C$1000,0),MATCH("[Jefatura] "&amp;$C122,'Cronograma Asistente Técnico'!$C$5:$C$1000,0)),0))</f>
        <v/>
      </c>
      <c r="AN122" s="62">
        <f>IF(AND(AND($D122&lt;&gt;"",$V122="Macro"),$S122=MesCiclo),COUNTIFS($D$5:$D122,$D122,$S$5:$S122,MesCiclo,$V$5:$V122,"Macro"),"")</f>
        <v/>
      </c>
      <c r="AO122" s="62">
        <f>IF($AN122="","",$D122&amp;"|"&amp;$AN122)</f>
        <v/>
      </c>
      <c r="AP122" s="62">
        <f>IF(AND($D122&lt;&gt;"",$V122="Macro"),$D122&amp;"|"&amp;$C122,"")</f>
        <v/>
      </c>
      <c r="AQ122" s="62">
        <f>""</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t="n"/>
      <c r="F123" s="59" t="n"/>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IF(NOT((COUNTA($B123:$D123)+COUNTA($G123:$H123)+COUNTA($Q123))&gt;0),"",IF(AND($D123&lt;&gt;"",$V123="Macro"),IF(N($AM123)&gt;0,N(CHOOSE(MATCH($D123,ListaPuestos,0),INDEX('Cronograma R. Operacional'!$M$5:$M$1000,$AM123),INDEX('Cronograma R. Normativo'!$M$5:$M$1000,$AM123),INDEX('Cronograma R. Financiero'!$M$5:$M$1000,$AM123),INDEX('Cronograma Asistente Técnico'!$M$5:$M$1000,$AM123))),0),IF(ISNUMBER($G123),1,IF(N($W123)&gt;0,MIN(1,SUMIFS($Y$5:$Y$1000,$U$5:$U$1000,ROW(),$V$5:$V$1000,"Sub")),$Y123))))</f>
        <v/>
      </c>
      <c r="N123" s="56">
        <f>IF(OR($M123="",$V123="Sub"),"",IF($M123&gt;=1,"Completado",IF($M123&gt;0,"En curso","Pendiente")))</f>
        <v/>
      </c>
      <c r="O123" s="56">
        <f>IF(NOT((COUNTA($B123:$D123)+COUNTA($G123:$H123)+COUNTA($Q123))&gt;0),"",IF(AND(AND($D123&lt;&gt;"",$V123="Macro"),N($AM123)&gt;0),CHOOSE(MATCH($D123,ListaPuestos,0),INDEX('Cronograma R. Operacional'!$O$5:$O$1000,$AM123),INDEX('Cronograma R. Normativo'!$O$5:$O$1000,$AM123),INDEX('Cronograma R. Financiero'!$O$5:$O$1000,$AM123),INDEX('Cronograma Asistente Técnico'!$O$5:$O$1000,$AM123))&amp;"",IF(ISNUMBER($G123),IF(AND(ISNUMBER($AS123),$G123&gt;$AS123),"Cumplida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f>IF(NOT((COUNTA($B123:$D123)+COUNTA($G123:$H123)+COUNTA($Q123))&gt;0),"",IF($D123="","Propia",IF($V123&lt;&gt;"Macro","Solo se delegan macroactividades",IF(N($AM123)&gt;0,"✔ Recibida por "&amp;$D123,"⚠ "&amp;$D123&amp;" aún no la agrega"))))</f>
        <v/>
      </c>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f>IF(NOT(AND($D123&lt;&gt;"",$V123="Macro")),"",IFERROR(CHOOSE(MATCH($D123,ListaPuestos,0),MATCH("[Jefatura] "&amp;$C123,'Cronograma R. Operacional'!$C$5:$C$1000,0),MATCH("[Jefatura] "&amp;$C123,'Cronograma R. Normativo'!$C$5:$C$1000,0),MATCH("[Jefatura] "&amp;$C123,'Cronograma R. Financiero'!$C$5:$C$1000,0),MATCH("[Jefatura] "&amp;$C123,'Cronograma Asistente Técnico'!$C$5:$C$1000,0)),0))</f>
        <v/>
      </c>
      <c r="AN123" s="62">
        <f>IF(AND(AND($D123&lt;&gt;"",$V123="Macro"),$S123=MesCiclo),COUNTIFS($D$5:$D123,$D123,$S$5:$S123,MesCiclo,$V$5:$V123,"Macro"),"")</f>
        <v/>
      </c>
      <c r="AO123" s="62">
        <f>IF($AN123="","",$D123&amp;"|"&amp;$AN123)</f>
        <v/>
      </c>
      <c r="AP123" s="62">
        <f>IF(AND($D123&lt;&gt;"",$V123="Macro"),$D123&amp;"|"&amp;$C123,"")</f>
        <v/>
      </c>
      <c r="AQ123" s="62">
        <f>""</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t="n"/>
      <c r="F124" s="59" t="n"/>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IF(NOT((COUNTA($B124:$D124)+COUNTA($G124:$H124)+COUNTA($Q124))&gt;0),"",IF(AND($D124&lt;&gt;"",$V124="Macro"),IF(N($AM124)&gt;0,N(CHOOSE(MATCH($D124,ListaPuestos,0),INDEX('Cronograma R. Operacional'!$M$5:$M$1000,$AM124),INDEX('Cronograma R. Normativo'!$M$5:$M$1000,$AM124),INDEX('Cronograma R. Financiero'!$M$5:$M$1000,$AM124),INDEX('Cronograma Asistente Técnico'!$M$5:$M$1000,$AM124))),0),IF(ISNUMBER($G124),1,IF(N($W124)&gt;0,MIN(1,SUMIFS($Y$5:$Y$1000,$U$5:$U$1000,ROW(),$V$5:$V$1000,"Sub")),$Y124))))</f>
        <v/>
      </c>
      <c r="N124" s="56">
        <f>IF(OR($M124="",$V124="Sub"),"",IF($M124&gt;=1,"Completado",IF($M124&gt;0,"En curso","Pendiente")))</f>
        <v/>
      </c>
      <c r="O124" s="56">
        <f>IF(NOT((COUNTA($B124:$D124)+COUNTA($G124:$H124)+COUNTA($Q124))&gt;0),"",IF(AND(AND($D124&lt;&gt;"",$V124="Macro"),N($AM124)&gt;0),CHOOSE(MATCH($D124,ListaPuestos,0),INDEX('Cronograma R. Operacional'!$O$5:$O$1000,$AM124),INDEX('Cronograma R. Normativo'!$O$5:$O$1000,$AM124),INDEX('Cronograma R. Financiero'!$O$5:$O$1000,$AM124),INDEX('Cronograma Asistente Técnico'!$O$5:$O$1000,$AM124))&amp;"",IF(ISNUMBER($G124),IF(AND(ISNUMBER($AS124),$G124&gt;$AS124),"Cumplida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f>IF(NOT((COUNTA($B124:$D124)+COUNTA($G124:$H124)+COUNTA($Q124))&gt;0),"",IF($D124="","Propia",IF($V124&lt;&gt;"Macro","Solo se delegan macroactividades",IF(N($AM124)&gt;0,"✔ Recibida por "&amp;$D124,"⚠ "&amp;$D124&amp;" aún no la agrega"))))</f>
        <v/>
      </c>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f>IF(NOT(AND($D124&lt;&gt;"",$V124="Macro")),"",IFERROR(CHOOSE(MATCH($D124,ListaPuestos,0),MATCH("[Jefatura] "&amp;$C124,'Cronograma R. Operacional'!$C$5:$C$1000,0),MATCH("[Jefatura] "&amp;$C124,'Cronograma R. Normativo'!$C$5:$C$1000,0),MATCH("[Jefatura] "&amp;$C124,'Cronograma R. Financiero'!$C$5:$C$1000,0),MATCH("[Jefatura] "&amp;$C124,'Cronograma Asistente Técnico'!$C$5:$C$1000,0)),0))</f>
        <v/>
      </c>
      <c r="AN124" s="62">
        <f>IF(AND(AND($D124&lt;&gt;"",$V124="Macro"),$S124=MesCiclo),COUNTIFS($D$5:$D124,$D124,$S$5:$S124,MesCiclo,$V$5:$V124,"Macro"),"")</f>
        <v/>
      </c>
      <c r="AO124" s="62">
        <f>IF($AN124="","",$D124&amp;"|"&amp;$AN124)</f>
        <v/>
      </c>
      <c r="AP124" s="62">
        <f>IF(AND($D124&lt;&gt;"",$V124="Macro"),$D124&amp;"|"&amp;$C124,"")</f>
        <v/>
      </c>
      <c r="AQ124" s="62">
        <f>""</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t="n"/>
      <c r="F125" s="59" t="n"/>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IF(NOT((COUNTA($B125:$D125)+COUNTA($G125:$H125)+COUNTA($Q125))&gt;0),"",IF(AND($D125&lt;&gt;"",$V125="Macro"),IF(N($AM125)&gt;0,N(CHOOSE(MATCH($D125,ListaPuestos,0),INDEX('Cronograma R. Operacional'!$M$5:$M$1000,$AM125),INDEX('Cronograma R. Normativo'!$M$5:$M$1000,$AM125),INDEX('Cronograma R. Financiero'!$M$5:$M$1000,$AM125),INDEX('Cronograma Asistente Técnico'!$M$5:$M$1000,$AM125))),0),IF(ISNUMBER($G125),1,IF(N($W125)&gt;0,MIN(1,SUMIFS($Y$5:$Y$1000,$U$5:$U$1000,ROW(),$V$5:$V$1000,"Sub")),$Y125))))</f>
        <v/>
      </c>
      <c r="N125" s="56">
        <f>IF(OR($M125="",$V125="Sub"),"",IF($M125&gt;=1,"Completado",IF($M125&gt;0,"En curso","Pendiente")))</f>
        <v/>
      </c>
      <c r="O125" s="56">
        <f>IF(NOT((COUNTA($B125:$D125)+COUNTA($G125:$H125)+COUNTA($Q125))&gt;0),"",IF(AND(AND($D125&lt;&gt;"",$V125="Macro"),N($AM125)&gt;0),CHOOSE(MATCH($D125,ListaPuestos,0),INDEX('Cronograma R. Operacional'!$O$5:$O$1000,$AM125),INDEX('Cronograma R. Normativo'!$O$5:$O$1000,$AM125),INDEX('Cronograma R. Financiero'!$O$5:$O$1000,$AM125),INDEX('Cronograma Asistente Técnico'!$O$5:$O$1000,$AM125))&amp;"",IF(ISNUMBER($G125),IF(AND(ISNUMBER($AS125),$G125&gt;$AS125),"Cumplida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f>IF(NOT((COUNTA($B125:$D125)+COUNTA($G125:$H125)+COUNTA($Q125))&gt;0),"",IF($D125="","Propia",IF($V125&lt;&gt;"Macro","Solo se delegan macroactividades",IF(N($AM125)&gt;0,"✔ Recibida por "&amp;$D125,"⚠ "&amp;$D125&amp;" aún no la agrega"))))</f>
        <v/>
      </c>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f>IF(NOT(AND($D125&lt;&gt;"",$V125="Macro")),"",IFERROR(CHOOSE(MATCH($D125,ListaPuestos,0),MATCH("[Jefatura] "&amp;$C125,'Cronograma R. Operacional'!$C$5:$C$1000,0),MATCH("[Jefatura] "&amp;$C125,'Cronograma R. Normativo'!$C$5:$C$1000,0),MATCH("[Jefatura] "&amp;$C125,'Cronograma R. Financiero'!$C$5:$C$1000,0),MATCH("[Jefatura] "&amp;$C125,'Cronograma Asistente Técnico'!$C$5:$C$1000,0)),0))</f>
        <v/>
      </c>
      <c r="AN125" s="62">
        <f>IF(AND(AND($D125&lt;&gt;"",$V125="Macro"),$S125=MesCiclo),COUNTIFS($D$5:$D125,$D125,$S$5:$S125,MesCiclo,$V$5:$V125,"Macro"),"")</f>
        <v/>
      </c>
      <c r="AO125" s="62">
        <f>IF($AN125="","",$D125&amp;"|"&amp;$AN125)</f>
        <v/>
      </c>
      <c r="AP125" s="62">
        <f>IF(AND($D125&lt;&gt;"",$V125="Macro"),$D125&amp;"|"&amp;$C125,"")</f>
        <v/>
      </c>
      <c r="AQ125" s="62">
        <f>""</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t="n"/>
      <c r="F126" s="59" t="n"/>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IF(NOT((COUNTA($B126:$D126)+COUNTA($G126:$H126)+COUNTA($Q126))&gt;0),"",IF(AND($D126&lt;&gt;"",$V126="Macro"),IF(N($AM126)&gt;0,N(CHOOSE(MATCH($D126,ListaPuestos,0),INDEX('Cronograma R. Operacional'!$M$5:$M$1000,$AM126),INDEX('Cronograma R. Normativo'!$M$5:$M$1000,$AM126),INDEX('Cronograma R. Financiero'!$M$5:$M$1000,$AM126),INDEX('Cronograma Asistente Técnico'!$M$5:$M$1000,$AM126))),0),IF(ISNUMBER($G126),1,IF(N($W126)&gt;0,MIN(1,SUMIFS($Y$5:$Y$1000,$U$5:$U$1000,ROW(),$V$5:$V$1000,"Sub")),$Y126))))</f>
        <v/>
      </c>
      <c r="N126" s="56">
        <f>IF(OR($M126="",$V126="Sub"),"",IF($M126&gt;=1,"Completado",IF($M126&gt;0,"En curso","Pendiente")))</f>
        <v/>
      </c>
      <c r="O126" s="56">
        <f>IF(NOT((COUNTA($B126:$D126)+COUNTA($G126:$H126)+COUNTA($Q126))&gt;0),"",IF(AND(AND($D126&lt;&gt;"",$V126="Macro"),N($AM126)&gt;0),CHOOSE(MATCH($D126,ListaPuestos,0),INDEX('Cronograma R. Operacional'!$O$5:$O$1000,$AM126),INDEX('Cronograma R. Normativo'!$O$5:$O$1000,$AM126),INDEX('Cronograma R. Financiero'!$O$5:$O$1000,$AM126),INDEX('Cronograma Asistente Técnico'!$O$5:$O$1000,$AM126))&amp;"",IF(ISNUMBER($G126),IF(AND(ISNUMBER($AS126),$G126&gt;$AS126),"Cumplida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f>IF(NOT((COUNTA($B126:$D126)+COUNTA($G126:$H126)+COUNTA($Q126))&gt;0),"",IF($D126="","Propia",IF($V126&lt;&gt;"Macro","Solo se delegan macroactividades",IF(N($AM126)&gt;0,"✔ Recibida por "&amp;$D126,"⚠ "&amp;$D126&amp;" aún no la agrega"))))</f>
        <v/>
      </c>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f>IF(NOT(AND($D126&lt;&gt;"",$V126="Macro")),"",IFERROR(CHOOSE(MATCH($D126,ListaPuestos,0),MATCH("[Jefatura] "&amp;$C126,'Cronograma R. Operacional'!$C$5:$C$1000,0),MATCH("[Jefatura] "&amp;$C126,'Cronograma R. Normativo'!$C$5:$C$1000,0),MATCH("[Jefatura] "&amp;$C126,'Cronograma R. Financiero'!$C$5:$C$1000,0),MATCH("[Jefatura] "&amp;$C126,'Cronograma Asistente Técnico'!$C$5:$C$1000,0)),0))</f>
        <v/>
      </c>
      <c r="AN126" s="62">
        <f>IF(AND(AND($D126&lt;&gt;"",$V126="Macro"),$S126=MesCiclo),COUNTIFS($D$5:$D126,$D126,$S$5:$S126,MesCiclo,$V$5:$V126,"Macro"),"")</f>
        <v/>
      </c>
      <c r="AO126" s="62">
        <f>IF($AN126="","",$D126&amp;"|"&amp;$AN126)</f>
        <v/>
      </c>
      <c r="AP126" s="62">
        <f>IF(AND($D126&lt;&gt;"",$V126="Macro"),$D126&amp;"|"&amp;$C126,"")</f>
        <v/>
      </c>
      <c r="AQ126" s="62">
        <f>""</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t="n"/>
      <c r="F127" s="59" t="n"/>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IF(NOT((COUNTA($B127:$D127)+COUNTA($G127:$H127)+COUNTA($Q127))&gt;0),"",IF(AND($D127&lt;&gt;"",$V127="Macro"),IF(N($AM127)&gt;0,N(CHOOSE(MATCH($D127,ListaPuestos,0),INDEX('Cronograma R. Operacional'!$M$5:$M$1000,$AM127),INDEX('Cronograma R. Normativo'!$M$5:$M$1000,$AM127),INDEX('Cronograma R. Financiero'!$M$5:$M$1000,$AM127),INDEX('Cronograma Asistente Técnico'!$M$5:$M$1000,$AM127))),0),IF(ISNUMBER($G127),1,IF(N($W127)&gt;0,MIN(1,SUMIFS($Y$5:$Y$1000,$U$5:$U$1000,ROW(),$V$5:$V$1000,"Sub")),$Y127))))</f>
        <v/>
      </c>
      <c r="N127" s="56">
        <f>IF(OR($M127="",$V127="Sub"),"",IF($M127&gt;=1,"Completado",IF($M127&gt;0,"En curso","Pendiente")))</f>
        <v/>
      </c>
      <c r="O127" s="56">
        <f>IF(NOT((COUNTA($B127:$D127)+COUNTA($G127:$H127)+COUNTA($Q127))&gt;0),"",IF(AND(AND($D127&lt;&gt;"",$V127="Macro"),N($AM127)&gt;0),CHOOSE(MATCH($D127,ListaPuestos,0),INDEX('Cronograma R. Operacional'!$O$5:$O$1000,$AM127),INDEX('Cronograma R. Normativo'!$O$5:$O$1000,$AM127),INDEX('Cronograma R. Financiero'!$O$5:$O$1000,$AM127),INDEX('Cronograma Asistente Técnico'!$O$5:$O$1000,$AM127))&amp;"",IF(ISNUMBER($G127),IF(AND(ISNUMBER($AS127),$G127&gt;$AS127),"Cumplida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f>IF(NOT((COUNTA($B127:$D127)+COUNTA($G127:$H127)+COUNTA($Q127))&gt;0),"",IF($D127="","Propia",IF($V127&lt;&gt;"Macro","Solo se delegan macroactividades",IF(N($AM127)&gt;0,"✔ Recibida por "&amp;$D127,"⚠ "&amp;$D127&amp;" aún no la agrega"))))</f>
        <v/>
      </c>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f>IF(NOT(AND($D127&lt;&gt;"",$V127="Macro")),"",IFERROR(CHOOSE(MATCH($D127,ListaPuestos,0),MATCH("[Jefatura] "&amp;$C127,'Cronograma R. Operacional'!$C$5:$C$1000,0),MATCH("[Jefatura] "&amp;$C127,'Cronograma R. Normativo'!$C$5:$C$1000,0),MATCH("[Jefatura] "&amp;$C127,'Cronograma R. Financiero'!$C$5:$C$1000,0),MATCH("[Jefatura] "&amp;$C127,'Cronograma Asistente Técnico'!$C$5:$C$1000,0)),0))</f>
        <v/>
      </c>
      <c r="AN127" s="62">
        <f>IF(AND(AND($D127&lt;&gt;"",$V127="Macro"),$S127=MesCiclo),COUNTIFS($D$5:$D127,$D127,$S$5:$S127,MesCiclo,$V$5:$V127,"Macro"),"")</f>
        <v/>
      </c>
      <c r="AO127" s="62">
        <f>IF($AN127="","",$D127&amp;"|"&amp;$AN127)</f>
        <v/>
      </c>
      <c r="AP127" s="62">
        <f>IF(AND($D127&lt;&gt;"",$V127="Macro"),$D127&amp;"|"&amp;$C127,"")</f>
        <v/>
      </c>
      <c r="AQ127" s="62">
        <f>""</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t="n"/>
      <c r="F128" s="59" t="n"/>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IF(NOT((COUNTA($B128:$D128)+COUNTA($G128:$H128)+COUNTA($Q128))&gt;0),"",IF(AND($D128&lt;&gt;"",$V128="Macro"),IF(N($AM128)&gt;0,N(CHOOSE(MATCH($D128,ListaPuestos,0),INDEX('Cronograma R. Operacional'!$M$5:$M$1000,$AM128),INDEX('Cronograma R. Normativo'!$M$5:$M$1000,$AM128),INDEX('Cronograma R. Financiero'!$M$5:$M$1000,$AM128),INDEX('Cronograma Asistente Técnico'!$M$5:$M$1000,$AM128))),0),IF(ISNUMBER($G128),1,IF(N($W128)&gt;0,MIN(1,SUMIFS($Y$5:$Y$1000,$U$5:$U$1000,ROW(),$V$5:$V$1000,"Sub")),$Y128))))</f>
        <v/>
      </c>
      <c r="N128" s="56">
        <f>IF(OR($M128="",$V128="Sub"),"",IF($M128&gt;=1,"Completado",IF($M128&gt;0,"En curso","Pendiente")))</f>
        <v/>
      </c>
      <c r="O128" s="56">
        <f>IF(NOT((COUNTA($B128:$D128)+COUNTA($G128:$H128)+COUNTA($Q128))&gt;0),"",IF(AND(AND($D128&lt;&gt;"",$V128="Macro"),N($AM128)&gt;0),CHOOSE(MATCH($D128,ListaPuestos,0),INDEX('Cronograma R. Operacional'!$O$5:$O$1000,$AM128),INDEX('Cronograma R. Normativo'!$O$5:$O$1000,$AM128),INDEX('Cronograma R. Financiero'!$O$5:$O$1000,$AM128),INDEX('Cronograma Asistente Técnico'!$O$5:$O$1000,$AM128))&amp;"",IF(ISNUMBER($G128),IF(AND(ISNUMBER($AS128),$G128&gt;$AS128),"Cumplida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f>IF(NOT((COUNTA($B128:$D128)+COUNTA($G128:$H128)+COUNTA($Q128))&gt;0),"",IF($D128="","Propia",IF($V128&lt;&gt;"Macro","Solo se delegan macroactividades",IF(N($AM128)&gt;0,"✔ Recibida por "&amp;$D128,"⚠ "&amp;$D128&amp;" aún no la agrega"))))</f>
        <v/>
      </c>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f>IF(NOT(AND($D128&lt;&gt;"",$V128="Macro")),"",IFERROR(CHOOSE(MATCH($D128,ListaPuestos,0),MATCH("[Jefatura] "&amp;$C128,'Cronograma R. Operacional'!$C$5:$C$1000,0),MATCH("[Jefatura] "&amp;$C128,'Cronograma R. Normativo'!$C$5:$C$1000,0),MATCH("[Jefatura] "&amp;$C128,'Cronograma R. Financiero'!$C$5:$C$1000,0),MATCH("[Jefatura] "&amp;$C128,'Cronograma Asistente Técnico'!$C$5:$C$1000,0)),0))</f>
        <v/>
      </c>
      <c r="AN128" s="62">
        <f>IF(AND(AND($D128&lt;&gt;"",$V128="Macro"),$S128=MesCiclo),COUNTIFS($D$5:$D128,$D128,$S$5:$S128,MesCiclo,$V$5:$V128,"Macro"),"")</f>
        <v/>
      </c>
      <c r="AO128" s="62">
        <f>IF($AN128="","",$D128&amp;"|"&amp;$AN128)</f>
        <v/>
      </c>
      <c r="AP128" s="62">
        <f>IF(AND($D128&lt;&gt;"",$V128="Macro"),$D128&amp;"|"&amp;$C128,"")</f>
        <v/>
      </c>
      <c r="AQ128" s="62">
        <f>""</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t="n"/>
      <c r="F129" s="59" t="n"/>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IF(NOT((COUNTA($B129:$D129)+COUNTA($G129:$H129)+COUNTA($Q129))&gt;0),"",IF(AND($D129&lt;&gt;"",$V129="Macro"),IF(N($AM129)&gt;0,N(CHOOSE(MATCH($D129,ListaPuestos,0),INDEX('Cronograma R. Operacional'!$M$5:$M$1000,$AM129),INDEX('Cronograma R. Normativo'!$M$5:$M$1000,$AM129),INDEX('Cronograma R. Financiero'!$M$5:$M$1000,$AM129),INDEX('Cronograma Asistente Técnico'!$M$5:$M$1000,$AM129))),0),IF(ISNUMBER($G129),1,IF(N($W129)&gt;0,MIN(1,SUMIFS($Y$5:$Y$1000,$U$5:$U$1000,ROW(),$V$5:$V$1000,"Sub")),$Y129))))</f>
        <v/>
      </c>
      <c r="N129" s="56">
        <f>IF(OR($M129="",$V129="Sub"),"",IF($M129&gt;=1,"Completado",IF($M129&gt;0,"En curso","Pendiente")))</f>
        <v/>
      </c>
      <c r="O129" s="56">
        <f>IF(NOT((COUNTA($B129:$D129)+COUNTA($G129:$H129)+COUNTA($Q129))&gt;0),"",IF(AND(AND($D129&lt;&gt;"",$V129="Macro"),N($AM129)&gt;0),CHOOSE(MATCH($D129,ListaPuestos,0),INDEX('Cronograma R. Operacional'!$O$5:$O$1000,$AM129),INDEX('Cronograma R. Normativo'!$O$5:$O$1000,$AM129),INDEX('Cronograma R. Financiero'!$O$5:$O$1000,$AM129),INDEX('Cronograma Asistente Técnico'!$O$5:$O$1000,$AM129))&amp;"",IF(ISNUMBER($G129),IF(AND(ISNUMBER($AS129),$G129&gt;$AS129),"Cumplida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f>IF(NOT((COUNTA($B129:$D129)+COUNTA($G129:$H129)+COUNTA($Q129))&gt;0),"",IF($D129="","Propia",IF($V129&lt;&gt;"Macro","Solo se delegan macroactividades",IF(N($AM129)&gt;0,"✔ Recibida por "&amp;$D129,"⚠ "&amp;$D129&amp;" aún no la agrega"))))</f>
        <v/>
      </c>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f>IF(NOT(AND($D129&lt;&gt;"",$V129="Macro")),"",IFERROR(CHOOSE(MATCH($D129,ListaPuestos,0),MATCH("[Jefatura] "&amp;$C129,'Cronograma R. Operacional'!$C$5:$C$1000,0),MATCH("[Jefatura] "&amp;$C129,'Cronograma R. Normativo'!$C$5:$C$1000,0),MATCH("[Jefatura] "&amp;$C129,'Cronograma R. Financiero'!$C$5:$C$1000,0),MATCH("[Jefatura] "&amp;$C129,'Cronograma Asistente Técnico'!$C$5:$C$1000,0)),0))</f>
        <v/>
      </c>
      <c r="AN129" s="62">
        <f>IF(AND(AND($D129&lt;&gt;"",$V129="Macro"),$S129=MesCiclo),COUNTIFS($D$5:$D129,$D129,$S$5:$S129,MesCiclo,$V$5:$V129,"Macro"),"")</f>
        <v/>
      </c>
      <c r="AO129" s="62">
        <f>IF($AN129="","",$D129&amp;"|"&amp;$AN129)</f>
        <v/>
      </c>
      <c r="AP129" s="62">
        <f>IF(AND($D129&lt;&gt;"",$V129="Macro"),$D129&amp;"|"&amp;$C129,"")</f>
        <v/>
      </c>
      <c r="AQ129" s="62">
        <f>""</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t="n"/>
      <c r="F130" s="59" t="n"/>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IF(NOT((COUNTA($B130:$D130)+COUNTA($G130:$H130)+COUNTA($Q130))&gt;0),"",IF(AND($D130&lt;&gt;"",$V130="Macro"),IF(N($AM130)&gt;0,N(CHOOSE(MATCH($D130,ListaPuestos,0),INDEX('Cronograma R. Operacional'!$M$5:$M$1000,$AM130),INDEX('Cronograma R. Normativo'!$M$5:$M$1000,$AM130),INDEX('Cronograma R. Financiero'!$M$5:$M$1000,$AM130),INDEX('Cronograma Asistente Técnico'!$M$5:$M$1000,$AM130))),0),IF(ISNUMBER($G130),1,IF(N($W130)&gt;0,MIN(1,SUMIFS($Y$5:$Y$1000,$U$5:$U$1000,ROW(),$V$5:$V$1000,"Sub")),$Y130))))</f>
        <v/>
      </c>
      <c r="N130" s="56">
        <f>IF(OR($M130="",$V130="Sub"),"",IF($M130&gt;=1,"Completado",IF($M130&gt;0,"En curso","Pendiente")))</f>
        <v/>
      </c>
      <c r="O130" s="56">
        <f>IF(NOT((COUNTA($B130:$D130)+COUNTA($G130:$H130)+COUNTA($Q130))&gt;0),"",IF(AND(AND($D130&lt;&gt;"",$V130="Macro"),N($AM130)&gt;0),CHOOSE(MATCH($D130,ListaPuestos,0),INDEX('Cronograma R. Operacional'!$O$5:$O$1000,$AM130),INDEX('Cronograma R. Normativo'!$O$5:$O$1000,$AM130),INDEX('Cronograma R. Financiero'!$O$5:$O$1000,$AM130),INDEX('Cronograma Asistente Técnico'!$O$5:$O$1000,$AM130))&amp;"",IF(ISNUMBER($G130),IF(AND(ISNUMBER($AS130),$G130&gt;$AS130),"Cumplida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f>IF(NOT((COUNTA($B130:$D130)+COUNTA($G130:$H130)+COUNTA($Q130))&gt;0),"",IF($D130="","Propia",IF($V130&lt;&gt;"Macro","Solo se delegan macroactividades",IF(N($AM130)&gt;0,"✔ Recibida por "&amp;$D130,"⚠ "&amp;$D130&amp;" aún no la agrega"))))</f>
        <v/>
      </c>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f>IF(NOT(AND($D130&lt;&gt;"",$V130="Macro")),"",IFERROR(CHOOSE(MATCH($D130,ListaPuestos,0),MATCH("[Jefatura] "&amp;$C130,'Cronograma R. Operacional'!$C$5:$C$1000,0),MATCH("[Jefatura] "&amp;$C130,'Cronograma R. Normativo'!$C$5:$C$1000,0),MATCH("[Jefatura] "&amp;$C130,'Cronograma R. Financiero'!$C$5:$C$1000,0),MATCH("[Jefatura] "&amp;$C130,'Cronograma Asistente Técnico'!$C$5:$C$1000,0)),0))</f>
        <v/>
      </c>
      <c r="AN130" s="62">
        <f>IF(AND(AND($D130&lt;&gt;"",$V130="Macro"),$S130=MesCiclo),COUNTIFS($D$5:$D130,$D130,$S$5:$S130,MesCiclo,$V$5:$V130,"Macro"),"")</f>
        <v/>
      </c>
      <c r="AO130" s="62">
        <f>IF($AN130="","",$D130&amp;"|"&amp;$AN130)</f>
        <v/>
      </c>
      <c r="AP130" s="62">
        <f>IF(AND($D130&lt;&gt;"",$V130="Macro"),$D130&amp;"|"&amp;$C130,"")</f>
        <v/>
      </c>
      <c r="AQ130" s="62">
        <f>""</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t="n"/>
      <c r="F131" s="59" t="n"/>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IF(NOT((COUNTA($B131:$D131)+COUNTA($G131:$H131)+COUNTA($Q131))&gt;0),"",IF(AND($D131&lt;&gt;"",$V131="Macro"),IF(N($AM131)&gt;0,N(CHOOSE(MATCH($D131,ListaPuestos,0),INDEX('Cronograma R. Operacional'!$M$5:$M$1000,$AM131),INDEX('Cronograma R. Normativo'!$M$5:$M$1000,$AM131),INDEX('Cronograma R. Financiero'!$M$5:$M$1000,$AM131),INDEX('Cronograma Asistente Técnico'!$M$5:$M$1000,$AM131))),0),IF(ISNUMBER($G131),1,IF(N($W131)&gt;0,MIN(1,SUMIFS($Y$5:$Y$1000,$U$5:$U$1000,ROW(),$V$5:$V$1000,"Sub")),$Y131))))</f>
        <v/>
      </c>
      <c r="N131" s="56">
        <f>IF(OR($M131="",$V131="Sub"),"",IF($M131&gt;=1,"Completado",IF($M131&gt;0,"En curso","Pendiente")))</f>
        <v/>
      </c>
      <c r="O131" s="56">
        <f>IF(NOT((COUNTA($B131:$D131)+COUNTA($G131:$H131)+COUNTA($Q131))&gt;0),"",IF(AND(AND($D131&lt;&gt;"",$V131="Macro"),N($AM131)&gt;0),CHOOSE(MATCH($D131,ListaPuestos,0),INDEX('Cronograma R. Operacional'!$O$5:$O$1000,$AM131),INDEX('Cronograma R. Normativo'!$O$5:$O$1000,$AM131),INDEX('Cronograma R. Financiero'!$O$5:$O$1000,$AM131),INDEX('Cronograma Asistente Técnico'!$O$5:$O$1000,$AM131))&amp;"",IF(ISNUMBER($G131),IF(AND(ISNUMBER($AS131),$G131&gt;$AS131),"Cumplida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f>IF(NOT((COUNTA($B131:$D131)+COUNTA($G131:$H131)+COUNTA($Q131))&gt;0),"",IF($D131="","Propia",IF($V131&lt;&gt;"Macro","Solo se delegan macroactividades",IF(N($AM131)&gt;0,"✔ Recibida por "&amp;$D131,"⚠ "&amp;$D131&amp;" aún no la agrega"))))</f>
        <v/>
      </c>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f>IF(NOT(AND($D131&lt;&gt;"",$V131="Macro")),"",IFERROR(CHOOSE(MATCH($D131,ListaPuestos,0),MATCH("[Jefatura] "&amp;$C131,'Cronograma R. Operacional'!$C$5:$C$1000,0),MATCH("[Jefatura] "&amp;$C131,'Cronograma R. Normativo'!$C$5:$C$1000,0),MATCH("[Jefatura] "&amp;$C131,'Cronograma R. Financiero'!$C$5:$C$1000,0),MATCH("[Jefatura] "&amp;$C131,'Cronograma Asistente Técnico'!$C$5:$C$1000,0)),0))</f>
        <v/>
      </c>
      <c r="AN131" s="62">
        <f>IF(AND(AND($D131&lt;&gt;"",$V131="Macro"),$S131=MesCiclo),COUNTIFS($D$5:$D131,$D131,$S$5:$S131,MesCiclo,$V$5:$V131,"Macro"),"")</f>
        <v/>
      </c>
      <c r="AO131" s="62">
        <f>IF($AN131="","",$D131&amp;"|"&amp;$AN131)</f>
        <v/>
      </c>
      <c r="AP131" s="62">
        <f>IF(AND($D131&lt;&gt;"",$V131="Macro"),$D131&amp;"|"&amp;$C131,"")</f>
        <v/>
      </c>
      <c r="AQ131" s="62">
        <f>""</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t="n"/>
      <c r="F132" s="59" t="n"/>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IF(NOT((COUNTA($B132:$D132)+COUNTA($G132:$H132)+COUNTA($Q132))&gt;0),"",IF(AND($D132&lt;&gt;"",$V132="Macro"),IF(N($AM132)&gt;0,N(CHOOSE(MATCH($D132,ListaPuestos,0),INDEX('Cronograma R. Operacional'!$M$5:$M$1000,$AM132),INDEX('Cronograma R. Normativo'!$M$5:$M$1000,$AM132),INDEX('Cronograma R. Financiero'!$M$5:$M$1000,$AM132),INDEX('Cronograma Asistente Técnico'!$M$5:$M$1000,$AM132))),0),IF(ISNUMBER($G132),1,IF(N($W132)&gt;0,MIN(1,SUMIFS($Y$5:$Y$1000,$U$5:$U$1000,ROW(),$V$5:$V$1000,"Sub")),$Y132))))</f>
        <v/>
      </c>
      <c r="N132" s="56">
        <f>IF(OR($M132="",$V132="Sub"),"",IF($M132&gt;=1,"Completado",IF($M132&gt;0,"En curso","Pendiente")))</f>
        <v/>
      </c>
      <c r="O132" s="56">
        <f>IF(NOT((COUNTA($B132:$D132)+COUNTA($G132:$H132)+COUNTA($Q132))&gt;0),"",IF(AND(AND($D132&lt;&gt;"",$V132="Macro"),N($AM132)&gt;0),CHOOSE(MATCH($D132,ListaPuestos,0),INDEX('Cronograma R. Operacional'!$O$5:$O$1000,$AM132),INDEX('Cronograma R. Normativo'!$O$5:$O$1000,$AM132),INDEX('Cronograma R. Financiero'!$O$5:$O$1000,$AM132),INDEX('Cronograma Asistente Técnico'!$O$5:$O$1000,$AM132))&amp;"",IF(ISNUMBER($G132),IF(AND(ISNUMBER($AS132),$G132&gt;$AS132),"Cumplida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f>IF(NOT((COUNTA($B132:$D132)+COUNTA($G132:$H132)+COUNTA($Q132))&gt;0),"",IF($D132="","Propia",IF($V132&lt;&gt;"Macro","Solo se delegan macroactividades",IF(N($AM132)&gt;0,"✔ Recibida por "&amp;$D132,"⚠ "&amp;$D132&amp;" aún no la agrega"))))</f>
        <v/>
      </c>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f>IF(NOT(AND($D132&lt;&gt;"",$V132="Macro")),"",IFERROR(CHOOSE(MATCH($D132,ListaPuestos,0),MATCH("[Jefatura] "&amp;$C132,'Cronograma R. Operacional'!$C$5:$C$1000,0),MATCH("[Jefatura] "&amp;$C132,'Cronograma R. Normativo'!$C$5:$C$1000,0),MATCH("[Jefatura] "&amp;$C132,'Cronograma R. Financiero'!$C$5:$C$1000,0),MATCH("[Jefatura] "&amp;$C132,'Cronograma Asistente Técnico'!$C$5:$C$1000,0)),0))</f>
        <v/>
      </c>
      <c r="AN132" s="62">
        <f>IF(AND(AND($D132&lt;&gt;"",$V132="Macro"),$S132=MesCiclo),COUNTIFS($D$5:$D132,$D132,$S$5:$S132,MesCiclo,$V$5:$V132,"Macro"),"")</f>
        <v/>
      </c>
      <c r="AO132" s="62">
        <f>IF($AN132="","",$D132&amp;"|"&amp;$AN132)</f>
        <v/>
      </c>
      <c r="AP132" s="62">
        <f>IF(AND($D132&lt;&gt;"",$V132="Macro"),$D132&amp;"|"&amp;$C132,"")</f>
        <v/>
      </c>
      <c r="AQ132" s="62">
        <f>""</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t="n"/>
      <c r="F133" s="59" t="n"/>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IF(NOT((COUNTA($B133:$D133)+COUNTA($G133:$H133)+COUNTA($Q133))&gt;0),"",IF(AND($D133&lt;&gt;"",$V133="Macro"),IF(N($AM133)&gt;0,N(CHOOSE(MATCH($D133,ListaPuestos,0),INDEX('Cronograma R. Operacional'!$M$5:$M$1000,$AM133),INDEX('Cronograma R. Normativo'!$M$5:$M$1000,$AM133),INDEX('Cronograma R. Financiero'!$M$5:$M$1000,$AM133),INDEX('Cronograma Asistente Técnico'!$M$5:$M$1000,$AM133))),0),IF(ISNUMBER($G133),1,IF(N($W133)&gt;0,MIN(1,SUMIFS($Y$5:$Y$1000,$U$5:$U$1000,ROW(),$V$5:$V$1000,"Sub")),$Y133))))</f>
        <v/>
      </c>
      <c r="N133" s="56">
        <f>IF(OR($M133="",$V133="Sub"),"",IF($M133&gt;=1,"Completado",IF($M133&gt;0,"En curso","Pendiente")))</f>
        <v/>
      </c>
      <c r="O133" s="56">
        <f>IF(NOT((COUNTA($B133:$D133)+COUNTA($G133:$H133)+COUNTA($Q133))&gt;0),"",IF(AND(AND($D133&lt;&gt;"",$V133="Macro"),N($AM133)&gt;0),CHOOSE(MATCH($D133,ListaPuestos,0),INDEX('Cronograma R. Operacional'!$O$5:$O$1000,$AM133),INDEX('Cronograma R. Normativo'!$O$5:$O$1000,$AM133),INDEX('Cronograma R. Financiero'!$O$5:$O$1000,$AM133),INDEX('Cronograma Asistente Técnico'!$O$5:$O$1000,$AM133))&amp;"",IF(ISNUMBER($G133),IF(AND(ISNUMBER($AS133),$G133&gt;$AS133),"Cumplida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f>IF(NOT((COUNTA($B133:$D133)+COUNTA($G133:$H133)+COUNTA($Q133))&gt;0),"",IF($D133="","Propia",IF($V133&lt;&gt;"Macro","Solo se delegan macroactividades",IF(N($AM133)&gt;0,"✔ Recibida por "&amp;$D133,"⚠ "&amp;$D133&amp;" aún no la agrega"))))</f>
        <v/>
      </c>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f>IF(NOT(AND($D133&lt;&gt;"",$V133="Macro")),"",IFERROR(CHOOSE(MATCH($D133,ListaPuestos,0),MATCH("[Jefatura] "&amp;$C133,'Cronograma R. Operacional'!$C$5:$C$1000,0),MATCH("[Jefatura] "&amp;$C133,'Cronograma R. Normativo'!$C$5:$C$1000,0),MATCH("[Jefatura] "&amp;$C133,'Cronograma R. Financiero'!$C$5:$C$1000,0),MATCH("[Jefatura] "&amp;$C133,'Cronograma Asistente Técnico'!$C$5:$C$1000,0)),0))</f>
        <v/>
      </c>
      <c r="AN133" s="62">
        <f>IF(AND(AND($D133&lt;&gt;"",$V133="Macro"),$S133=MesCiclo),COUNTIFS($D$5:$D133,$D133,$S$5:$S133,MesCiclo,$V$5:$V133,"Macro"),"")</f>
        <v/>
      </c>
      <c r="AO133" s="62">
        <f>IF($AN133="","",$D133&amp;"|"&amp;$AN133)</f>
        <v/>
      </c>
      <c r="AP133" s="62">
        <f>IF(AND($D133&lt;&gt;"",$V133="Macro"),$D133&amp;"|"&amp;$C133,"")</f>
        <v/>
      </c>
      <c r="AQ133" s="62">
        <f>""</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t="n"/>
      <c r="F134" s="59" t="n"/>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IF(NOT((COUNTA($B134:$D134)+COUNTA($G134:$H134)+COUNTA($Q134))&gt;0),"",IF(AND($D134&lt;&gt;"",$V134="Macro"),IF(N($AM134)&gt;0,N(CHOOSE(MATCH($D134,ListaPuestos,0),INDEX('Cronograma R. Operacional'!$M$5:$M$1000,$AM134),INDEX('Cronograma R. Normativo'!$M$5:$M$1000,$AM134),INDEX('Cronograma R. Financiero'!$M$5:$M$1000,$AM134),INDEX('Cronograma Asistente Técnico'!$M$5:$M$1000,$AM134))),0),IF(ISNUMBER($G134),1,IF(N($W134)&gt;0,MIN(1,SUMIFS($Y$5:$Y$1000,$U$5:$U$1000,ROW(),$V$5:$V$1000,"Sub")),$Y134))))</f>
        <v/>
      </c>
      <c r="N134" s="56">
        <f>IF(OR($M134="",$V134="Sub"),"",IF($M134&gt;=1,"Completado",IF($M134&gt;0,"En curso","Pendiente")))</f>
        <v/>
      </c>
      <c r="O134" s="56">
        <f>IF(NOT((COUNTA($B134:$D134)+COUNTA($G134:$H134)+COUNTA($Q134))&gt;0),"",IF(AND(AND($D134&lt;&gt;"",$V134="Macro"),N($AM134)&gt;0),CHOOSE(MATCH($D134,ListaPuestos,0),INDEX('Cronograma R. Operacional'!$O$5:$O$1000,$AM134),INDEX('Cronograma R. Normativo'!$O$5:$O$1000,$AM134),INDEX('Cronograma R. Financiero'!$O$5:$O$1000,$AM134),INDEX('Cronograma Asistente Técnico'!$O$5:$O$1000,$AM134))&amp;"",IF(ISNUMBER($G134),IF(AND(ISNUMBER($AS134),$G134&gt;$AS134),"Cumplida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f>IF(NOT((COUNTA($B134:$D134)+COUNTA($G134:$H134)+COUNTA($Q134))&gt;0),"",IF($D134="","Propia",IF($V134&lt;&gt;"Macro","Solo se delegan macroactividades",IF(N($AM134)&gt;0,"✔ Recibida por "&amp;$D134,"⚠ "&amp;$D134&amp;" aún no la agrega"))))</f>
        <v/>
      </c>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f>IF(NOT(AND($D134&lt;&gt;"",$V134="Macro")),"",IFERROR(CHOOSE(MATCH($D134,ListaPuestos,0),MATCH("[Jefatura] "&amp;$C134,'Cronograma R. Operacional'!$C$5:$C$1000,0),MATCH("[Jefatura] "&amp;$C134,'Cronograma R. Normativo'!$C$5:$C$1000,0),MATCH("[Jefatura] "&amp;$C134,'Cronograma R. Financiero'!$C$5:$C$1000,0),MATCH("[Jefatura] "&amp;$C134,'Cronograma Asistente Técnico'!$C$5:$C$1000,0)),0))</f>
        <v/>
      </c>
      <c r="AN134" s="62">
        <f>IF(AND(AND($D134&lt;&gt;"",$V134="Macro"),$S134=MesCiclo),COUNTIFS($D$5:$D134,$D134,$S$5:$S134,MesCiclo,$V$5:$V134,"Macro"),"")</f>
        <v/>
      </c>
      <c r="AO134" s="62">
        <f>IF($AN134="","",$D134&amp;"|"&amp;$AN134)</f>
        <v/>
      </c>
      <c r="AP134" s="62">
        <f>IF(AND($D134&lt;&gt;"",$V134="Macro"),$D134&amp;"|"&amp;$C134,"")</f>
        <v/>
      </c>
      <c r="AQ134" s="62">
        <f>""</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t="n"/>
      <c r="F135" s="59" t="n"/>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IF(NOT((COUNTA($B135:$D135)+COUNTA($G135:$H135)+COUNTA($Q135))&gt;0),"",IF(AND($D135&lt;&gt;"",$V135="Macro"),IF(N($AM135)&gt;0,N(CHOOSE(MATCH($D135,ListaPuestos,0),INDEX('Cronograma R. Operacional'!$M$5:$M$1000,$AM135),INDEX('Cronograma R. Normativo'!$M$5:$M$1000,$AM135),INDEX('Cronograma R. Financiero'!$M$5:$M$1000,$AM135),INDEX('Cronograma Asistente Técnico'!$M$5:$M$1000,$AM135))),0),IF(ISNUMBER($G135),1,IF(N($W135)&gt;0,MIN(1,SUMIFS($Y$5:$Y$1000,$U$5:$U$1000,ROW(),$V$5:$V$1000,"Sub")),$Y135))))</f>
        <v/>
      </c>
      <c r="N135" s="56">
        <f>IF(OR($M135="",$V135="Sub"),"",IF($M135&gt;=1,"Completado",IF($M135&gt;0,"En curso","Pendiente")))</f>
        <v/>
      </c>
      <c r="O135" s="56">
        <f>IF(NOT((COUNTA($B135:$D135)+COUNTA($G135:$H135)+COUNTA($Q135))&gt;0),"",IF(AND(AND($D135&lt;&gt;"",$V135="Macro"),N($AM135)&gt;0),CHOOSE(MATCH($D135,ListaPuestos,0),INDEX('Cronograma R. Operacional'!$O$5:$O$1000,$AM135),INDEX('Cronograma R. Normativo'!$O$5:$O$1000,$AM135),INDEX('Cronograma R. Financiero'!$O$5:$O$1000,$AM135),INDEX('Cronograma Asistente Técnico'!$O$5:$O$1000,$AM135))&amp;"",IF(ISNUMBER($G135),IF(AND(ISNUMBER($AS135),$G135&gt;$AS135),"Cumplida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f>IF(NOT((COUNTA($B135:$D135)+COUNTA($G135:$H135)+COUNTA($Q135))&gt;0),"",IF($D135="","Propia",IF($V135&lt;&gt;"Macro","Solo se delegan macroactividades",IF(N($AM135)&gt;0,"✔ Recibida por "&amp;$D135,"⚠ "&amp;$D135&amp;" aún no la agrega"))))</f>
        <v/>
      </c>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f>IF(NOT(AND($D135&lt;&gt;"",$V135="Macro")),"",IFERROR(CHOOSE(MATCH($D135,ListaPuestos,0),MATCH("[Jefatura] "&amp;$C135,'Cronograma R. Operacional'!$C$5:$C$1000,0),MATCH("[Jefatura] "&amp;$C135,'Cronograma R. Normativo'!$C$5:$C$1000,0),MATCH("[Jefatura] "&amp;$C135,'Cronograma R. Financiero'!$C$5:$C$1000,0),MATCH("[Jefatura] "&amp;$C135,'Cronograma Asistente Técnico'!$C$5:$C$1000,0)),0))</f>
        <v/>
      </c>
      <c r="AN135" s="62">
        <f>IF(AND(AND($D135&lt;&gt;"",$V135="Macro"),$S135=MesCiclo),COUNTIFS($D$5:$D135,$D135,$S$5:$S135,MesCiclo,$V$5:$V135,"Macro"),"")</f>
        <v/>
      </c>
      <c r="AO135" s="62">
        <f>IF($AN135="","",$D135&amp;"|"&amp;$AN135)</f>
        <v/>
      </c>
      <c r="AP135" s="62">
        <f>IF(AND($D135&lt;&gt;"",$V135="Macro"),$D135&amp;"|"&amp;$C135,"")</f>
        <v/>
      </c>
      <c r="AQ135" s="62">
        <f>""</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t="n"/>
      <c r="F136" s="59" t="n"/>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IF(NOT((COUNTA($B136:$D136)+COUNTA($G136:$H136)+COUNTA($Q136))&gt;0),"",IF(AND($D136&lt;&gt;"",$V136="Macro"),IF(N($AM136)&gt;0,N(CHOOSE(MATCH($D136,ListaPuestos,0),INDEX('Cronograma R. Operacional'!$M$5:$M$1000,$AM136),INDEX('Cronograma R. Normativo'!$M$5:$M$1000,$AM136),INDEX('Cronograma R. Financiero'!$M$5:$M$1000,$AM136),INDEX('Cronograma Asistente Técnico'!$M$5:$M$1000,$AM136))),0),IF(ISNUMBER($G136),1,IF(N($W136)&gt;0,MIN(1,SUMIFS($Y$5:$Y$1000,$U$5:$U$1000,ROW(),$V$5:$V$1000,"Sub")),$Y136))))</f>
        <v/>
      </c>
      <c r="N136" s="56">
        <f>IF(OR($M136="",$V136="Sub"),"",IF($M136&gt;=1,"Completado",IF($M136&gt;0,"En curso","Pendiente")))</f>
        <v/>
      </c>
      <c r="O136" s="56">
        <f>IF(NOT((COUNTA($B136:$D136)+COUNTA($G136:$H136)+COUNTA($Q136))&gt;0),"",IF(AND(AND($D136&lt;&gt;"",$V136="Macro"),N($AM136)&gt;0),CHOOSE(MATCH($D136,ListaPuestos,0),INDEX('Cronograma R. Operacional'!$O$5:$O$1000,$AM136),INDEX('Cronograma R. Normativo'!$O$5:$O$1000,$AM136),INDEX('Cronograma R. Financiero'!$O$5:$O$1000,$AM136),INDEX('Cronograma Asistente Técnico'!$O$5:$O$1000,$AM136))&amp;"",IF(ISNUMBER($G136),IF(AND(ISNUMBER($AS136),$G136&gt;$AS136),"Cumplida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f>IF(NOT((COUNTA($B136:$D136)+COUNTA($G136:$H136)+COUNTA($Q136))&gt;0),"",IF($D136="","Propia",IF($V136&lt;&gt;"Macro","Solo se delegan macroactividades",IF(N($AM136)&gt;0,"✔ Recibida por "&amp;$D136,"⚠ "&amp;$D136&amp;" aún no la agrega"))))</f>
        <v/>
      </c>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f>IF(NOT(AND($D136&lt;&gt;"",$V136="Macro")),"",IFERROR(CHOOSE(MATCH($D136,ListaPuestos,0),MATCH("[Jefatura] "&amp;$C136,'Cronograma R. Operacional'!$C$5:$C$1000,0),MATCH("[Jefatura] "&amp;$C136,'Cronograma R. Normativo'!$C$5:$C$1000,0),MATCH("[Jefatura] "&amp;$C136,'Cronograma R. Financiero'!$C$5:$C$1000,0),MATCH("[Jefatura] "&amp;$C136,'Cronograma Asistente Técnico'!$C$5:$C$1000,0)),0))</f>
        <v/>
      </c>
      <c r="AN136" s="62">
        <f>IF(AND(AND($D136&lt;&gt;"",$V136="Macro"),$S136=MesCiclo),COUNTIFS($D$5:$D136,$D136,$S$5:$S136,MesCiclo,$V$5:$V136,"Macro"),"")</f>
        <v/>
      </c>
      <c r="AO136" s="62">
        <f>IF($AN136="","",$D136&amp;"|"&amp;$AN136)</f>
        <v/>
      </c>
      <c r="AP136" s="62">
        <f>IF(AND($D136&lt;&gt;"",$V136="Macro"),$D136&amp;"|"&amp;$C136,"")</f>
        <v/>
      </c>
      <c r="AQ136" s="62">
        <f>""</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t="n"/>
      <c r="F137" s="59" t="n"/>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IF(NOT((COUNTA($B137:$D137)+COUNTA($G137:$H137)+COUNTA($Q137))&gt;0),"",IF(AND($D137&lt;&gt;"",$V137="Macro"),IF(N($AM137)&gt;0,N(CHOOSE(MATCH($D137,ListaPuestos,0),INDEX('Cronograma R. Operacional'!$M$5:$M$1000,$AM137),INDEX('Cronograma R. Normativo'!$M$5:$M$1000,$AM137),INDEX('Cronograma R. Financiero'!$M$5:$M$1000,$AM137),INDEX('Cronograma Asistente Técnico'!$M$5:$M$1000,$AM137))),0),IF(ISNUMBER($G137),1,IF(N($W137)&gt;0,MIN(1,SUMIFS($Y$5:$Y$1000,$U$5:$U$1000,ROW(),$V$5:$V$1000,"Sub")),$Y137))))</f>
        <v/>
      </c>
      <c r="N137" s="56">
        <f>IF(OR($M137="",$V137="Sub"),"",IF($M137&gt;=1,"Completado",IF($M137&gt;0,"En curso","Pendiente")))</f>
        <v/>
      </c>
      <c r="O137" s="56">
        <f>IF(NOT((COUNTA($B137:$D137)+COUNTA($G137:$H137)+COUNTA($Q137))&gt;0),"",IF(AND(AND($D137&lt;&gt;"",$V137="Macro"),N($AM137)&gt;0),CHOOSE(MATCH($D137,ListaPuestos,0),INDEX('Cronograma R. Operacional'!$O$5:$O$1000,$AM137),INDEX('Cronograma R. Normativo'!$O$5:$O$1000,$AM137),INDEX('Cronograma R. Financiero'!$O$5:$O$1000,$AM137),INDEX('Cronograma Asistente Técnico'!$O$5:$O$1000,$AM137))&amp;"",IF(ISNUMBER($G137),IF(AND(ISNUMBER($AS137),$G137&gt;$AS137),"Cumplida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f>IF(NOT((COUNTA($B137:$D137)+COUNTA($G137:$H137)+COUNTA($Q137))&gt;0),"",IF($D137="","Propia",IF($V137&lt;&gt;"Macro","Solo se delegan macroactividades",IF(N($AM137)&gt;0,"✔ Recibida por "&amp;$D137,"⚠ "&amp;$D137&amp;" aún no la agrega"))))</f>
        <v/>
      </c>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f>IF(NOT(AND($D137&lt;&gt;"",$V137="Macro")),"",IFERROR(CHOOSE(MATCH($D137,ListaPuestos,0),MATCH("[Jefatura] "&amp;$C137,'Cronograma R. Operacional'!$C$5:$C$1000,0),MATCH("[Jefatura] "&amp;$C137,'Cronograma R. Normativo'!$C$5:$C$1000,0),MATCH("[Jefatura] "&amp;$C137,'Cronograma R. Financiero'!$C$5:$C$1000,0),MATCH("[Jefatura] "&amp;$C137,'Cronograma Asistente Técnico'!$C$5:$C$1000,0)),0))</f>
        <v/>
      </c>
      <c r="AN137" s="62">
        <f>IF(AND(AND($D137&lt;&gt;"",$V137="Macro"),$S137=MesCiclo),COUNTIFS($D$5:$D137,$D137,$S$5:$S137,MesCiclo,$V$5:$V137,"Macro"),"")</f>
        <v/>
      </c>
      <c r="AO137" s="62">
        <f>IF($AN137="","",$D137&amp;"|"&amp;$AN137)</f>
        <v/>
      </c>
      <c r="AP137" s="62">
        <f>IF(AND($D137&lt;&gt;"",$V137="Macro"),$D137&amp;"|"&amp;$C137,"")</f>
        <v/>
      </c>
      <c r="AQ137" s="62">
        <f>""</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t="n"/>
      <c r="F138" s="59" t="n"/>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IF(NOT((COUNTA($B138:$D138)+COUNTA($G138:$H138)+COUNTA($Q138))&gt;0),"",IF(AND($D138&lt;&gt;"",$V138="Macro"),IF(N($AM138)&gt;0,N(CHOOSE(MATCH($D138,ListaPuestos,0),INDEX('Cronograma R. Operacional'!$M$5:$M$1000,$AM138),INDEX('Cronograma R. Normativo'!$M$5:$M$1000,$AM138),INDEX('Cronograma R. Financiero'!$M$5:$M$1000,$AM138),INDEX('Cronograma Asistente Técnico'!$M$5:$M$1000,$AM138))),0),IF(ISNUMBER($G138),1,IF(N($W138)&gt;0,MIN(1,SUMIFS($Y$5:$Y$1000,$U$5:$U$1000,ROW(),$V$5:$V$1000,"Sub")),$Y138))))</f>
        <v/>
      </c>
      <c r="N138" s="56">
        <f>IF(OR($M138="",$V138="Sub"),"",IF($M138&gt;=1,"Completado",IF($M138&gt;0,"En curso","Pendiente")))</f>
        <v/>
      </c>
      <c r="O138" s="56">
        <f>IF(NOT((COUNTA($B138:$D138)+COUNTA($G138:$H138)+COUNTA($Q138))&gt;0),"",IF(AND(AND($D138&lt;&gt;"",$V138="Macro"),N($AM138)&gt;0),CHOOSE(MATCH($D138,ListaPuestos,0),INDEX('Cronograma R. Operacional'!$O$5:$O$1000,$AM138),INDEX('Cronograma R. Normativo'!$O$5:$O$1000,$AM138),INDEX('Cronograma R. Financiero'!$O$5:$O$1000,$AM138),INDEX('Cronograma Asistente Técnico'!$O$5:$O$1000,$AM138))&amp;"",IF(ISNUMBER($G138),IF(AND(ISNUMBER($AS138),$G138&gt;$AS138),"Cumplida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f>IF(NOT((COUNTA($B138:$D138)+COUNTA($G138:$H138)+COUNTA($Q138))&gt;0),"",IF($D138="","Propia",IF($V138&lt;&gt;"Macro","Solo se delegan macroactividades",IF(N($AM138)&gt;0,"✔ Recibida por "&amp;$D138,"⚠ "&amp;$D138&amp;" aún no la agrega"))))</f>
        <v/>
      </c>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f>IF(NOT(AND($D138&lt;&gt;"",$V138="Macro")),"",IFERROR(CHOOSE(MATCH($D138,ListaPuestos,0),MATCH("[Jefatura] "&amp;$C138,'Cronograma R. Operacional'!$C$5:$C$1000,0),MATCH("[Jefatura] "&amp;$C138,'Cronograma R. Normativo'!$C$5:$C$1000,0),MATCH("[Jefatura] "&amp;$C138,'Cronograma R. Financiero'!$C$5:$C$1000,0),MATCH("[Jefatura] "&amp;$C138,'Cronograma Asistente Técnico'!$C$5:$C$1000,0)),0))</f>
        <v/>
      </c>
      <c r="AN138" s="62">
        <f>IF(AND(AND($D138&lt;&gt;"",$V138="Macro"),$S138=MesCiclo),COUNTIFS($D$5:$D138,$D138,$S$5:$S138,MesCiclo,$V$5:$V138,"Macro"),"")</f>
        <v/>
      </c>
      <c r="AO138" s="62">
        <f>IF($AN138="","",$D138&amp;"|"&amp;$AN138)</f>
        <v/>
      </c>
      <c r="AP138" s="62">
        <f>IF(AND($D138&lt;&gt;"",$V138="Macro"),$D138&amp;"|"&amp;$C138,"")</f>
        <v/>
      </c>
      <c r="AQ138" s="62">
        <f>""</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t="n"/>
      <c r="F139" s="59" t="n"/>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IF(NOT((COUNTA($B139:$D139)+COUNTA($G139:$H139)+COUNTA($Q139))&gt;0),"",IF(AND($D139&lt;&gt;"",$V139="Macro"),IF(N($AM139)&gt;0,N(CHOOSE(MATCH($D139,ListaPuestos,0),INDEX('Cronograma R. Operacional'!$M$5:$M$1000,$AM139),INDEX('Cronograma R. Normativo'!$M$5:$M$1000,$AM139),INDEX('Cronograma R. Financiero'!$M$5:$M$1000,$AM139),INDEX('Cronograma Asistente Técnico'!$M$5:$M$1000,$AM139))),0),IF(ISNUMBER($G139),1,IF(N($W139)&gt;0,MIN(1,SUMIFS($Y$5:$Y$1000,$U$5:$U$1000,ROW(),$V$5:$V$1000,"Sub")),$Y139))))</f>
        <v/>
      </c>
      <c r="N139" s="56">
        <f>IF(OR($M139="",$V139="Sub"),"",IF($M139&gt;=1,"Completado",IF($M139&gt;0,"En curso","Pendiente")))</f>
        <v/>
      </c>
      <c r="O139" s="56">
        <f>IF(NOT((COUNTA($B139:$D139)+COUNTA($G139:$H139)+COUNTA($Q139))&gt;0),"",IF(AND(AND($D139&lt;&gt;"",$V139="Macro"),N($AM139)&gt;0),CHOOSE(MATCH($D139,ListaPuestos,0),INDEX('Cronograma R. Operacional'!$O$5:$O$1000,$AM139),INDEX('Cronograma R. Normativo'!$O$5:$O$1000,$AM139),INDEX('Cronograma R. Financiero'!$O$5:$O$1000,$AM139),INDEX('Cronograma Asistente Técnico'!$O$5:$O$1000,$AM139))&amp;"",IF(ISNUMBER($G139),IF(AND(ISNUMBER($AS139),$G139&gt;$AS139),"Cumplida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f>IF(NOT((COUNTA($B139:$D139)+COUNTA($G139:$H139)+COUNTA($Q139))&gt;0),"",IF($D139="","Propia",IF($V139&lt;&gt;"Macro","Solo se delegan macroactividades",IF(N($AM139)&gt;0,"✔ Recibida por "&amp;$D139,"⚠ "&amp;$D139&amp;" aún no la agrega"))))</f>
        <v/>
      </c>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f>IF(NOT(AND($D139&lt;&gt;"",$V139="Macro")),"",IFERROR(CHOOSE(MATCH($D139,ListaPuestos,0),MATCH("[Jefatura] "&amp;$C139,'Cronograma R. Operacional'!$C$5:$C$1000,0),MATCH("[Jefatura] "&amp;$C139,'Cronograma R. Normativo'!$C$5:$C$1000,0),MATCH("[Jefatura] "&amp;$C139,'Cronograma R. Financiero'!$C$5:$C$1000,0),MATCH("[Jefatura] "&amp;$C139,'Cronograma Asistente Técnico'!$C$5:$C$1000,0)),0))</f>
        <v/>
      </c>
      <c r="AN139" s="62">
        <f>IF(AND(AND($D139&lt;&gt;"",$V139="Macro"),$S139=MesCiclo),COUNTIFS($D$5:$D139,$D139,$S$5:$S139,MesCiclo,$V$5:$V139,"Macro"),"")</f>
        <v/>
      </c>
      <c r="AO139" s="62">
        <f>IF($AN139="","",$D139&amp;"|"&amp;$AN139)</f>
        <v/>
      </c>
      <c r="AP139" s="62">
        <f>IF(AND($D139&lt;&gt;"",$V139="Macro"),$D139&amp;"|"&amp;$C139,"")</f>
        <v/>
      </c>
      <c r="AQ139" s="62">
        <f>""</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t="n"/>
      <c r="F140" s="59" t="n"/>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IF(NOT((COUNTA($B140:$D140)+COUNTA($G140:$H140)+COUNTA($Q140))&gt;0),"",IF(AND($D140&lt;&gt;"",$V140="Macro"),IF(N($AM140)&gt;0,N(CHOOSE(MATCH($D140,ListaPuestos,0),INDEX('Cronograma R. Operacional'!$M$5:$M$1000,$AM140),INDEX('Cronograma R. Normativo'!$M$5:$M$1000,$AM140),INDEX('Cronograma R. Financiero'!$M$5:$M$1000,$AM140),INDEX('Cronograma Asistente Técnico'!$M$5:$M$1000,$AM140))),0),IF(ISNUMBER($G140),1,IF(N($W140)&gt;0,MIN(1,SUMIFS($Y$5:$Y$1000,$U$5:$U$1000,ROW(),$V$5:$V$1000,"Sub")),$Y140))))</f>
        <v/>
      </c>
      <c r="N140" s="56">
        <f>IF(OR($M140="",$V140="Sub"),"",IF($M140&gt;=1,"Completado",IF($M140&gt;0,"En curso","Pendiente")))</f>
        <v/>
      </c>
      <c r="O140" s="56">
        <f>IF(NOT((COUNTA($B140:$D140)+COUNTA($G140:$H140)+COUNTA($Q140))&gt;0),"",IF(AND(AND($D140&lt;&gt;"",$V140="Macro"),N($AM140)&gt;0),CHOOSE(MATCH($D140,ListaPuestos,0),INDEX('Cronograma R. Operacional'!$O$5:$O$1000,$AM140),INDEX('Cronograma R. Normativo'!$O$5:$O$1000,$AM140),INDEX('Cronograma R. Financiero'!$O$5:$O$1000,$AM140),INDEX('Cronograma Asistente Técnico'!$O$5:$O$1000,$AM140))&amp;"",IF(ISNUMBER($G140),IF(AND(ISNUMBER($AS140),$G140&gt;$AS140),"Cumplida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f>IF(NOT((COUNTA($B140:$D140)+COUNTA($G140:$H140)+COUNTA($Q140))&gt;0),"",IF($D140="","Propia",IF($V140&lt;&gt;"Macro","Solo se delegan macroactividades",IF(N($AM140)&gt;0,"✔ Recibida por "&amp;$D140,"⚠ "&amp;$D140&amp;" aún no la agrega"))))</f>
        <v/>
      </c>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f>IF(NOT(AND($D140&lt;&gt;"",$V140="Macro")),"",IFERROR(CHOOSE(MATCH($D140,ListaPuestos,0),MATCH("[Jefatura] "&amp;$C140,'Cronograma R. Operacional'!$C$5:$C$1000,0),MATCH("[Jefatura] "&amp;$C140,'Cronograma R. Normativo'!$C$5:$C$1000,0),MATCH("[Jefatura] "&amp;$C140,'Cronograma R. Financiero'!$C$5:$C$1000,0),MATCH("[Jefatura] "&amp;$C140,'Cronograma Asistente Técnico'!$C$5:$C$1000,0)),0))</f>
        <v/>
      </c>
      <c r="AN140" s="62">
        <f>IF(AND(AND($D140&lt;&gt;"",$V140="Macro"),$S140=MesCiclo),COUNTIFS($D$5:$D140,$D140,$S$5:$S140,MesCiclo,$V$5:$V140,"Macro"),"")</f>
        <v/>
      </c>
      <c r="AO140" s="62">
        <f>IF($AN140="","",$D140&amp;"|"&amp;$AN140)</f>
        <v/>
      </c>
      <c r="AP140" s="62">
        <f>IF(AND($D140&lt;&gt;"",$V140="Macro"),$D140&amp;"|"&amp;$C140,"")</f>
        <v/>
      </c>
      <c r="AQ140" s="62">
        <f>""</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t="n"/>
      <c r="F141" s="59" t="n"/>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IF(NOT((COUNTA($B141:$D141)+COUNTA($G141:$H141)+COUNTA($Q141))&gt;0),"",IF(AND($D141&lt;&gt;"",$V141="Macro"),IF(N($AM141)&gt;0,N(CHOOSE(MATCH($D141,ListaPuestos,0),INDEX('Cronograma R. Operacional'!$M$5:$M$1000,$AM141),INDEX('Cronograma R. Normativo'!$M$5:$M$1000,$AM141),INDEX('Cronograma R. Financiero'!$M$5:$M$1000,$AM141),INDEX('Cronograma Asistente Técnico'!$M$5:$M$1000,$AM141))),0),IF(ISNUMBER($G141),1,IF(N($W141)&gt;0,MIN(1,SUMIFS($Y$5:$Y$1000,$U$5:$U$1000,ROW(),$V$5:$V$1000,"Sub")),$Y141))))</f>
        <v/>
      </c>
      <c r="N141" s="56">
        <f>IF(OR($M141="",$V141="Sub"),"",IF($M141&gt;=1,"Completado",IF($M141&gt;0,"En curso","Pendiente")))</f>
        <v/>
      </c>
      <c r="O141" s="56">
        <f>IF(NOT((COUNTA($B141:$D141)+COUNTA($G141:$H141)+COUNTA($Q141))&gt;0),"",IF(AND(AND($D141&lt;&gt;"",$V141="Macro"),N($AM141)&gt;0),CHOOSE(MATCH($D141,ListaPuestos,0),INDEX('Cronograma R. Operacional'!$O$5:$O$1000,$AM141),INDEX('Cronograma R. Normativo'!$O$5:$O$1000,$AM141),INDEX('Cronograma R. Financiero'!$O$5:$O$1000,$AM141),INDEX('Cronograma Asistente Técnico'!$O$5:$O$1000,$AM141))&amp;"",IF(ISNUMBER($G141),IF(AND(ISNUMBER($AS141),$G141&gt;$AS141),"Cumplida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f>IF(NOT((COUNTA($B141:$D141)+COUNTA($G141:$H141)+COUNTA($Q141))&gt;0),"",IF($D141="","Propia",IF($V141&lt;&gt;"Macro","Solo se delegan macroactividades",IF(N($AM141)&gt;0,"✔ Recibida por "&amp;$D141,"⚠ "&amp;$D141&amp;" aún no la agrega"))))</f>
        <v/>
      </c>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f>IF(NOT(AND($D141&lt;&gt;"",$V141="Macro")),"",IFERROR(CHOOSE(MATCH($D141,ListaPuestos,0),MATCH("[Jefatura] "&amp;$C141,'Cronograma R. Operacional'!$C$5:$C$1000,0),MATCH("[Jefatura] "&amp;$C141,'Cronograma R. Normativo'!$C$5:$C$1000,0),MATCH("[Jefatura] "&amp;$C141,'Cronograma R. Financiero'!$C$5:$C$1000,0),MATCH("[Jefatura] "&amp;$C141,'Cronograma Asistente Técnico'!$C$5:$C$1000,0)),0))</f>
        <v/>
      </c>
      <c r="AN141" s="62">
        <f>IF(AND(AND($D141&lt;&gt;"",$V141="Macro"),$S141=MesCiclo),COUNTIFS($D$5:$D141,$D141,$S$5:$S141,MesCiclo,$V$5:$V141,"Macro"),"")</f>
        <v/>
      </c>
      <c r="AO141" s="62">
        <f>IF($AN141="","",$D141&amp;"|"&amp;$AN141)</f>
        <v/>
      </c>
      <c r="AP141" s="62">
        <f>IF(AND($D141&lt;&gt;"",$V141="Macro"),$D141&amp;"|"&amp;$C141,"")</f>
        <v/>
      </c>
      <c r="AQ141" s="62">
        <f>""</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t="n"/>
      <c r="F142" s="59" t="n"/>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IF(NOT((COUNTA($B142:$D142)+COUNTA($G142:$H142)+COUNTA($Q142))&gt;0),"",IF(AND($D142&lt;&gt;"",$V142="Macro"),IF(N($AM142)&gt;0,N(CHOOSE(MATCH($D142,ListaPuestos,0),INDEX('Cronograma R. Operacional'!$M$5:$M$1000,$AM142),INDEX('Cronograma R. Normativo'!$M$5:$M$1000,$AM142),INDEX('Cronograma R. Financiero'!$M$5:$M$1000,$AM142),INDEX('Cronograma Asistente Técnico'!$M$5:$M$1000,$AM142))),0),IF(ISNUMBER($G142),1,IF(N($W142)&gt;0,MIN(1,SUMIFS($Y$5:$Y$1000,$U$5:$U$1000,ROW(),$V$5:$V$1000,"Sub")),$Y142))))</f>
        <v/>
      </c>
      <c r="N142" s="56">
        <f>IF(OR($M142="",$V142="Sub"),"",IF($M142&gt;=1,"Completado",IF($M142&gt;0,"En curso","Pendiente")))</f>
        <v/>
      </c>
      <c r="O142" s="56">
        <f>IF(NOT((COUNTA($B142:$D142)+COUNTA($G142:$H142)+COUNTA($Q142))&gt;0),"",IF(AND(AND($D142&lt;&gt;"",$V142="Macro"),N($AM142)&gt;0),CHOOSE(MATCH($D142,ListaPuestos,0),INDEX('Cronograma R. Operacional'!$O$5:$O$1000,$AM142),INDEX('Cronograma R. Normativo'!$O$5:$O$1000,$AM142),INDEX('Cronograma R. Financiero'!$O$5:$O$1000,$AM142),INDEX('Cronograma Asistente Técnico'!$O$5:$O$1000,$AM142))&amp;"",IF(ISNUMBER($G142),IF(AND(ISNUMBER($AS142),$G142&gt;$AS142),"Cumplida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f>IF(NOT((COUNTA($B142:$D142)+COUNTA($G142:$H142)+COUNTA($Q142))&gt;0),"",IF($D142="","Propia",IF($V142&lt;&gt;"Macro","Solo se delegan macroactividades",IF(N($AM142)&gt;0,"✔ Recibida por "&amp;$D142,"⚠ "&amp;$D142&amp;" aún no la agrega"))))</f>
        <v/>
      </c>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f>IF(NOT(AND($D142&lt;&gt;"",$V142="Macro")),"",IFERROR(CHOOSE(MATCH($D142,ListaPuestos,0),MATCH("[Jefatura] "&amp;$C142,'Cronograma R. Operacional'!$C$5:$C$1000,0),MATCH("[Jefatura] "&amp;$C142,'Cronograma R. Normativo'!$C$5:$C$1000,0),MATCH("[Jefatura] "&amp;$C142,'Cronograma R. Financiero'!$C$5:$C$1000,0),MATCH("[Jefatura] "&amp;$C142,'Cronograma Asistente Técnico'!$C$5:$C$1000,0)),0))</f>
        <v/>
      </c>
      <c r="AN142" s="62">
        <f>IF(AND(AND($D142&lt;&gt;"",$V142="Macro"),$S142=MesCiclo),COUNTIFS($D$5:$D142,$D142,$S$5:$S142,MesCiclo,$V$5:$V142,"Macro"),"")</f>
        <v/>
      </c>
      <c r="AO142" s="62">
        <f>IF($AN142="","",$D142&amp;"|"&amp;$AN142)</f>
        <v/>
      </c>
      <c r="AP142" s="62">
        <f>IF(AND($D142&lt;&gt;"",$V142="Macro"),$D142&amp;"|"&amp;$C142,"")</f>
        <v/>
      </c>
      <c r="AQ142" s="62">
        <f>""</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t="n"/>
      <c r="F143" s="59" t="n"/>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IF(NOT((COUNTA($B143:$D143)+COUNTA($G143:$H143)+COUNTA($Q143))&gt;0),"",IF(AND($D143&lt;&gt;"",$V143="Macro"),IF(N($AM143)&gt;0,N(CHOOSE(MATCH($D143,ListaPuestos,0),INDEX('Cronograma R. Operacional'!$M$5:$M$1000,$AM143),INDEX('Cronograma R. Normativo'!$M$5:$M$1000,$AM143),INDEX('Cronograma R. Financiero'!$M$5:$M$1000,$AM143),INDEX('Cronograma Asistente Técnico'!$M$5:$M$1000,$AM143))),0),IF(ISNUMBER($G143),1,IF(N($W143)&gt;0,MIN(1,SUMIFS($Y$5:$Y$1000,$U$5:$U$1000,ROW(),$V$5:$V$1000,"Sub")),$Y143))))</f>
        <v/>
      </c>
      <c r="N143" s="56">
        <f>IF(OR($M143="",$V143="Sub"),"",IF($M143&gt;=1,"Completado",IF($M143&gt;0,"En curso","Pendiente")))</f>
        <v/>
      </c>
      <c r="O143" s="56">
        <f>IF(NOT((COUNTA($B143:$D143)+COUNTA($G143:$H143)+COUNTA($Q143))&gt;0),"",IF(AND(AND($D143&lt;&gt;"",$V143="Macro"),N($AM143)&gt;0),CHOOSE(MATCH($D143,ListaPuestos,0),INDEX('Cronograma R. Operacional'!$O$5:$O$1000,$AM143),INDEX('Cronograma R. Normativo'!$O$5:$O$1000,$AM143),INDEX('Cronograma R. Financiero'!$O$5:$O$1000,$AM143),INDEX('Cronograma Asistente Técnico'!$O$5:$O$1000,$AM143))&amp;"",IF(ISNUMBER($G143),IF(AND(ISNUMBER($AS143),$G143&gt;$AS143),"Cumplida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f>IF(NOT((COUNTA($B143:$D143)+COUNTA($G143:$H143)+COUNTA($Q143))&gt;0),"",IF($D143="","Propia",IF($V143&lt;&gt;"Macro","Solo se delegan macroactividades",IF(N($AM143)&gt;0,"✔ Recibida por "&amp;$D143,"⚠ "&amp;$D143&amp;" aún no la agrega"))))</f>
        <v/>
      </c>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f>IF(NOT(AND($D143&lt;&gt;"",$V143="Macro")),"",IFERROR(CHOOSE(MATCH($D143,ListaPuestos,0),MATCH("[Jefatura] "&amp;$C143,'Cronograma R. Operacional'!$C$5:$C$1000,0),MATCH("[Jefatura] "&amp;$C143,'Cronograma R. Normativo'!$C$5:$C$1000,0),MATCH("[Jefatura] "&amp;$C143,'Cronograma R. Financiero'!$C$5:$C$1000,0),MATCH("[Jefatura] "&amp;$C143,'Cronograma Asistente Técnico'!$C$5:$C$1000,0)),0))</f>
        <v/>
      </c>
      <c r="AN143" s="62">
        <f>IF(AND(AND($D143&lt;&gt;"",$V143="Macro"),$S143=MesCiclo),COUNTIFS($D$5:$D143,$D143,$S$5:$S143,MesCiclo,$V$5:$V143,"Macro"),"")</f>
        <v/>
      </c>
      <c r="AO143" s="62">
        <f>IF($AN143="","",$D143&amp;"|"&amp;$AN143)</f>
        <v/>
      </c>
      <c r="AP143" s="62">
        <f>IF(AND($D143&lt;&gt;"",$V143="Macro"),$D143&amp;"|"&amp;$C143,"")</f>
        <v/>
      </c>
      <c r="AQ143" s="62">
        <f>""</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t="n"/>
      <c r="F144" s="59" t="n"/>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IF(NOT((COUNTA($B144:$D144)+COUNTA($G144:$H144)+COUNTA($Q144))&gt;0),"",IF(AND($D144&lt;&gt;"",$V144="Macro"),IF(N($AM144)&gt;0,N(CHOOSE(MATCH($D144,ListaPuestos,0),INDEX('Cronograma R. Operacional'!$M$5:$M$1000,$AM144),INDEX('Cronograma R. Normativo'!$M$5:$M$1000,$AM144),INDEX('Cronograma R. Financiero'!$M$5:$M$1000,$AM144),INDEX('Cronograma Asistente Técnico'!$M$5:$M$1000,$AM144))),0),IF(ISNUMBER($G144),1,IF(N($W144)&gt;0,MIN(1,SUMIFS($Y$5:$Y$1000,$U$5:$U$1000,ROW(),$V$5:$V$1000,"Sub")),$Y144))))</f>
        <v/>
      </c>
      <c r="N144" s="56">
        <f>IF(OR($M144="",$V144="Sub"),"",IF($M144&gt;=1,"Completado",IF($M144&gt;0,"En curso","Pendiente")))</f>
        <v/>
      </c>
      <c r="O144" s="56">
        <f>IF(NOT((COUNTA($B144:$D144)+COUNTA($G144:$H144)+COUNTA($Q144))&gt;0),"",IF(AND(AND($D144&lt;&gt;"",$V144="Macro"),N($AM144)&gt;0),CHOOSE(MATCH($D144,ListaPuestos,0),INDEX('Cronograma R. Operacional'!$O$5:$O$1000,$AM144),INDEX('Cronograma R. Normativo'!$O$5:$O$1000,$AM144),INDEX('Cronograma R. Financiero'!$O$5:$O$1000,$AM144),INDEX('Cronograma Asistente Técnico'!$O$5:$O$1000,$AM144))&amp;"",IF(ISNUMBER($G144),IF(AND(ISNUMBER($AS144),$G144&gt;$AS144),"Cumplida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f>IF(NOT((COUNTA($B144:$D144)+COUNTA($G144:$H144)+COUNTA($Q144))&gt;0),"",IF($D144="","Propia",IF($V144&lt;&gt;"Macro","Solo se delegan macroactividades",IF(N($AM144)&gt;0,"✔ Recibida por "&amp;$D144,"⚠ "&amp;$D144&amp;" aún no la agrega"))))</f>
        <v/>
      </c>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f>IF(NOT(AND($D144&lt;&gt;"",$V144="Macro")),"",IFERROR(CHOOSE(MATCH($D144,ListaPuestos,0),MATCH("[Jefatura] "&amp;$C144,'Cronograma R. Operacional'!$C$5:$C$1000,0),MATCH("[Jefatura] "&amp;$C144,'Cronograma R. Normativo'!$C$5:$C$1000,0),MATCH("[Jefatura] "&amp;$C144,'Cronograma R. Financiero'!$C$5:$C$1000,0),MATCH("[Jefatura] "&amp;$C144,'Cronograma Asistente Técnico'!$C$5:$C$1000,0)),0))</f>
        <v/>
      </c>
      <c r="AN144" s="62">
        <f>IF(AND(AND($D144&lt;&gt;"",$V144="Macro"),$S144=MesCiclo),COUNTIFS($D$5:$D144,$D144,$S$5:$S144,MesCiclo,$V$5:$V144,"Macro"),"")</f>
        <v/>
      </c>
      <c r="AO144" s="62">
        <f>IF($AN144="","",$D144&amp;"|"&amp;$AN144)</f>
        <v/>
      </c>
      <c r="AP144" s="62">
        <f>IF(AND($D144&lt;&gt;"",$V144="Macro"),$D144&amp;"|"&amp;$C144,"")</f>
        <v/>
      </c>
      <c r="AQ144" s="62">
        <f>""</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t="n"/>
      <c r="F145" s="59" t="n"/>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IF(NOT((COUNTA($B145:$D145)+COUNTA($G145:$H145)+COUNTA($Q145))&gt;0),"",IF(AND($D145&lt;&gt;"",$V145="Macro"),IF(N($AM145)&gt;0,N(CHOOSE(MATCH($D145,ListaPuestos,0),INDEX('Cronograma R. Operacional'!$M$5:$M$1000,$AM145),INDEX('Cronograma R. Normativo'!$M$5:$M$1000,$AM145),INDEX('Cronograma R. Financiero'!$M$5:$M$1000,$AM145),INDEX('Cronograma Asistente Técnico'!$M$5:$M$1000,$AM145))),0),IF(ISNUMBER($G145),1,IF(N($W145)&gt;0,MIN(1,SUMIFS($Y$5:$Y$1000,$U$5:$U$1000,ROW(),$V$5:$V$1000,"Sub")),$Y145))))</f>
        <v/>
      </c>
      <c r="N145" s="56">
        <f>IF(OR($M145="",$V145="Sub"),"",IF($M145&gt;=1,"Completado",IF($M145&gt;0,"En curso","Pendiente")))</f>
        <v/>
      </c>
      <c r="O145" s="56">
        <f>IF(NOT((COUNTA($B145:$D145)+COUNTA($G145:$H145)+COUNTA($Q145))&gt;0),"",IF(AND(AND($D145&lt;&gt;"",$V145="Macro"),N($AM145)&gt;0),CHOOSE(MATCH($D145,ListaPuestos,0),INDEX('Cronograma R. Operacional'!$O$5:$O$1000,$AM145),INDEX('Cronograma R. Normativo'!$O$5:$O$1000,$AM145),INDEX('Cronograma R. Financiero'!$O$5:$O$1000,$AM145),INDEX('Cronograma Asistente Técnico'!$O$5:$O$1000,$AM145))&amp;"",IF(ISNUMBER($G145),IF(AND(ISNUMBER($AS145),$G145&gt;$AS145),"Cumplida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f>IF(NOT((COUNTA($B145:$D145)+COUNTA($G145:$H145)+COUNTA($Q145))&gt;0),"",IF($D145="","Propia",IF($V145&lt;&gt;"Macro","Solo se delegan macroactividades",IF(N($AM145)&gt;0,"✔ Recibida por "&amp;$D145,"⚠ "&amp;$D145&amp;" aún no la agrega"))))</f>
        <v/>
      </c>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f>IF(NOT(AND($D145&lt;&gt;"",$V145="Macro")),"",IFERROR(CHOOSE(MATCH($D145,ListaPuestos,0),MATCH("[Jefatura] "&amp;$C145,'Cronograma R. Operacional'!$C$5:$C$1000,0),MATCH("[Jefatura] "&amp;$C145,'Cronograma R. Normativo'!$C$5:$C$1000,0),MATCH("[Jefatura] "&amp;$C145,'Cronograma R. Financiero'!$C$5:$C$1000,0),MATCH("[Jefatura] "&amp;$C145,'Cronograma Asistente Técnico'!$C$5:$C$1000,0)),0))</f>
        <v/>
      </c>
      <c r="AN145" s="62">
        <f>IF(AND(AND($D145&lt;&gt;"",$V145="Macro"),$S145=MesCiclo),COUNTIFS($D$5:$D145,$D145,$S$5:$S145,MesCiclo,$V$5:$V145,"Macro"),"")</f>
        <v/>
      </c>
      <c r="AO145" s="62">
        <f>IF($AN145="","",$D145&amp;"|"&amp;$AN145)</f>
        <v/>
      </c>
      <c r="AP145" s="62">
        <f>IF(AND($D145&lt;&gt;"",$V145="Macro"),$D145&amp;"|"&amp;$C145,"")</f>
        <v/>
      </c>
      <c r="AQ145" s="62">
        <f>""</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t="n"/>
      <c r="F146" s="59" t="n"/>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IF(NOT((COUNTA($B146:$D146)+COUNTA($G146:$H146)+COUNTA($Q146))&gt;0),"",IF(AND($D146&lt;&gt;"",$V146="Macro"),IF(N($AM146)&gt;0,N(CHOOSE(MATCH($D146,ListaPuestos,0),INDEX('Cronograma R. Operacional'!$M$5:$M$1000,$AM146),INDEX('Cronograma R. Normativo'!$M$5:$M$1000,$AM146),INDEX('Cronograma R. Financiero'!$M$5:$M$1000,$AM146),INDEX('Cronograma Asistente Técnico'!$M$5:$M$1000,$AM146))),0),IF(ISNUMBER($G146),1,IF(N($W146)&gt;0,MIN(1,SUMIFS($Y$5:$Y$1000,$U$5:$U$1000,ROW(),$V$5:$V$1000,"Sub")),$Y146))))</f>
        <v/>
      </c>
      <c r="N146" s="56">
        <f>IF(OR($M146="",$V146="Sub"),"",IF($M146&gt;=1,"Completado",IF($M146&gt;0,"En curso","Pendiente")))</f>
        <v/>
      </c>
      <c r="O146" s="56">
        <f>IF(NOT((COUNTA($B146:$D146)+COUNTA($G146:$H146)+COUNTA($Q146))&gt;0),"",IF(AND(AND($D146&lt;&gt;"",$V146="Macro"),N($AM146)&gt;0),CHOOSE(MATCH($D146,ListaPuestos,0),INDEX('Cronograma R. Operacional'!$O$5:$O$1000,$AM146),INDEX('Cronograma R. Normativo'!$O$5:$O$1000,$AM146),INDEX('Cronograma R. Financiero'!$O$5:$O$1000,$AM146),INDEX('Cronograma Asistente Técnico'!$O$5:$O$1000,$AM146))&amp;"",IF(ISNUMBER($G146),IF(AND(ISNUMBER($AS146),$G146&gt;$AS146),"Cumplida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f>IF(NOT((COUNTA($B146:$D146)+COUNTA($G146:$H146)+COUNTA($Q146))&gt;0),"",IF($D146="","Propia",IF($V146&lt;&gt;"Macro","Solo se delegan macroactividades",IF(N($AM146)&gt;0,"✔ Recibida por "&amp;$D146,"⚠ "&amp;$D146&amp;" aún no la agrega"))))</f>
        <v/>
      </c>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f>IF(NOT(AND($D146&lt;&gt;"",$V146="Macro")),"",IFERROR(CHOOSE(MATCH($D146,ListaPuestos,0),MATCH("[Jefatura] "&amp;$C146,'Cronograma R. Operacional'!$C$5:$C$1000,0),MATCH("[Jefatura] "&amp;$C146,'Cronograma R. Normativo'!$C$5:$C$1000,0),MATCH("[Jefatura] "&amp;$C146,'Cronograma R. Financiero'!$C$5:$C$1000,0),MATCH("[Jefatura] "&amp;$C146,'Cronograma Asistente Técnico'!$C$5:$C$1000,0)),0))</f>
        <v/>
      </c>
      <c r="AN146" s="62">
        <f>IF(AND(AND($D146&lt;&gt;"",$V146="Macro"),$S146=MesCiclo),COUNTIFS($D$5:$D146,$D146,$S$5:$S146,MesCiclo,$V$5:$V146,"Macro"),"")</f>
        <v/>
      </c>
      <c r="AO146" s="62">
        <f>IF($AN146="","",$D146&amp;"|"&amp;$AN146)</f>
        <v/>
      </c>
      <c r="AP146" s="62">
        <f>IF(AND($D146&lt;&gt;"",$V146="Macro"),$D146&amp;"|"&amp;$C146,"")</f>
        <v/>
      </c>
      <c r="AQ146" s="62">
        <f>""</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t="n"/>
      <c r="F147" s="59" t="n"/>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IF(NOT((COUNTA($B147:$D147)+COUNTA($G147:$H147)+COUNTA($Q147))&gt;0),"",IF(AND($D147&lt;&gt;"",$V147="Macro"),IF(N($AM147)&gt;0,N(CHOOSE(MATCH($D147,ListaPuestos,0),INDEX('Cronograma R. Operacional'!$M$5:$M$1000,$AM147),INDEX('Cronograma R. Normativo'!$M$5:$M$1000,$AM147),INDEX('Cronograma R. Financiero'!$M$5:$M$1000,$AM147),INDEX('Cronograma Asistente Técnico'!$M$5:$M$1000,$AM147))),0),IF(ISNUMBER($G147),1,IF(N($W147)&gt;0,MIN(1,SUMIFS($Y$5:$Y$1000,$U$5:$U$1000,ROW(),$V$5:$V$1000,"Sub")),$Y147))))</f>
        <v/>
      </c>
      <c r="N147" s="56">
        <f>IF(OR($M147="",$V147="Sub"),"",IF($M147&gt;=1,"Completado",IF($M147&gt;0,"En curso","Pendiente")))</f>
        <v/>
      </c>
      <c r="O147" s="56">
        <f>IF(NOT((COUNTA($B147:$D147)+COUNTA($G147:$H147)+COUNTA($Q147))&gt;0),"",IF(AND(AND($D147&lt;&gt;"",$V147="Macro"),N($AM147)&gt;0),CHOOSE(MATCH($D147,ListaPuestos,0),INDEX('Cronograma R. Operacional'!$O$5:$O$1000,$AM147),INDEX('Cronograma R. Normativo'!$O$5:$O$1000,$AM147),INDEX('Cronograma R. Financiero'!$O$5:$O$1000,$AM147),INDEX('Cronograma Asistente Técnico'!$O$5:$O$1000,$AM147))&amp;"",IF(ISNUMBER($G147),IF(AND(ISNUMBER($AS147),$G147&gt;$AS147),"Cumplida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f>IF(NOT((COUNTA($B147:$D147)+COUNTA($G147:$H147)+COUNTA($Q147))&gt;0),"",IF($D147="","Propia",IF($V147&lt;&gt;"Macro","Solo se delegan macroactividades",IF(N($AM147)&gt;0,"✔ Recibida por "&amp;$D147,"⚠ "&amp;$D147&amp;" aún no la agrega"))))</f>
        <v/>
      </c>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f>IF(NOT(AND($D147&lt;&gt;"",$V147="Macro")),"",IFERROR(CHOOSE(MATCH($D147,ListaPuestos,0),MATCH("[Jefatura] "&amp;$C147,'Cronograma R. Operacional'!$C$5:$C$1000,0),MATCH("[Jefatura] "&amp;$C147,'Cronograma R. Normativo'!$C$5:$C$1000,0),MATCH("[Jefatura] "&amp;$C147,'Cronograma R. Financiero'!$C$5:$C$1000,0),MATCH("[Jefatura] "&amp;$C147,'Cronograma Asistente Técnico'!$C$5:$C$1000,0)),0))</f>
        <v/>
      </c>
      <c r="AN147" s="62">
        <f>IF(AND(AND($D147&lt;&gt;"",$V147="Macro"),$S147=MesCiclo),COUNTIFS($D$5:$D147,$D147,$S$5:$S147,MesCiclo,$V$5:$V147,"Macro"),"")</f>
        <v/>
      </c>
      <c r="AO147" s="62">
        <f>IF($AN147="","",$D147&amp;"|"&amp;$AN147)</f>
        <v/>
      </c>
      <c r="AP147" s="62">
        <f>IF(AND($D147&lt;&gt;"",$V147="Macro"),$D147&amp;"|"&amp;$C147,"")</f>
        <v/>
      </c>
      <c r="AQ147" s="62">
        <f>""</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t="n"/>
      <c r="F148" s="59" t="n"/>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IF(NOT((COUNTA($B148:$D148)+COUNTA($G148:$H148)+COUNTA($Q148))&gt;0),"",IF(AND($D148&lt;&gt;"",$V148="Macro"),IF(N($AM148)&gt;0,N(CHOOSE(MATCH($D148,ListaPuestos,0),INDEX('Cronograma R. Operacional'!$M$5:$M$1000,$AM148),INDEX('Cronograma R. Normativo'!$M$5:$M$1000,$AM148),INDEX('Cronograma R. Financiero'!$M$5:$M$1000,$AM148),INDEX('Cronograma Asistente Técnico'!$M$5:$M$1000,$AM148))),0),IF(ISNUMBER($G148),1,IF(N($W148)&gt;0,MIN(1,SUMIFS($Y$5:$Y$1000,$U$5:$U$1000,ROW(),$V$5:$V$1000,"Sub")),$Y148))))</f>
        <v/>
      </c>
      <c r="N148" s="56">
        <f>IF(OR($M148="",$V148="Sub"),"",IF($M148&gt;=1,"Completado",IF($M148&gt;0,"En curso","Pendiente")))</f>
        <v/>
      </c>
      <c r="O148" s="56">
        <f>IF(NOT((COUNTA($B148:$D148)+COUNTA($G148:$H148)+COUNTA($Q148))&gt;0),"",IF(AND(AND($D148&lt;&gt;"",$V148="Macro"),N($AM148)&gt;0),CHOOSE(MATCH($D148,ListaPuestos,0),INDEX('Cronograma R. Operacional'!$O$5:$O$1000,$AM148),INDEX('Cronograma R. Normativo'!$O$5:$O$1000,$AM148),INDEX('Cronograma R. Financiero'!$O$5:$O$1000,$AM148),INDEX('Cronograma Asistente Técnico'!$O$5:$O$1000,$AM148))&amp;"",IF(ISNUMBER($G148),IF(AND(ISNUMBER($AS148),$G148&gt;$AS148),"Cumplida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f>IF(NOT((COUNTA($B148:$D148)+COUNTA($G148:$H148)+COUNTA($Q148))&gt;0),"",IF($D148="","Propia",IF($V148&lt;&gt;"Macro","Solo se delegan macroactividades",IF(N($AM148)&gt;0,"✔ Recibida por "&amp;$D148,"⚠ "&amp;$D148&amp;" aún no la agrega"))))</f>
        <v/>
      </c>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f>IF(NOT(AND($D148&lt;&gt;"",$V148="Macro")),"",IFERROR(CHOOSE(MATCH($D148,ListaPuestos,0),MATCH("[Jefatura] "&amp;$C148,'Cronograma R. Operacional'!$C$5:$C$1000,0),MATCH("[Jefatura] "&amp;$C148,'Cronograma R. Normativo'!$C$5:$C$1000,0),MATCH("[Jefatura] "&amp;$C148,'Cronograma R. Financiero'!$C$5:$C$1000,0),MATCH("[Jefatura] "&amp;$C148,'Cronograma Asistente Técnico'!$C$5:$C$1000,0)),0))</f>
        <v/>
      </c>
      <c r="AN148" s="62">
        <f>IF(AND(AND($D148&lt;&gt;"",$V148="Macro"),$S148=MesCiclo),COUNTIFS($D$5:$D148,$D148,$S$5:$S148,MesCiclo,$V$5:$V148,"Macro"),"")</f>
        <v/>
      </c>
      <c r="AO148" s="62">
        <f>IF($AN148="","",$D148&amp;"|"&amp;$AN148)</f>
        <v/>
      </c>
      <c r="AP148" s="62">
        <f>IF(AND($D148&lt;&gt;"",$V148="Macro"),$D148&amp;"|"&amp;$C148,"")</f>
        <v/>
      </c>
      <c r="AQ148" s="62">
        <f>""</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t="n"/>
      <c r="F149" s="59" t="n"/>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IF(NOT((COUNTA($B149:$D149)+COUNTA($G149:$H149)+COUNTA($Q149))&gt;0),"",IF(AND($D149&lt;&gt;"",$V149="Macro"),IF(N($AM149)&gt;0,N(CHOOSE(MATCH($D149,ListaPuestos,0),INDEX('Cronograma R. Operacional'!$M$5:$M$1000,$AM149),INDEX('Cronograma R. Normativo'!$M$5:$M$1000,$AM149),INDEX('Cronograma R. Financiero'!$M$5:$M$1000,$AM149),INDEX('Cronograma Asistente Técnico'!$M$5:$M$1000,$AM149))),0),IF(ISNUMBER($G149),1,IF(N($W149)&gt;0,MIN(1,SUMIFS($Y$5:$Y$1000,$U$5:$U$1000,ROW(),$V$5:$V$1000,"Sub")),$Y149))))</f>
        <v/>
      </c>
      <c r="N149" s="56">
        <f>IF(OR($M149="",$V149="Sub"),"",IF($M149&gt;=1,"Completado",IF($M149&gt;0,"En curso","Pendiente")))</f>
        <v/>
      </c>
      <c r="O149" s="56">
        <f>IF(NOT((COUNTA($B149:$D149)+COUNTA($G149:$H149)+COUNTA($Q149))&gt;0),"",IF(AND(AND($D149&lt;&gt;"",$V149="Macro"),N($AM149)&gt;0),CHOOSE(MATCH($D149,ListaPuestos,0),INDEX('Cronograma R. Operacional'!$O$5:$O$1000,$AM149),INDEX('Cronograma R. Normativo'!$O$5:$O$1000,$AM149),INDEX('Cronograma R. Financiero'!$O$5:$O$1000,$AM149),INDEX('Cronograma Asistente Técnico'!$O$5:$O$1000,$AM149))&amp;"",IF(ISNUMBER($G149),IF(AND(ISNUMBER($AS149),$G149&gt;$AS149),"Cumplida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f>IF(NOT((COUNTA($B149:$D149)+COUNTA($G149:$H149)+COUNTA($Q149))&gt;0),"",IF($D149="","Propia",IF($V149&lt;&gt;"Macro","Solo se delegan macroactividades",IF(N($AM149)&gt;0,"✔ Recibida por "&amp;$D149,"⚠ "&amp;$D149&amp;" aún no la agrega"))))</f>
        <v/>
      </c>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f>IF(NOT(AND($D149&lt;&gt;"",$V149="Macro")),"",IFERROR(CHOOSE(MATCH($D149,ListaPuestos,0),MATCH("[Jefatura] "&amp;$C149,'Cronograma R. Operacional'!$C$5:$C$1000,0),MATCH("[Jefatura] "&amp;$C149,'Cronograma R. Normativo'!$C$5:$C$1000,0),MATCH("[Jefatura] "&amp;$C149,'Cronograma R. Financiero'!$C$5:$C$1000,0),MATCH("[Jefatura] "&amp;$C149,'Cronograma Asistente Técnico'!$C$5:$C$1000,0)),0))</f>
        <v/>
      </c>
      <c r="AN149" s="62">
        <f>IF(AND(AND($D149&lt;&gt;"",$V149="Macro"),$S149=MesCiclo),COUNTIFS($D$5:$D149,$D149,$S$5:$S149,MesCiclo,$V$5:$V149,"Macro"),"")</f>
        <v/>
      </c>
      <c r="AO149" s="62">
        <f>IF($AN149="","",$D149&amp;"|"&amp;$AN149)</f>
        <v/>
      </c>
      <c r="AP149" s="62">
        <f>IF(AND($D149&lt;&gt;"",$V149="Macro"),$D149&amp;"|"&amp;$C149,"")</f>
        <v/>
      </c>
      <c r="AQ149" s="62">
        <f>""</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t="n"/>
      <c r="F150" s="59" t="n"/>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IF(NOT((COUNTA($B150:$D150)+COUNTA($G150:$H150)+COUNTA($Q150))&gt;0),"",IF(AND($D150&lt;&gt;"",$V150="Macro"),IF(N($AM150)&gt;0,N(CHOOSE(MATCH($D150,ListaPuestos,0),INDEX('Cronograma R. Operacional'!$M$5:$M$1000,$AM150),INDEX('Cronograma R. Normativo'!$M$5:$M$1000,$AM150),INDEX('Cronograma R. Financiero'!$M$5:$M$1000,$AM150),INDEX('Cronograma Asistente Técnico'!$M$5:$M$1000,$AM150))),0),IF(ISNUMBER($G150),1,IF(N($W150)&gt;0,MIN(1,SUMIFS($Y$5:$Y$1000,$U$5:$U$1000,ROW(),$V$5:$V$1000,"Sub")),$Y150))))</f>
        <v/>
      </c>
      <c r="N150" s="56">
        <f>IF(OR($M150="",$V150="Sub"),"",IF($M150&gt;=1,"Completado",IF($M150&gt;0,"En curso","Pendiente")))</f>
        <v/>
      </c>
      <c r="O150" s="56">
        <f>IF(NOT((COUNTA($B150:$D150)+COUNTA($G150:$H150)+COUNTA($Q150))&gt;0),"",IF(AND(AND($D150&lt;&gt;"",$V150="Macro"),N($AM150)&gt;0),CHOOSE(MATCH($D150,ListaPuestos,0),INDEX('Cronograma R. Operacional'!$O$5:$O$1000,$AM150),INDEX('Cronograma R. Normativo'!$O$5:$O$1000,$AM150),INDEX('Cronograma R. Financiero'!$O$5:$O$1000,$AM150),INDEX('Cronograma Asistente Técnico'!$O$5:$O$1000,$AM150))&amp;"",IF(ISNUMBER($G150),IF(AND(ISNUMBER($AS150),$G150&gt;$AS150),"Cumplida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f>IF(NOT((COUNTA($B150:$D150)+COUNTA($G150:$H150)+COUNTA($Q150))&gt;0),"",IF($D150="","Propia",IF($V150&lt;&gt;"Macro","Solo se delegan macroactividades",IF(N($AM150)&gt;0,"✔ Recibida por "&amp;$D150,"⚠ "&amp;$D150&amp;" aún no la agrega"))))</f>
        <v/>
      </c>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f>IF(NOT(AND($D150&lt;&gt;"",$V150="Macro")),"",IFERROR(CHOOSE(MATCH($D150,ListaPuestos,0),MATCH("[Jefatura] "&amp;$C150,'Cronograma R. Operacional'!$C$5:$C$1000,0),MATCH("[Jefatura] "&amp;$C150,'Cronograma R. Normativo'!$C$5:$C$1000,0),MATCH("[Jefatura] "&amp;$C150,'Cronograma R. Financiero'!$C$5:$C$1000,0),MATCH("[Jefatura] "&amp;$C150,'Cronograma Asistente Técnico'!$C$5:$C$1000,0)),0))</f>
        <v/>
      </c>
      <c r="AN150" s="62">
        <f>IF(AND(AND($D150&lt;&gt;"",$V150="Macro"),$S150=MesCiclo),COUNTIFS($D$5:$D150,$D150,$S$5:$S150,MesCiclo,$V$5:$V150,"Macro"),"")</f>
        <v/>
      </c>
      <c r="AO150" s="62">
        <f>IF($AN150="","",$D150&amp;"|"&amp;$AN150)</f>
        <v/>
      </c>
      <c r="AP150" s="62">
        <f>IF(AND($D150&lt;&gt;"",$V150="Macro"),$D150&amp;"|"&amp;$C150,"")</f>
        <v/>
      </c>
      <c r="AQ150" s="62">
        <f>""</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t="n"/>
      <c r="F151" s="59" t="n"/>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IF(NOT((COUNTA($B151:$D151)+COUNTA($G151:$H151)+COUNTA($Q151))&gt;0),"",IF(AND($D151&lt;&gt;"",$V151="Macro"),IF(N($AM151)&gt;0,N(CHOOSE(MATCH($D151,ListaPuestos,0),INDEX('Cronograma R. Operacional'!$M$5:$M$1000,$AM151),INDEX('Cronograma R. Normativo'!$M$5:$M$1000,$AM151),INDEX('Cronograma R. Financiero'!$M$5:$M$1000,$AM151),INDEX('Cronograma Asistente Técnico'!$M$5:$M$1000,$AM151))),0),IF(ISNUMBER($G151),1,IF(N($W151)&gt;0,MIN(1,SUMIFS($Y$5:$Y$1000,$U$5:$U$1000,ROW(),$V$5:$V$1000,"Sub")),$Y151))))</f>
        <v/>
      </c>
      <c r="N151" s="56">
        <f>IF(OR($M151="",$V151="Sub"),"",IF($M151&gt;=1,"Completado",IF($M151&gt;0,"En curso","Pendiente")))</f>
        <v/>
      </c>
      <c r="O151" s="56">
        <f>IF(NOT((COUNTA($B151:$D151)+COUNTA($G151:$H151)+COUNTA($Q151))&gt;0),"",IF(AND(AND($D151&lt;&gt;"",$V151="Macro"),N($AM151)&gt;0),CHOOSE(MATCH($D151,ListaPuestos,0),INDEX('Cronograma R. Operacional'!$O$5:$O$1000,$AM151),INDEX('Cronograma R. Normativo'!$O$5:$O$1000,$AM151),INDEX('Cronograma R. Financiero'!$O$5:$O$1000,$AM151),INDEX('Cronograma Asistente Técnico'!$O$5:$O$1000,$AM151))&amp;"",IF(ISNUMBER($G151),IF(AND(ISNUMBER($AS151),$G151&gt;$AS151),"Cumplida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f>IF(NOT((COUNTA($B151:$D151)+COUNTA($G151:$H151)+COUNTA($Q151))&gt;0),"",IF($D151="","Propia",IF($V151&lt;&gt;"Macro","Solo se delegan macroactividades",IF(N($AM151)&gt;0,"✔ Recibida por "&amp;$D151,"⚠ "&amp;$D151&amp;" aún no la agrega"))))</f>
        <v/>
      </c>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f>IF(NOT(AND($D151&lt;&gt;"",$V151="Macro")),"",IFERROR(CHOOSE(MATCH($D151,ListaPuestos,0),MATCH("[Jefatura] "&amp;$C151,'Cronograma R. Operacional'!$C$5:$C$1000,0),MATCH("[Jefatura] "&amp;$C151,'Cronograma R. Normativo'!$C$5:$C$1000,0),MATCH("[Jefatura] "&amp;$C151,'Cronograma R. Financiero'!$C$5:$C$1000,0),MATCH("[Jefatura] "&amp;$C151,'Cronograma Asistente Técnico'!$C$5:$C$1000,0)),0))</f>
        <v/>
      </c>
      <c r="AN151" s="62">
        <f>IF(AND(AND($D151&lt;&gt;"",$V151="Macro"),$S151=MesCiclo),COUNTIFS($D$5:$D151,$D151,$S$5:$S151,MesCiclo,$V$5:$V151,"Macro"),"")</f>
        <v/>
      </c>
      <c r="AO151" s="62">
        <f>IF($AN151="","",$D151&amp;"|"&amp;$AN151)</f>
        <v/>
      </c>
      <c r="AP151" s="62">
        <f>IF(AND($D151&lt;&gt;"",$V151="Macro"),$D151&amp;"|"&amp;$C151,"")</f>
        <v/>
      </c>
      <c r="AQ151" s="62">
        <f>""</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t="n"/>
      <c r="F152" s="59" t="n"/>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IF(NOT((COUNTA($B152:$D152)+COUNTA($G152:$H152)+COUNTA($Q152))&gt;0),"",IF(AND($D152&lt;&gt;"",$V152="Macro"),IF(N($AM152)&gt;0,N(CHOOSE(MATCH($D152,ListaPuestos,0),INDEX('Cronograma R. Operacional'!$M$5:$M$1000,$AM152),INDEX('Cronograma R. Normativo'!$M$5:$M$1000,$AM152),INDEX('Cronograma R. Financiero'!$M$5:$M$1000,$AM152),INDEX('Cronograma Asistente Técnico'!$M$5:$M$1000,$AM152))),0),IF(ISNUMBER($G152),1,IF(N($W152)&gt;0,MIN(1,SUMIFS($Y$5:$Y$1000,$U$5:$U$1000,ROW(),$V$5:$V$1000,"Sub")),$Y152))))</f>
        <v/>
      </c>
      <c r="N152" s="56">
        <f>IF(OR($M152="",$V152="Sub"),"",IF($M152&gt;=1,"Completado",IF($M152&gt;0,"En curso","Pendiente")))</f>
        <v/>
      </c>
      <c r="O152" s="56">
        <f>IF(NOT((COUNTA($B152:$D152)+COUNTA($G152:$H152)+COUNTA($Q152))&gt;0),"",IF(AND(AND($D152&lt;&gt;"",$V152="Macro"),N($AM152)&gt;0),CHOOSE(MATCH($D152,ListaPuestos,0),INDEX('Cronograma R. Operacional'!$O$5:$O$1000,$AM152),INDEX('Cronograma R. Normativo'!$O$5:$O$1000,$AM152),INDEX('Cronograma R. Financiero'!$O$5:$O$1000,$AM152),INDEX('Cronograma Asistente Técnico'!$O$5:$O$1000,$AM152))&amp;"",IF(ISNUMBER($G152),IF(AND(ISNUMBER($AS152),$G152&gt;$AS152),"Cumplida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f>IF(NOT((COUNTA($B152:$D152)+COUNTA($G152:$H152)+COUNTA($Q152))&gt;0),"",IF($D152="","Propia",IF($V152&lt;&gt;"Macro","Solo se delegan macroactividades",IF(N($AM152)&gt;0,"✔ Recibida por "&amp;$D152,"⚠ "&amp;$D152&amp;" aún no la agrega"))))</f>
        <v/>
      </c>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f>IF(NOT(AND($D152&lt;&gt;"",$V152="Macro")),"",IFERROR(CHOOSE(MATCH($D152,ListaPuestos,0),MATCH("[Jefatura] "&amp;$C152,'Cronograma R. Operacional'!$C$5:$C$1000,0),MATCH("[Jefatura] "&amp;$C152,'Cronograma R. Normativo'!$C$5:$C$1000,0),MATCH("[Jefatura] "&amp;$C152,'Cronograma R. Financiero'!$C$5:$C$1000,0),MATCH("[Jefatura] "&amp;$C152,'Cronograma Asistente Técnico'!$C$5:$C$1000,0)),0))</f>
        <v/>
      </c>
      <c r="AN152" s="62">
        <f>IF(AND(AND($D152&lt;&gt;"",$V152="Macro"),$S152=MesCiclo),COUNTIFS($D$5:$D152,$D152,$S$5:$S152,MesCiclo,$V$5:$V152,"Macro"),"")</f>
        <v/>
      </c>
      <c r="AO152" s="62">
        <f>IF($AN152="","",$D152&amp;"|"&amp;$AN152)</f>
        <v/>
      </c>
      <c r="AP152" s="62">
        <f>IF(AND($D152&lt;&gt;"",$V152="Macro"),$D152&amp;"|"&amp;$C152,"")</f>
        <v/>
      </c>
      <c r="AQ152" s="62">
        <f>""</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t="n"/>
      <c r="F153" s="59" t="n"/>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IF(NOT((COUNTA($B153:$D153)+COUNTA($G153:$H153)+COUNTA($Q153))&gt;0),"",IF(AND($D153&lt;&gt;"",$V153="Macro"),IF(N($AM153)&gt;0,N(CHOOSE(MATCH($D153,ListaPuestos,0),INDEX('Cronograma R. Operacional'!$M$5:$M$1000,$AM153),INDEX('Cronograma R. Normativo'!$M$5:$M$1000,$AM153),INDEX('Cronograma R. Financiero'!$M$5:$M$1000,$AM153),INDEX('Cronograma Asistente Técnico'!$M$5:$M$1000,$AM153))),0),IF(ISNUMBER($G153),1,IF(N($W153)&gt;0,MIN(1,SUMIFS($Y$5:$Y$1000,$U$5:$U$1000,ROW(),$V$5:$V$1000,"Sub")),$Y153))))</f>
        <v/>
      </c>
      <c r="N153" s="56">
        <f>IF(OR($M153="",$V153="Sub"),"",IF($M153&gt;=1,"Completado",IF($M153&gt;0,"En curso","Pendiente")))</f>
        <v/>
      </c>
      <c r="O153" s="56">
        <f>IF(NOT((COUNTA($B153:$D153)+COUNTA($G153:$H153)+COUNTA($Q153))&gt;0),"",IF(AND(AND($D153&lt;&gt;"",$V153="Macro"),N($AM153)&gt;0),CHOOSE(MATCH($D153,ListaPuestos,0),INDEX('Cronograma R. Operacional'!$O$5:$O$1000,$AM153),INDEX('Cronograma R. Normativo'!$O$5:$O$1000,$AM153),INDEX('Cronograma R. Financiero'!$O$5:$O$1000,$AM153),INDEX('Cronograma Asistente Técnico'!$O$5:$O$1000,$AM153))&amp;"",IF(ISNUMBER($G153),IF(AND(ISNUMBER($AS153),$G153&gt;$AS153),"Cumplida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f>IF(NOT((COUNTA($B153:$D153)+COUNTA($G153:$H153)+COUNTA($Q153))&gt;0),"",IF($D153="","Propia",IF($V153&lt;&gt;"Macro","Solo se delegan macroactividades",IF(N($AM153)&gt;0,"✔ Recibida por "&amp;$D153,"⚠ "&amp;$D153&amp;" aún no la agrega"))))</f>
        <v/>
      </c>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f>IF(NOT(AND($D153&lt;&gt;"",$V153="Macro")),"",IFERROR(CHOOSE(MATCH($D153,ListaPuestos,0),MATCH("[Jefatura] "&amp;$C153,'Cronograma R. Operacional'!$C$5:$C$1000,0),MATCH("[Jefatura] "&amp;$C153,'Cronograma R. Normativo'!$C$5:$C$1000,0),MATCH("[Jefatura] "&amp;$C153,'Cronograma R. Financiero'!$C$5:$C$1000,0),MATCH("[Jefatura] "&amp;$C153,'Cronograma Asistente Técnico'!$C$5:$C$1000,0)),0))</f>
        <v/>
      </c>
      <c r="AN153" s="62">
        <f>IF(AND(AND($D153&lt;&gt;"",$V153="Macro"),$S153=MesCiclo),COUNTIFS($D$5:$D153,$D153,$S$5:$S153,MesCiclo,$V$5:$V153,"Macro"),"")</f>
        <v/>
      </c>
      <c r="AO153" s="62">
        <f>IF($AN153="","",$D153&amp;"|"&amp;$AN153)</f>
        <v/>
      </c>
      <c r="AP153" s="62">
        <f>IF(AND($D153&lt;&gt;"",$V153="Macro"),$D153&amp;"|"&amp;$C153,"")</f>
        <v/>
      </c>
      <c r="AQ153" s="62">
        <f>""</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t="n"/>
      <c r="F154" s="59" t="n"/>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IF(NOT((COUNTA($B154:$D154)+COUNTA($G154:$H154)+COUNTA($Q154))&gt;0),"",IF(AND($D154&lt;&gt;"",$V154="Macro"),IF(N($AM154)&gt;0,N(CHOOSE(MATCH($D154,ListaPuestos,0),INDEX('Cronograma R. Operacional'!$M$5:$M$1000,$AM154),INDEX('Cronograma R. Normativo'!$M$5:$M$1000,$AM154),INDEX('Cronograma R. Financiero'!$M$5:$M$1000,$AM154),INDEX('Cronograma Asistente Técnico'!$M$5:$M$1000,$AM154))),0),IF(ISNUMBER($G154),1,IF(N($W154)&gt;0,MIN(1,SUMIFS($Y$5:$Y$1000,$U$5:$U$1000,ROW(),$V$5:$V$1000,"Sub")),$Y154))))</f>
        <v/>
      </c>
      <c r="N154" s="56">
        <f>IF(OR($M154="",$V154="Sub"),"",IF($M154&gt;=1,"Completado",IF($M154&gt;0,"En curso","Pendiente")))</f>
        <v/>
      </c>
      <c r="O154" s="56">
        <f>IF(NOT((COUNTA($B154:$D154)+COUNTA($G154:$H154)+COUNTA($Q154))&gt;0),"",IF(AND(AND($D154&lt;&gt;"",$V154="Macro"),N($AM154)&gt;0),CHOOSE(MATCH($D154,ListaPuestos,0),INDEX('Cronograma R. Operacional'!$O$5:$O$1000,$AM154),INDEX('Cronograma R. Normativo'!$O$5:$O$1000,$AM154),INDEX('Cronograma R. Financiero'!$O$5:$O$1000,$AM154),INDEX('Cronograma Asistente Técnico'!$O$5:$O$1000,$AM154))&amp;"",IF(ISNUMBER($G154),IF(AND(ISNUMBER($AS154),$G154&gt;$AS154),"Cumplida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f>IF(NOT((COUNTA($B154:$D154)+COUNTA($G154:$H154)+COUNTA($Q154))&gt;0),"",IF($D154="","Propia",IF($V154&lt;&gt;"Macro","Solo se delegan macroactividades",IF(N($AM154)&gt;0,"✔ Recibida por "&amp;$D154,"⚠ "&amp;$D154&amp;" aún no la agrega"))))</f>
        <v/>
      </c>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f>IF(NOT(AND($D154&lt;&gt;"",$V154="Macro")),"",IFERROR(CHOOSE(MATCH($D154,ListaPuestos,0),MATCH("[Jefatura] "&amp;$C154,'Cronograma R. Operacional'!$C$5:$C$1000,0),MATCH("[Jefatura] "&amp;$C154,'Cronograma R. Normativo'!$C$5:$C$1000,0),MATCH("[Jefatura] "&amp;$C154,'Cronograma R. Financiero'!$C$5:$C$1000,0),MATCH("[Jefatura] "&amp;$C154,'Cronograma Asistente Técnico'!$C$5:$C$1000,0)),0))</f>
        <v/>
      </c>
      <c r="AN154" s="62">
        <f>IF(AND(AND($D154&lt;&gt;"",$V154="Macro"),$S154=MesCiclo),COUNTIFS($D$5:$D154,$D154,$S$5:$S154,MesCiclo,$V$5:$V154,"Macro"),"")</f>
        <v/>
      </c>
      <c r="AO154" s="62">
        <f>IF($AN154="","",$D154&amp;"|"&amp;$AN154)</f>
        <v/>
      </c>
      <c r="AP154" s="62">
        <f>IF(AND($D154&lt;&gt;"",$V154="Macro"),$D154&amp;"|"&amp;$C154,"")</f>
        <v/>
      </c>
      <c r="AQ154" s="62">
        <f>""</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t="n"/>
      <c r="F155" s="59" t="n"/>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IF(NOT((COUNTA($B155:$D155)+COUNTA($G155:$H155)+COUNTA($Q155))&gt;0),"",IF(AND($D155&lt;&gt;"",$V155="Macro"),IF(N($AM155)&gt;0,N(CHOOSE(MATCH($D155,ListaPuestos,0),INDEX('Cronograma R. Operacional'!$M$5:$M$1000,$AM155),INDEX('Cronograma R. Normativo'!$M$5:$M$1000,$AM155),INDEX('Cronograma R. Financiero'!$M$5:$M$1000,$AM155),INDEX('Cronograma Asistente Técnico'!$M$5:$M$1000,$AM155))),0),IF(ISNUMBER($G155),1,IF(N($W155)&gt;0,MIN(1,SUMIFS($Y$5:$Y$1000,$U$5:$U$1000,ROW(),$V$5:$V$1000,"Sub")),$Y155))))</f>
        <v/>
      </c>
      <c r="N155" s="56">
        <f>IF(OR($M155="",$V155="Sub"),"",IF($M155&gt;=1,"Completado",IF($M155&gt;0,"En curso","Pendiente")))</f>
        <v/>
      </c>
      <c r="O155" s="56">
        <f>IF(NOT((COUNTA($B155:$D155)+COUNTA($G155:$H155)+COUNTA($Q155))&gt;0),"",IF(AND(AND($D155&lt;&gt;"",$V155="Macro"),N($AM155)&gt;0),CHOOSE(MATCH($D155,ListaPuestos,0),INDEX('Cronograma R. Operacional'!$O$5:$O$1000,$AM155),INDEX('Cronograma R. Normativo'!$O$5:$O$1000,$AM155),INDEX('Cronograma R. Financiero'!$O$5:$O$1000,$AM155),INDEX('Cronograma Asistente Técnico'!$O$5:$O$1000,$AM155))&amp;"",IF(ISNUMBER($G155),IF(AND(ISNUMBER($AS155),$G155&gt;$AS155),"Cumplida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f>IF(NOT((COUNTA($B155:$D155)+COUNTA($G155:$H155)+COUNTA($Q155))&gt;0),"",IF($D155="","Propia",IF($V155&lt;&gt;"Macro","Solo se delegan macroactividades",IF(N($AM155)&gt;0,"✔ Recibida por "&amp;$D155,"⚠ "&amp;$D155&amp;" aún no la agrega"))))</f>
        <v/>
      </c>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f>IF(NOT(AND($D155&lt;&gt;"",$V155="Macro")),"",IFERROR(CHOOSE(MATCH($D155,ListaPuestos,0),MATCH("[Jefatura] "&amp;$C155,'Cronograma R. Operacional'!$C$5:$C$1000,0),MATCH("[Jefatura] "&amp;$C155,'Cronograma R. Normativo'!$C$5:$C$1000,0),MATCH("[Jefatura] "&amp;$C155,'Cronograma R. Financiero'!$C$5:$C$1000,0),MATCH("[Jefatura] "&amp;$C155,'Cronograma Asistente Técnico'!$C$5:$C$1000,0)),0))</f>
        <v/>
      </c>
      <c r="AN155" s="62">
        <f>IF(AND(AND($D155&lt;&gt;"",$V155="Macro"),$S155=MesCiclo),COUNTIFS($D$5:$D155,$D155,$S$5:$S155,MesCiclo,$V$5:$V155,"Macro"),"")</f>
        <v/>
      </c>
      <c r="AO155" s="62">
        <f>IF($AN155="","",$D155&amp;"|"&amp;$AN155)</f>
        <v/>
      </c>
      <c r="AP155" s="62">
        <f>IF(AND($D155&lt;&gt;"",$V155="Macro"),$D155&amp;"|"&amp;$C155,"")</f>
        <v/>
      </c>
      <c r="AQ155" s="62">
        <f>""</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t="n"/>
      <c r="F156" s="59" t="n"/>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IF(NOT((COUNTA($B156:$D156)+COUNTA($G156:$H156)+COUNTA($Q156))&gt;0),"",IF(AND($D156&lt;&gt;"",$V156="Macro"),IF(N($AM156)&gt;0,N(CHOOSE(MATCH($D156,ListaPuestos,0),INDEX('Cronograma R. Operacional'!$M$5:$M$1000,$AM156),INDEX('Cronograma R. Normativo'!$M$5:$M$1000,$AM156),INDEX('Cronograma R. Financiero'!$M$5:$M$1000,$AM156),INDEX('Cronograma Asistente Técnico'!$M$5:$M$1000,$AM156))),0),IF(ISNUMBER($G156),1,IF(N($W156)&gt;0,MIN(1,SUMIFS($Y$5:$Y$1000,$U$5:$U$1000,ROW(),$V$5:$V$1000,"Sub")),$Y156))))</f>
        <v/>
      </c>
      <c r="N156" s="56">
        <f>IF(OR($M156="",$V156="Sub"),"",IF($M156&gt;=1,"Completado",IF($M156&gt;0,"En curso","Pendiente")))</f>
        <v/>
      </c>
      <c r="O156" s="56">
        <f>IF(NOT((COUNTA($B156:$D156)+COUNTA($G156:$H156)+COUNTA($Q156))&gt;0),"",IF(AND(AND($D156&lt;&gt;"",$V156="Macro"),N($AM156)&gt;0),CHOOSE(MATCH($D156,ListaPuestos,0),INDEX('Cronograma R. Operacional'!$O$5:$O$1000,$AM156),INDEX('Cronograma R. Normativo'!$O$5:$O$1000,$AM156),INDEX('Cronograma R. Financiero'!$O$5:$O$1000,$AM156),INDEX('Cronograma Asistente Técnico'!$O$5:$O$1000,$AM156))&amp;"",IF(ISNUMBER($G156),IF(AND(ISNUMBER($AS156),$G156&gt;$AS156),"Cumplida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f>IF(NOT((COUNTA($B156:$D156)+COUNTA($G156:$H156)+COUNTA($Q156))&gt;0),"",IF($D156="","Propia",IF($V156&lt;&gt;"Macro","Solo se delegan macroactividades",IF(N($AM156)&gt;0,"✔ Recibida por "&amp;$D156,"⚠ "&amp;$D156&amp;" aún no la agrega"))))</f>
        <v/>
      </c>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f>IF(NOT(AND($D156&lt;&gt;"",$V156="Macro")),"",IFERROR(CHOOSE(MATCH($D156,ListaPuestos,0),MATCH("[Jefatura] "&amp;$C156,'Cronograma R. Operacional'!$C$5:$C$1000,0),MATCH("[Jefatura] "&amp;$C156,'Cronograma R. Normativo'!$C$5:$C$1000,0),MATCH("[Jefatura] "&amp;$C156,'Cronograma R. Financiero'!$C$5:$C$1000,0),MATCH("[Jefatura] "&amp;$C156,'Cronograma Asistente Técnico'!$C$5:$C$1000,0)),0))</f>
        <v/>
      </c>
      <c r="AN156" s="62">
        <f>IF(AND(AND($D156&lt;&gt;"",$V156="Macro"),$S156=MesCiclo),COUNTIFS($D$5:$D156,$D156,$S$5:$S156,MesCiclo,$V$5:$V156,"Macro"),"")</f>
        <v/>
      </c>
      <c r="AO156" s="62">
        <f>IF($AN156="","",$D156&amp;"|"&amp;$AN156)</f>
        <v/>
      </c>
      <c r="AP156" s="62">
        <f>IF(AND($D156&lt;&gt;"",$V156="Macro"),$D156&amp;"|"&amp;$C156,"")</f>
        <v/>
      </c>
      <c r="AQ156" s="62">
        <f>""</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t="n"/>
      <c r="F157" s="59" t="n"/>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IF(NOT((COUNTA($B157:$D157)+COUNTA($G157:$H157)+COUNTA($Q157))&gt;0),"",IF(AND($D157&lt;&gt;"",$V157="Macro"),IF(N($AM157)&gt;0,N(CHOOSE(MATCH($D157,ListaPuestos,0),INDEX('Cronograma R. Operacional'!$M$5:$M$1000,$AM157),INDEX('Cronograma R. Normativo'!$M$5:$M$1000,$AM157),INDEX('Cronograma R. Financiero'!$M$5:$M$1000,$AM157),INDEX('Cronograma Asistente Técnico'!$M$5:$M$1000,$AM157))),0),IF(ISNUMBER($G157),1,IF(N($W157)&gt;0,MIN(1,SUMIFS($Y$5:$Y$1000,$U$5:$U$1000,ROW(),$V$5:$V$1000,"Sub")),$Y157))))</f>
        <v/>
      </c>
      <c r="N157" s="56">
        <f>IF(OR($M157="",$V157="Sub"),"",IF($M157&gt;=1,"Completado",IF($M157&gt;0,"En curso","Pendiente")))</f>
        <v/>
      </c>
      <c r="O157" s="56">
        <f>IF(NOT((COUNTA($B157:$D157)+COUNTA($G157:$H157)+COUNTA($Q157))&gt;0),"",IF(AND(AND($D157&lt;&gt;"",$V157="Macro"),N($AM157)&gt;0),CHOOSE(MATCH($D157,ListaPuestos,0),INDEX('Cronograma R. Operacional'!$O$5:$O$1000,$AM157),INDEX('Cronograma R. Normativo'!$O$5:$O$1000,$AM157),INDEX('Cronograma R. Financiero'!$O$5:$O$1000,$AM157),INDEX('Cronograma Asistente Técnico'!$O$5:$O$1000,$AM157))&amp;"",IF(ISNUMBER($G157),IF(AND(ISNUMBER($AS157),$G157&gt;$AS157),"Cumplida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f>IF(NOT((COUNTA($B157:$D157)+COUNTA($G157:$H157)+COUNTA($Q157))&gt;0),"",IF($D157="","Propia",IF($V157&lt;&gt;"Macro","Solo se delegan macroactividades",IF(N($AM157)&gt;0,"✔ Recibida por "&amp;$D157,"⚠ "&amp;$D157&amp;" aún no la agrega"))))</f>
        <v/>
      </c>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f>IF(NOT(AND($D157&lt;&gt;"",$V157="Macro")),"",IFERROR(CHOOSE(MATCH($D157,ListaPuestos,0),MATCH("[Jefatura] "&amp;$C157,'Cronograma R. Operacional'!$C$5:$C$1000,0),MATCH("[Jefatura] "&amp;$C157,'Cronograma R. Normativo'!$C$5:$C$1000,0),MATCH("[Jefatura] "&amp;$C157,'Cronograma R. Financiero'!$C$5:$C$1000,0),MATCH("[Jefatura] "&amp;$C157,'Cronograma Asistente Técnico'!$C$5:$C$1000,0)),0))</f>
        <v/>
      </c>
      <c r="AN157" s="62">
        <f>IF(AND(AND($D157&lt;&gt;"",$V157="Macro"),$S157=MesCiclo),COUNTIFS($D$5:$D157,$D157,$S$5:$S157,MesCiclo,$V$5:$V157,"Macro"),"")</f>
        <v/>
      </c>
      <c r="AO157" s="62">
        <f>IF($AN157="","",$D157&amp;"|"&amp;$AN157)</f>
        <v/>
      </c>
      <c r="AP157" s="62">
        <f>IF(AND($D157&lt;&gt;"",$V157="Macro"),$D157&amp;"|"&amp;$C157,"")</f>
        <v/>
      </c>
      <c r="AQ157" s="62">
        <f>""</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t="n"/>
      <c r="F158" s="59" t="n"/>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IF(NOT((COUNTA($B158:$D158)+COUNTA($G158:$H158)+COUNTA($Q158))&gt;0),"",IF(AND($D158&lt;&gt;"",$V158="Macro"),IF(N($AM158)&gt;0,N(CHOOSE(MATCH($D158,ListaPuestos,0),INDEX('Cronograma R. Operacional'!$M$5:$M$1000,$AM158),INDEX('Cronograma R. Normativo'!$M$5:$M$1000,$AM158),INDEX('Cronograma R. Financiero'!$M$5:$M$1000,$AM158),INDEX('Cronograma Asistente Técnico'!$M$5:$M$1000,$AM158))),0),IF(ISNUMBER($G158),1,IF(N($W158)&gt;0,MIN(1,SUMIFS($Y$5:$Y$1000,$U$5:$U$1000,ROW(),$V$5:$V$1000,"Sub")),$Y158))))</f>
        <v/>
      </c>
      <c r="N158" s="56">
        <f>IF(OR($M158="",$V158="Sub"),"",IF($M158&gt;=1,"Completado",IF($M158&gt;0,"En curso","Pendiente")))</f>
        <v/>
      </c>
      <c r="O158" s="56">
        <f>IF(NOT((COUNTA($B158:$D158)+COUNTA($G158:$H158)+COUNTA($Q158))&gt;0),"",IF(AND(AND($D158&lt;&gt;"",$V158="Macro"),N($AM158)&gt;0),CHOOSE(MATCH($D158,ListaPuestos,0),INDEX('Cronograma R. Operacional'!$O$5:$O$1000,$AM158),INDEX('Cronograma R. Normativo'!$O$5:$O$1000,$AM158),INDEX('Cronograma R. Financiero'!$O$5:$O$1000,$AM158),INDEX('Cronograma Asistente Técnico'!$O$5:$O$1000,$AM158))&amp;"",IF(ISNUMBER($G158),IF(AND(ISNUMBER($AS158),$G158&gt;$AS158),"Cumplida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f>IF(NOT((COUNTA($B158:$D158)+COUNTA($G158:$H158)+COUNTA($Q158))&gt;0),"",IF($D158="","Propia",IF($V158&lt;&gt;"Macro","Solo se delegan macroactividades",IF(N($AM158)&gt;0,"✔ Recibida por "&amp;$D158,"⚠ "&amp;$D158&amp;" aún no la agrega"))))</f>
        <v/>
      </c>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f>IF(NOT(AND($D158&lt;&gt;"",$V158="Macro")),"",IFERROR(CHOOSE(MATCH($D158,ListaPuestos,0),MATCH("[Jefatura] "&amp;$C158,'Cronograma R. Operacional'!$C$5:$C$1000,0),MATCH("[Jefatura] "&amp;$C158,'Cronograma R. Normativo'!$C$5:$C$1000,0),MATCH("[Jefatura] "&amp;$C158,'Cronograma R. Financiero'!$C$5:$C$1000,0),MATCH("[Jefatura] "&amp;$C158,'Cronograma Asistente Técnico'!$C$5:$C$1000,0)),0))</f>
        <v/>
      </c>
      <c r="AN158" s="62">
        <f>IF(AND(AND($D158&lt;&gt;"",$V158="Macro"),$S158=MesCiclo),COUNTIFS($D$5:$D158,$D158,$S$5:$S158,MesCiclo,$V$5:$V158,"Macro"),"")</f>
        <v/>
      </c>
      <c r="AO158" s="62">
        <f>IF($AN158="","",$D158&amp;"|"&amp;$AN158)</f>
        <v/>
      </c>
      <c r="AP158" s="62">
        <f>IF(AND($D158&lt;&gt;"",$V158="Macro"),$D158&amp;"|"&amp;$C158,"")</f>
        <v/>
      </c>
      <c r="AQ158" s="62">
        <f>""</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t="n"/>
      <c r="F159" s="59" t="n"/>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IF(NOT((COUNTA($B159:$D159)+COUNTA($G159:$H159)+COUNTA($Q159))&gt;0),"",IF(AND($D159&lt;&gt;"",$V159="Macro"),IF(N($AM159)&gt;0,N(CHOOSE(MATCH($D159,ListaPuestos,0),INDEX('Cronograma R. Operacional'!$M$5:$M$1000,$AM159),INDEX('Cronograma R. Normativo'!$M$5:$M$1000,$AM159),INDEX('Cronograma R. Financiero'!$M$5:$M$1000,$AM159),INDEX('Cronograma Asistente Técnico'!$M$5:$M$1000,$AM159))),0),IF(ISNUMBER($G159),1,IF(N($W159)&gt;0,MIN(1,SUMIFS($Y$5:$Y$1000,$U$5:$U$1000,ROW(),$V$5:$V$1000,"Sub")),$Y159))))</f>
        <v/>
      </c>
      <c r="N159" s="56">
        <f>IF(OR($M159="",$V159="Sub"),"",IF($M159&gt;=1,"Completado",IF($M159&gt;0,"En curso","Pendiente")))</f>
        <v/>
      </c>
      <c r="O159" s="56">
        <f>IF(NOT((COUNTA($B159:$D159)+COUNTA($G159:$H159)+COUNTA($Q159))&gt;0),"",IF(AND(AND($D159&lt;&gt;"",$V159="Macro"),N($AM159)&gt;0),CHOOSE(MATCH($D159,ListaPuestos,0),INDEX('Cronograma R. Operacional'!$O$5:$O$1000,$AM159),INDEX('Cronograma R. Normativo'!$O$5:$O$1000,$AM159),INDEX('Cronograma R. Financiero'!$O$5:$O$1000,$AM159),INDEX('Cronograma Asistente Técnico'!$O$5:$O$1000,$AM159))&amp;"",IF(ISNUMBER($G159),IF(AND(ISNUMBER($AS159),$G159&gt;$AS159),"Cumplida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f>IF(NOT((COUNTA($B159:$D159)+COUNTA($G159:$H159)+COUNTA($Q159))&gt;0),"",IF($D159="","Propia",IF($V159&lt;&gt;"Macro","Solo se delegan macroactividades",IF(N($AM159)&gt;0,"✔ Recibida por "&amp;$D159,"⚠ "&amp;$D159&amp;" aún no la agrega"))))</f>
        <v/>
      </c>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f>IF(NOT(AND($D159&lt;&gt;"",$V159="Macro")),"",IFERROR(CHOOSE(MATCH($D159,ListaPuestos,0),MATCH("[Jefatura] "&amp;$C159,'Cronograma R. Operacional'!$C$5:$C$1000,0),MATCH("[Jefatura] "&amp;$C159,'Cronograma R. Normativo'!$C$5:$C$1000,0),MATCH("[Jefatura] "&amp;$C159,'Cronograma R. Financiero'!$C$5:$C$1000,0),MATCH("[Jefatura] "&amp;$C159,'Cronograma Asistente Técnico'!$C$5:$C$1000,0)),0))</f>
        <v/>
      </c>
      <c r="AN159" s="62">
        <f>IF(AND(AND($D159&lt;&gt;"",$V159="Macro"),$S159=MesCiclo),COUNTIFS($D$5:$D159,$D159,$S$5:$S159,MesCiclo,$V$5:$V159,"Macro"),"")</f>
        <v/>
      </c>
      <c r="AO159" s="62">
        <f>IF($AN159="","",$D159&amp;"|"&amp;$AN159)</f>
        <v/>
      </c>
      <c r="AP159" s="62">
        <f>IF(AND($D159&lt;&gt;"",$V159="Macro"),$D159&amp;"|"&amp;$C159,"")</f>
        <v/>
      </c>
      <c r="AQ159" s="62">
        <f>""</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t="n"/>
      <c r="F160" s="59" t="n"/>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IF(NOT((COUNTA($B160:$D160)+COUNTA($G160:$H160)+COUNTA($Q160))&gt;0),"",IF(AND($D160&lt;&gt;"",$V160="Macro"),IF(N($AM160)&gt;0,N(CHOOSE(MATCH($D160,ListaPuestos,0),INDEX('Cronograma R. Operacional'!$M$5:$M$1000,$AM160),INDEX('Cronograma R. Normativo'!$M$5:$M$1000,$AM160),INDEX('Cronograma R. Financiero'!$M$5:$M$1000,$AM160),INDEX('Cronograma Asistente Técnico'!$M$5:$M$1000,$AM160))),0),IF(ISNUMBER($G160),1,IF(N($W160)&gt;0,MIN(1,SUMIFS($Y$5:$Y$1000,$U$5:$U$1000,ROW(),$V$5:$V$1000,"Sub")),$Y160))))</f>
        <v/>
      </c>
      <c r="N160" s="56">
        <f>IF(OR($M160="",$V160="Sub"),"",IF($M160&gt;=1,"Completado",IF($M160&gt;0,"En curso","Pendiente")))</f>
        <v/>
      </c>
      <c r="O160" s="56">
        <f>IF(NOT((COUNTA($B160:$D160)+COUNTA($G160:$H160)+COUNTA($Q160))&gt;0),"",IF(AND(AND($D160&lt;&gt;"",$V160="Macro"),N($AM160)&gt;0),CHOOSE(MATCH($D160,ListaPuestos,0),INDEX('Cronograma R. Operacional'!$O$5:$O$1000,$AM160),INDEX('Cronograma R. Normativo'!$O$5:$O$1000,$AM160),INDEX('Cronograma R. Financiero'!$O$5:$O$1000,$AM160),INDEX('Cronograma Asistente Técnico'!$O$5:$O$1000,$AM160))&amp;"",IF(ISNUMBER($G160),IF(AND(ISNUMBER($AS160),$G160&gt;$AS160),"Cumplida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f>IF(NOT((COUNTA($B160:$D160)+COUNTA($G160:$H160)+COUNTA($Q160))&gt;0),"",IF($D160="","Propia",IF($V160&lt;&gt;"Macro","Solo se delegan macroactividades",IF(N($AM160)&gt;0,"✔ Recibida por "&amp;$D160,"⚠ "&amp;$D160&amp;" aún no la agrega"))))</f>
        <v/>
      </c>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f>IF(NOT(AND($D160&lt;&gt;"",$V160="Macro")),"",IFERROR(CHOOSE(MATCH($D160,ListaPuestos,0),MATCH("[Jefatura] "&amp;$C160,'Cronograma R. Operacional'!$C$5:$C$1000,0),MATCH("[Jefatura] "&amp;$C160,'Cronograma R. Normativo'!$C$5:$C$1000,0),MATCH("[Jefatura] "&amp;$C160,'Cronograma R. Financiero'!$C$5:$C$1000,0),MATCH("[Jefatura] "&amp;$C160,'Cronograma Asistente Técnico'!$C$5:$C$1000,0)),0))</f>
        <v/>
      </c>
      <c r="AN160" s="62">
        <f>IF(AND(AND($D160&lt;&gt;"",$V160="Macro"),$S160=MesCiclo),COUNTIFS($D$5:$D160,$D160,$S$5:$S160,MesCiclo,$V$5:$V160,"Macro"),"")</f>
        <v/>
      </c>
      <c r="AO160" s="62">
        <f>IF($AN160="","",$D160&amp;"|"&amp;$AN160)</f>
        <v/>
      </c>
      <c r="AP160" s="62">
        <f>IF(AND($D160&lt;&gt;"",$V160="Macro"),$D160&amp;"|"&amp;$C160,"")</f>
        <v/>
      </c>
      <c r="AQ160" s="62">
        <f>""</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t="n"/>
      <c r="F161" s="59" t="n"/>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IF(NOT((COUNTA($B161:$D161)+COUNTA($G161:$H161)+COUNTA($Q161))&gt;0),"",IF(AND($D161&lt;&gt;"",$V161="Macro"),IF(N($AM161)&gt;0,N(CHOOSE(MATCH($D161,ListaPuestos,0),INDEX('Cronograma R. Operacional'!$M$5:$M$1000,$AM161),INDEX('Cronograma R. Normativo'!$M$5:$M$1000,$AM161),INDEX('Cronograma R. Financiero'!$M$5:$M$1000,$AM161),INDEX('Cronograma Asistente Técnico'!$M$5:$M$1000,$AM161))),0),IF(ISNUMBER($G161),1,IF(N($W161)&gt;0,MIN(1,SUMIFS($Y$5:$Y$1000,$U$5:$U$1000,ROW(),$V$5:$V$1000,"Sub")),$Y161))))</f>
        <v/>
      </c>
      <c r="N161" s="56">
        <f>IF(OR($M161="",$V161="Sub"),"",IF($M161&gt;=1,"Completado",IF($M161&gt;0,"En curso","Pendiente")))</f>
        <v/>
      </c>
      <c r="O161" s="56">
        <f>IF(NOT((COUNTA($B161:$D161)+COUNTA($G161:$H161)+COUNTA($Q161))&gt;0),"",IF(AND(AND($D161&lt;&gt;"",$V161="Macro"),N($AM161)&gt;0),CHOOSE(MATCH($D161,ListaPuestos,0),INDEX('Cronograma R. Operacional'!$O$5:$O$1000,$AM161),INDEX('Cronograma R. Normativo'!$O$5:$O$1000,$AM161),INDEX('Cronograma R. Financiero'!$O$5:$O$1000,$AM161),INDEX('Cronograma Asistente Técnico'!$O$5:$O$1000,$AM161))&amp;"",IF(ISNUMBER($G161),IF(AND(ISNUMBER($AS161),$G161&gt;$AS161),"Cumplida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f>IF(NOT((COUNTA($B161:$D161)+COUNTA($G161:$H161)+COUNTA($Q161))&gt;0),"",IF($D161="","Propia",IF($V161&lt;&gt;"Macro","Solo se delegan macroactividades",IF(N($AM161)&gt;0,"✔ Recibida por "&amp;$D161,"⚠ "&amp;$D161&amp;" aún no la agrega"))))</f>
        <v/>
      </c>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f>IF(NOT(AND($D161&lt;&gt;"",$V161="Macro")),"",IFERROR(CHOOSE(MATCH($D161,ListaPuestos,0),MATCH("[Jefatura] "&amp;$C161,'Cronograma R. Operacional'!$C$5:$C$1000,0),MATCH("[Jefatura] "&amp;$C161,'Cronograma R. Normativo'!$C$5:$C$1000,0),MATCH("[Jefatura] "&amp;$C161,'Cronograma R. Financiero'!$C$5:$C$1000,0),MATCH("[Jefatura] "&amp;$C161,'Cronograma Asistente Técnico'!$C$5:$C$1000,0)),0))</f>
        <v/>
      </c>
      <c r="AN161" s="62">
        <f>IF(AND(AND($D161&lt;&gt;"",$V161="Macro"),$S161=MesCiclo),COUNTIFS($D$5:$D161,$D161,$S$5:$S161,MesCiclo,$V$5:$V161,"Macro"),"")</f>
        <v/>
      </c>
      <c r="AO161" s="62">
        <f>IF($AN161="","",$D161&amp;"|"&amp;$AN161)</f>
        <v/>
      </c>
      <c r="AP161" s="62">
        <f>IF(AND($D161&lt;&gt;"",$V161="Macro"),$D161&amp;"|"&amp;$C161,"")</f>
        <v/>
      </c>
      <c r="AQ161" s="62">
        <f>""</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t="n"/>
      <c r="F162" s="59" t="n"/>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IF(NOT((COUNTA($B162:$D162)+COUNTA($G162:$H162)+COUNTA($Q162))&gt;0),"",IF(AND($D162&lt;&gt;"",$V162="Macro"),IF(N($AM162)&gt;0,N(CHOOSE(MATCH($D162,ListaPuestos,0),INDEX('Cronograma R. Operacional'!$M$5:$M$1000,$AM162),INDEX('Cronograma R. Normativo'!$M$5:$M$1000,$AM162),INDEX('Cronograma R. Financiero'!$M$5:$M$1000,$AM162),INDEX('Cronograma Asistente Técnico'!$M$5:$M$1000,$AM162))),0),IF(ISNUMBER($G162),1,IF(N($W162)&gt;0,MIN(1,SUMIFS($Y$5:$Y$1000,$U$5:$U$1000,ROW(),$V$5:$V$1000,"Sub")),$Y162))))</f>
        <v/>
      </c>
      <c r="N162" s="56">
        <f>IF(OR($M162="",$V162="Sub"),"",IF($M162&gt;=1,"Completado",IF($M162&gt;0,"En curso","Pendiente")))</f>
        <v/>
      </c>
      <c r="O162" s="56">
        <f>IF(NOT((COUNTA($B162:$D162)+COUNTA($G162:$H162)+COUNTA($Q162))&gt;0),"",IF(AND(AND($D162&lt;&gt;"",$V162="Macro"),N($AM162)&gt;0),CHOOSE(MATCH($D162,ListaPuestos,0),INDEX('Cronograma R. Operacional'!$O$5:$O$1000,$AM162),INDEX('Cronograma R. Normativo'!$O$5:$O$1000,$AM162),INDEX('Cronograma R. Financiero'!$O$5:$O$1000,$AM162),INDEX('Cronograma Asistente Técnico'!$O$5:$O$1000,$AM162))&amp;"",IF(ISNUMBER($G162),IF(AND(ISNUMBER($AS162),$G162&gt;$AS162),"Cumplida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f>IF(NOT((COUNTA($B162:$D162)+COUNTA($G162:$H162)+COUNTA($Q162))&gt;0),"",IF($D162="","Propia",IF($V162&lt;&gt;"Macro","Solo se delegan macroactividades",IF(N($AM162)&gt;0,"✔ Recibida por "&amp;$D162,"⚠ "&amp;$D162&amp;" aún no la agrega"))))</f>
        <v/>
      </c>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f>IF(NOT(AND($D162&lt;&gt;"",$V162="Macro")),"",IFERROR(CHOOSE(MATCH($D162,ListaPuestos,0),MATCH("[Jefatura] "&amp;$C162,'Cronograma R. Operacional'!$C$5:$C$1000,0),MATCH("[Jefatura] "&amp;$C162,'Cronograma R. Normativo'!$C$5:$C$1000,0),MATCH("[Jefatura] "&amp;$C162,'Cronograma R. Financiero'!$C$5:$C$1000,0),MATCH("[Jefatura] "&amp;$C162,'Cronograma Asistente Técnico'!$C$5:$C$1000,0)),0))</f>
        <v/>
      </c>
      <c r="AN162" s="62">
        <f>IF(AND(AND($D162&lt;&gt;"",$V162="Macro"),$S162=MesCiclo),COUNTIFS($D$5:$D162,$D162,$S$5:$S162,MesCiclo,$V$5:$V162,"Macro"),"")</f>
        <v/>
      </c>
      <c r="AO162" s="62">
        <f>IF($AN162="","",$D162&amp;"|"&amp;$AN162)</f>
        <v/>
      </c>
      <c r="AP162" s="62">
        <f>IF(AND($D162&lt;&gt;"",$V162="Macro"),$D162&amp;"|"&amp;$C162,"")</f>
        <v/>
      </c>
      <c r="AQ162" s="62">
        <f>""</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t="n"/>
      <c r="F163" s="59" t="n"/>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IF(NOT((COUNTA($B163:$D163)+COUNTA($G163:$H163)+COUNTA($Q163))&gt;0),"",IF(AND($D163&lt;&gt;"",$V163="Macro"),IF(N($AM163)&gt;0,N(CHOOSE(MATCH($D163,ListaPuestos,0),INDEX('Cronograma R. Operacional'!$M$5:$M$1000,$AM163),INDEX('Cronograma R. Normativo'!$M$5:$M$1000,$AM163),INDEX('Cronograma R. Financiero'!$M$5:$M$1000,$AM163),INDEX('Cronograma Asistente Técnico'!$M$5:$M$1000,$AM163))),0),IF(ISNUMBER($G163),1,IF(N($W163)&gt;0,MIN(1,SUMIFS($Y$5:$Y$1000,$U$5:$U$1000,ROW(),$V$5:$V$1000,"Sub")),$Y163))))</f>
        <v/>
      </c>
      <c r="N163" s="56">
        <f>IF(OR($M163="",$V163="Sub"),"",IF($M163&gt;=1,"Completado",IF($M163&gt;0,"En curso","Pendiente")))</f>
        <v/>
      </c>
      <c r="O163" s="56">
        <f>IF(NOT((COUNTA($B163:$D163)+COUNTA($G163:$H163)+COUNTA($Q163))&gt;0),"",IF(AND(AND($D163&lt;&gt;"",$V163="Macro"),N($AM163)&gt;0),CHOOSE(MATCH($D163,ListaPuestos,0),INDEX('Cronograma R. Operacional'!$O$5:$O$1000,$AM163),INDEX('Cronograma R. Normativo'!$O$5:$O$1000,$AM163),INDEX('Cronograma R. Financiero'!$O$5:$O$1000,$AM163),INDEX('Cronograma Asistente Técnico'!$O$5:$O$1000,$AM163))&amp;"",IF(ISNUMBER($G163),IF(AND(ISNUMBER($AS163),$G163&gt;$AS163),"Cumplida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f>IF(NOT((COUNTA($B163:$D163)+COUNTA($G163:$H163)+COUNTA($Q163))&gt;0),"",IF($D163="","Propia",IF($V163&lt;&gt;"Macro","Solo se delegan macroactividades",IF(N($AM163)&gt;0,"✔ Recibida por "&amp;$D163,"⚠ "&amp;$D163&amp;" aún no la agrega"))))</f>
        <v/>
      </c>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f>IF(NOT(AND($D163&lt;&gt;"",$V163="Macro")),"",IFERROR(CHOOSE(MATCH($D163,ListaPuestos,0),MATCH("[Jefatura] "&amp;$C163,'Cronograma R. Operacional'!$C$5:$C$1000,0),MATCH("[Jefatura] "&amp;$C163,'Cronograma R. Normativo'!$C$5:$C$1000,0),MATCH("[Jefatura] "&amp;$C163,'Cronograma R. Financiero'!$C$5:$C$1000,0),MATCH("[Jefatura] "&amp;$C163,'Cronograma Asistente Técnico'!$C$5:$C$1000,0)),0))</f>
        <v/>
      </c>
      <c r="AN163" s="62">
        <f>IF(AND(AND($D163&lt;&gt;"",$V163="Macro"),$S163=MesCiclo),COUNTIFS($D$5:$D163,$D163,$S$5:$S163,MesCiclo,$V$5:$V163,"Macro"),"")</f>
        <v/>
      </c>
      <c r="AO163" s="62">
        <f>IF($AN163="","",$D163&amp;"|"&amp;$AN163)</f>
        <v/>
      </c>
      <c r="AP163" s="62">
        <f>IF(AND($D163&lt;&gt;"",$V163="Macro"),$D163&amp;"|"&amp;$C163,"")</f>
        <v/>
      </c>
      <c r="AQ163" s="62">
        <f>""</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t="n"/>
      <c r="F164" s="59" t="n"/>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IF(NOT((COUNTA($B164:$D164)+COUNTA($G164:$H164)+COUNTA($Q164))&gt;0),"",IF(AND($D164&lt;&gt;"",$V164="Macro"),IF(N($AM164)&gt;0,N(CHOOSE(MATCH($D164,ListaPuestos,0),INDEX('Cronograma R. Operacional'!$M$5:$M$1000,$AM164),INDEX('Cronograma R. Normativo'!$M$5:$M$1000,$AM164),INDEX('Cronograma R. Financiero'!$M$5:$M$1000,$AM164),INDEX('Cronograma Asistente Técnico'!$M$5:$M$1000,$AM164))),0),IF(ISNUMBER($G164),1,IF(N($W164)&gt;0,MIN(1,SUMIFS($Y$5:$Y$1000,$U$5:$U$1000,ROW(),$V$5:$V$1000,"Sub")),$Y164))))</f>
        <v/>
      </c>
      <c r="N164" s="56">
        <f>IF(OR($M164="",$V164="Sub"),"",IF($M164&gt;=1,"Completado",IF($M164&gt;0,"En curso","Pendiente")))</f>
        <v/>
      </c>
      <c r="O164" s="56">
        <f>IF(NOT((COUNTA($B164:$D164)+COUNTA($G164:$H164)+COUNTA($Q164))&gt;0),"",IF(AND(AND($D164&lt;&gt;"",$V164="Macro"),N($AM164)&gt;0),CHOOSE(MATCH($D164,ListaPuestos,0),INDEX('Cronograma R. Operacional'!$O$5:$O$1000,$AM164),INDEX('Cronograma R. Normativo'!$O$5:$O$1000,$AM164),INDEX('Cronograma R. Financiero'!$O$5:$O$1000,$AM164),INDEX('Cronograma Asistente Técnico'!$O$5:$O$1000,$AM164))&amp;"",IF(ISNUMBER($G164),IF(AND(ISNUMBER($AS164),$G164&gt;$AS164),"Cumplida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f>IF(NOT((COUNTA($B164:$D164)+COUNTA($G164:$H164)+COUNTA($Q164))&gt;0),"",IF($D164="","Propia",IF($V164&lt;&gt;"Macro","Solo se delegan macroactividades",IF(N($AM164)&gt;0,"✔ Recibida por "&amp;$D164,"⚠ "&amp;$D164&amp;" aún no la agrega"))))</f>
        <v/>
      </c>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f>IF(NOT(AND($D164&lt;&gt;"",$V164="Macro")),"",IFERROR(CHOOSE(MATCH($D164,ListaPuestos,0),MATCH("[Jefatura] "&amp;$C164,'Cronograma R. Operacional'!$C$5:$C$1000,0),MATCH("[Jefatura] "&amp;$C164,'Cronograma R. Normativo'!$C$5:$C$1000,0),MATCH("[Jefatura] "&amp;$C164,'Cronograma R. Financiero'!$C$5:$C$1000,0),MATCH("[Jefatura] "&amp;$C164,'Cronograma Asistente Técnico'!$C$5:$C$1000,0)),0))</f>
        <v/>
      </c>
      <c r="AN164" s="62">
        <f>IF(AND(AND($D164&lt;&gt;"",$V164="Macro"),$S164=MesCiclo),COUNTIFS($D$5:$D164,$D164,$S$5:$S164,MesCiclo,$V$5:$V164,"Macro"),"")</f>
        <v/>
      </c>
      <c r="AO164" s="62">
        <f>IF($AN164="","",$D164&amp;"|"&amp;$AN164)</f>
        <v/>
      </c>
      <c r="AP164" s="62">
        <f>IF(AND($D164&lt;&gt;"",$V164="Macro"),$D164&amp;"|"&amp;$C164,"")</f>
        <v/>
      </c>
      <c r="AQ164" s="62">
        <f>""</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t="n"/>
      <c r="F165" s="59" t="n"/>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IF(NOT((COUNTA($B165:$D165)+COUNTA($G165:$H165)+COUNTA($Q165))&gt;0),"",IF(AND($D165&lt;&gt;"",$V165="Macro"),IF(N($AM165)&gt;0,N(CHOOSE(MATCH($D165,ListaPuestos,0),INDEX('Cronograma R. Operacional'!$M$5:$M$1000,$AM165),INDEX('Cronograma R. Normativo'!$M$5:$M$1000,$AM165),INDEX('Cronograma R. Financiero'!$M$5:$M$1000,$AM165),INDEX('Cronograma Asistente Técnico'!$M$5:$M$1000,$AM165))),0),IF(ISNUMBER($G165),1,IF(N($W165)&gt;0,MIN(1,SUMIFS($Y$5:$Y$1000,$U$5:$U$1000,ROW(),$V$5:$V$1000,"Sub")),$Y165))))</f>
        <v/>
      </c>
      <c r="N165" s="56">
        <f>IF(OR($M165="",$V165="Sub"),"",IF($M165&gt;=1,"Completado",IF($M165&gt;0,"En curso","Pendiente")))</f>
        <v/>
      </c>
      <c r="O165" s="56">
        <f>IF(NOT((COUNTA($B165:$D165)+COUNTA($G165:$H165)+COUNTA($Q165))&gt;0),"",IF(AND(AND($D165&lt;&gt;"",$V165="Macro"),N($AM165)&gt;0),CHOOSE(MATCH($D165,ListaPuestos,0),INDEX('Cronograma R. Operacional'!$O$5:$O$1000,$AM165),INDEX('Cronograma R. Normativo'!$O$5:$O$1000,$AM165),INDEX('Cronograma R. Financiero'!$O$5:$O$1000,$AM165),INDEX('Cronograma Asistente Técnico'!$O$5:$O$1000,$AM165))&amp;"",IF(ISNUMBER($G165),IF(AND(ISNUMBER($AS165),$G165&gt;$AS165),"Cumplida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f>IF(NOT((COUNTA($B165:$D165)+COUNTA($G165:$H165)+COUNTA($Q165))&gt;0),"",IF($D165="","Propia",IF($V165&lt;&gt;"Macro","Solo se delegan macroactividades",IF(N($AM165)&gt;0,"✔ Recibida por "&amp;$D165,"⚠ "&amp;$D165&amp;" aún no la agrega"))))</f>
        <v/>
      </c>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f>IF(NOT(AND($D165&lt;&gt;"",$V165="Macro")),"",IFERROR(CHOOSE(MATCH($D165,ListaPuestos,0),MATCH("[Jefatura] "&amp;$C165,'Cronograma R. Operacional'!$C$5:$C$1000,0),MATCH("[Jefatura] "&amp;$C165,'Cronograma R. Normativo'!$C$5:$C$1000,0),MATCH("[Jefatura] "&amp;$C165,'Cronograma R. Financiero'!$C$5:$C$1000,0),MATCH("[Jefatura] "&amp;$C165,'Cronograma Asistente Técnico'!$C$5:$C$1000,0)),0))</f>
        <v/>
      </c>
      <c r="AN165" s="62">
        <f>IF(AND(AND($D165&lt;&gt;"",$V165="Macro"),$S165=MesCiclo),COUNTIFS($D$5:$D165,$D165,$S$5:$S165,MesCiclo,$V$5:$V165,"Macro"),"")</f>
        <v/>
      </c>
      <c r="AO165" s="62">
        <f>IF($AN165="","",$D165&amp;"|"&amp;$AN165)</f>
        <v/>
      </c>
      <c r="AP165" s="62">
        <f>IF(AND($D165&lt;&gt;"",$V165="Macro"),$D165&amp;"|"&amp;$C165,"")</f>
        <v/>
      </c>
      <c r="AQ165" s="62">
        <f>""</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t="n"/>
      <c r="F166" s="59" t="n"/>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IF(NOT((COUNTA($B166:$D166)+COUNTA($G166:$H166)+COUNTA($Q166))&gt;0),"",IF(AND($D166&lt;&gt;"",$V166="Macro"),IF(N($AM166)&gt;0,N(CHOOSE(MATCH($D166,ListaPuestos,0),INDEX('Cronograma R. Operacional'!$M$5:$M$1000,$AM166),INDEX('Cronograma R. Normativo'!$M$5:$M$1000,$AM166),INDEX('Cronograma R. Financiero'!$M$5:$M$1000,$AM166),INDEX('Cronograma Asistente Técnico'!$M$5:$M$1000,$AM166))),0),IF(ISNUMBER($G166),1,IF(N($W166)&gt;0,MIN(1,SUMIFS($Y$5:$Y$1000,$U$5:$U$1000,ROW(),$V$5:$V$1000,"Sub")),$Y166))))</f>
        <v/>
      </c>
      <c r="N166" s="56">
        <f>IF(OR($M166="",$V166="Sub"),"",IF($M166&gt;=1,"Completado",IF($M166&gt;0,"En curso","Pendiente")))</f>
        <v/>
      </c>
      <c r="O166" s="56">
        <f>IF(NOT((COUNTA($B166:$D166)+COUNTA($G166:$H166)+COUNTA($Q166))&gt;0),"",IF(AND(AND($D166&lt;&gt;"",$V166="Macro"),N($AM166)&gt;0),CHOOSE(MATCH($D166,ListaPuestos,0),INDEX('Cronograma R. Operacional'!$O$5:$O$1000,$AM166),INDEX('Cronograma R. Normativo'!$O$5:$O$1000,$AM166),INDEX('Cronograma R. Financiero'!$O$5:$O$1000,$AM166),INDEX('Cronograma Asistente Técnico'!$O$5:$O$1000,$AM166))&amp;"",IF(ISNUMBER($G166),IF(AND(ISNUMBER($AS166),$G166&gt;$AS166),"Cumplida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f>IF(NOT((COUNTA($B166:$D166)+COUNTA($G166:$H166)+COUNTA($Q166))&gt;0),"",IF($D166="","Propia",IF($V166&lt;&gt;"Macro","Solo se delegan macroactividades",IF(N($AM166)&gt;0,"✔ Recibida por "&amp;$D166,"⚠ "&amp;$D166&amp;" aún no la agrega"))))</f>
        <v/>
      </c>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f>IF(NOT(AND($D166&lt;&gt;"",$V166="Macro")),"",IFERROR(CHOOSE(MATCH($D166,ListaPuestos,0),MATCH("[Jefatura] "&amp;$C166,'Cronograma R. Operacional'!$C$5:$C$1000,0),MATCH("[Jefatura] "&amp;$C166,'Cronograma R. Normativo'!$C$5:$C$1000,0),MATCH("[Jefatura] "&amp;$C166,'Cronograma R. Financiero'!$C$5:$C$1000,0),MATCH("[Jefatura] "&amp;$C166,'Cronograma Asistente Técnico'!$C$5:$C$1000,0)),0))</f>
        <v/>
      </c>
      <c r="AN166" s="62">
        <f>IF(AND(AND($D166&lt;&gt;"",$V166="Macro"),$S166=MesCiclo),COUNTIFS($D$5:$D166,$D166,$S$5:$S166,MesCiclo,$V$5:$V166,"Macro"),"")</f>
        <v/>
      </c>
      <c r="AO166" s="62">
        <f>IF($AN166="","",$D166&amp;"|"&amp;$AN166)</f>
        <v/>
      </c>
      <c r="AP166" s="62">
        <f>IF(AND($D166&lt;&gt;"",$V166="Macro"),$D166&amp;"|"&amp;$C166,"")</f>
        <v/>
      </c>
      <c r="AQ166" s="62">
        <f>""</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t="n"/>
      <c r="F167" s="59" t="n"/>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IF(NOT((COUNTA($B167:$D167)+COUNTA($G167:$H167)+COUNTA($Q167))&gt;0),"",IF(AND($D167&lt;&gt;"",$V167="Macro"),IF(N($AM167)&gt;0,N(CHOOSE(MATCH($D167,ListaPuestos,0),INDEX('Cronograma R. Operacional'!$M$5:$M$1000,$AM167),INDEX('Cronograma R. Normativo'!$M$5:$M$1000,$AM167),INDEX('Cronograma R. Financiero'!$M$5:$M$1000,$AM167),INDEX('Cronograma Asistente Técnico'!$M$5:$M$1000,$AM167))),0),IF(ISNUMBER($G167),1,IF(N($W167)&gt;0,MIN(1,SUMIFS($Y$5:$Y$1000,$U$5:$U$1000,ROW(),$V$5:$V$1000,"Sub")),$Y167))))</f>
        <v/>
      </c>
      <c r="N167" s="56">
        <f>IF(OR($M167="",$V167="Sub"),"",IF($M167&gt;=1,"Completado",IF($M167&gt;0,"En curso","Pendiente")))</f>
        <v/>
      </c>
      <c r="O167" s="56">
        <f>IF(NOT((COUNTA($B167:$D167)+COUNTA($G167:$H167)+COUNTA($Q167))&gt;0),"",IF(AND(AND($D167&lt;&gt;"",$V167="Macro"),N($AM167)&gt;0),CHOOSE(MATCH($D167,ListaPuestos,0),INDEX('Cronograma R. Operacional'!$O$5:$O$1000,$AM167),INDEX('Cronograma R. Normativo'!$O$5:$O$1000,$AM167),INDEX('Cronograma R. Financiero'!$O$5:$O$1000,$AM167),INDEX('Cronograma Asistente Técnico'!$O$5:$O$1000,$AM167))&amp;"",IF(ISNUMBER($G167),IF(AND(ISNUMBER($AS167),$G167&gt;$AS167),"Cumplida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f>IF(NOT((COUNTA($B167:$D167)+COUNTA($G167:$H167)+COUNTA($Q167))&gt;0),"",IF($D167="","Propia",IF($V167&lt;&gt;"Macro","Solo se delegan macroactividades",IF(N($AM167)&gt;0,"✔ Recibida por "&amp;$D167,"⚠ "&amp;$D167&amp;" aún no la agrega"))))</f>
        <v/>
      </c>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f>IF(NOT(AND($D167&lt;&gt;"",$V167="Macro")),"",IFERROR(CHOOSE(MATCH($D167,ListaPuestos,0),MATCH("[Jefatura] "&amp;$C167,'Cronograma R. Operacional'!$C$5:$C$1000,0),MATCH("[Jefatura] "&amp;$C167,'Cronograma R. Normativo'!$C$5:$C$1000,0),MATCH("[Jefatura] "&amp;$C167,'Cronograma R. Financiero'!$C$5:$C$1000,0),MATCH("[Jefatura] "&amp;$C167,'Cronograma Asistente Técnico'!$C$5:$C$1000,0)),0))</f>
        <v/>
      </c>
      <c r="AN167" s="62">
        <f>IF(AND(AND($D167&lt;&gt;"",$V167="Macro"),$S167=MesCiclo),COUNTIFS($D$5:$D167,$D167,$S$5:$S167,MesCiclo,$V$5:$V167,"Macro"),"")</f>
        <v/>
      </c>
      <c r="AO167" s="62">
        <f>IF($AN167="","",$D167&amp;"|"&amp;$AN167)</f>
        <v/>
      </c>
      <c r="AP167" s="62">
        <f>IF(AND($D167&lt;&gt;"",$V167="Macro"),$D167&amp;"|"&amp;$C167,"")</f>
        <v/>
      </c>
      <c r="AQ167" s="62">
        <f>""</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t="n"/>
      <c r="F168" s="59" t="n"/>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IF(NOT((COUNTA($B168:$D168)+COUNTA($G168:$H168)+COUNTA($Q168))&gt;0),"",IF(AND($D168&lt;&gt;"",$V168="Macro"),IF(N($AM168)&gt;0,N(CHOOSE(MATCH($D168,ListaPuestos,0),INDEX('Cronograma R. Operacional'!$M$5:$M$1000,$AM168),INDEX('Cronograma R. Normativo'!$M$5:$M$1000,$AM168),INDEX('Cronograma R. Financiero'!$M$5:$M$1000,$AM168),INDEX('Cronograma Asistente Técnico'!$M$5:$M$1000,$AM168))),0),IF(ISNUMBER($G168),1,IF(N($W168)&gt;0,MIN(1,SUMIFS($Y$5:$Y$1000,$U$5:$U$1000,ROW(),$V$5:$V$1000,"Sub")),$Y168))))</f>
        <v/>
      </c>
      <c r="N168" s="56">
        <f>IF(OR($M168="",$V168="Sub"),"",IF($M168&gt;=1,"Completado",IF($M168&gt;0,"En curso","Pendiente")))</f>
        <v/>
      </c>
      <c r="O168" s="56">
        <f>IF(NOT((COUNTA($B168:$D168)+COUNTA($G168:$H168)+COUNTA($Q168))&gt;0),"",IF(AND(AND($D168&lt;&gt;"",$V168="Macro"),N($AM168)&gt;0),CHOOSE(MATCH($D168,ListaPuestos,0),INDEX('Cronograma R. Operacional'!$O$5:$O$1000,$AM168),INDEX('Cronograma R. Normativo'!$O$5:$O$1000,$AM168),INDEX('Cronograma R. Financiero'!$O$5:$O$1000,$AM168),INDEX('Cronograma Asistente Técnico'!$O$5:$O$1000,$AM168))&amp;"",IF(ISNUMBER($G168),IF(AND(ISNUMBER($AS168),$G168&gt;$AS168),"Cumplida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f>IF(NOT((COUNTA($B168:$D168)+COUNTA($G168:$H168)+COUNTA($Q168))&gt;0),"",IF($D168="","Propia",IF($V168&lt;&gt;"Macro","Solo se delegan macroactividades",IF(N($AM168)&gt;0,"✔ Recibida por "&amp;$D168,"⚠ "&amp;$D168&amp;" aún no la agrega"))))</f>
        <v/>
      </c>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f>IF(NOT(AND($D168&lt;&gt;"",$V168="Macro")),"",IFERROR(CHOOSE(MATCH($D168,ListaPuestos,0),MATCH("[Jefatura] "&amp;$C168,'Cronograma R. Operacional'!$C$5:$C$1000,0),MATCH("[Jefatura] "&amp;$C168,'Cronograma R. Normativo'!$C$5:$C$1000,0),MATCH("[Jefatura] "&amp;$C168,'Cronograma R. Financiero'!$C$5:$C$1000,0),MATCH("[Jefatura] "&amp;$C168,'Cronograma Asistente Técnico'!$C$5:$C$1000,0)),0))</f>
        <v/>
      </c>
      <c r="AN168" s="62">
        <f>IF(AND(AND($D168&lt;&gt;"",$V168="Macro"),$S168=MesCiclo),COUNTIFS($D$5:$D168,$D168,$S$5:$S168,MesCiclo,$V$5:$V168,"Macro"),"")</f>
        <v/>
      </c>
      <c r="AO168" s="62">
        <f>IF($AN168="","",$D168&amp;"|"&amp;$AN168)</f>
        <v/>
      </c>
      <c r="AP168" s="62">
        <f>IF(AND($D168&lt;&gt;"",$V168="Macro"),$D168&amp;"|"&amp;$C168,"")</f>
        <v/>
      </c>
      <c r="AQ168" s="62">
        <f>""</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t="n"/>
      <c r="F169" s="59" t="n"/>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IF(NOT((COUNTA($B169:$D169)+COUNTA($G169:$H169)+COUNTA($Q169))&gt;0),"",IF(AND($D169&lt;&gt;"",$V169="Macro"),IF(N($AM169)&gt;0,N(CHOOSE(MATCH($D169,ListaPuestos,0),INDEX('Cronograma R. Operacional'!$M$5:$M$1000,$AM169),INDEX('Cronograma R. Normativo'!$M$5:$M$1000,$AM169),INDEX('Cronograma R. Financiero'!$M$5:$M$1000,$AM169),INDEX('Cronograma Asistente Técnico'!$M$5:$M$1000,$AM169))),0),IF(ISNUMBER($G169),1,IF(N($W169)&gt;0,MIN(1,SUMIFS($Y$5:$Y$1000,$U$5:$U$1000,ROW(),$V$5:$V$1000,"Sub")),$Y169))))</f>
        <v/>
      </c>
      <c r="N169" s="56">
        <f>IF(OR($M169="",$V169="Sub"),"",IF($M169&gt;=1,"Completado",IF($M169&gt;0,"En curso","Pendiente")))</f>
        <v/>
      </c>
      <c r="O169" s="56">
        <f>IF(NOT((COUNTA($B169:$D169)+COUNTA($G169:$H169)+COUNTA($Q169))&gt;0),"",IF(AND(AND($D169&lt;&gt;"",$V169="Macro"),N($AM169)&gt;0),CHOOSE(MATCH($D169,ListaPuestos,0),INDEX('Cronograma R. Operacional'!$O$5:$O$1000,$AM169),INDEX('Cronograma R. Normativo'!$O$5:$O$1000,$AM169),INDEX('Cronograma R. Financiero'!$O$5:$O$1000,$AM169),INDEX('Cronograma Asistente Técnico'!$O$5:$O$1000,$AM169))&amp;"",IF(ISNUMBER($G169),IF(AND(ISNUMBER($AS169),$G169&gt;$AS169),"Cumplida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f>IF(NOT((COUNTA($B169:$D169)+COUNTA($G169:$H169)+COUNTA($Q169))&gt;0),"",IF($D169="","Propia",IF($V169&lt;&gt;"Macro","Solo se delegan macroactividades",IF(N($AM169)&gt;0,"✔ Recibida por "&amp;$D169,"⚠ "&amp;$D169&amp;" aún no la agrega"))))</f>
        <v/>
      </c>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f>IF(NOT(AND($D169&lt;&gt;"",$V169="Macro")),"",IFERROR(CHOOSE(MATCH($D169,ListaPuestos,0),MATCH("[Jefatura] "&amp;$C169,'Cronograma R. Operacional'!$C$5:$C$1000,0),MATCH("[Jefatura] "&amp;$C169,'Cronograma R. Normativo'!$C$5:$C$1000,0),MATCH("[Jefatura] "&amp;$C169,'Cronograma R. Financiero'!$C$5:$C$1000,0),MATCH("[Jefatura] "&amp;$C169,'Cronograma Asistente Técnico'!$C$5:$C$1000,0)),0))</f>
        <v/>
      </c>
      <c r="AN169" s="62">
        <f>IF(AND(AND($D169&lt;&gt;"",$V169="Macro"),$S169=MesCiclo),COUNTIFS($D$5:$D169,$D169,$S$5:$S169,MesCiclo,$V$5:$V169,"Macro"),"")</f>
        <v/>
      </c>
      <c r="AO169" s="62">
        <f>IF($AN169="","",$D169&amp;"|"&amp;$AN169)</f>
        <v/>
      </c>
      <c r="AP169" s="62">
        <f>IF(AND($D169&lt;&gt;"",$V169="Macro"),$D169&amp;"|"&amp;$C169,"")</f>
        <v/>
      </c>
      <c r="AQ169" s="62">
        <f>""</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t="n"/>
      <c r="F170" s="59" t="n"/>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IF(NOT((COUNTA($B170:$D170)+COUNTA($G170:$H170)+COUNTA($Q170))&gt;0),"",IF(AND($D170&lt;&gt;"",$V170="Macro"),IF(N($AM170)&gt;0,N(CHOOSE(MATCH($D170,ListaPuestos,0),INDEX('Cronograma R. Operacional'!$M$5:$M$1000,$AM170),INDEX('Cronograma R. Normativo'!$M$5:$M$1000,$AM170),INDEX('Cronograma R. Financiero'!$M$5:$M$1000,$AM170),INDEX('Cronograma Asistente Técnico'!$M$5:$M$1000,$AM170))),0),IF(ISNUMBER($G170),1,IF(N($W170)&gt;0,MIN(1,SUMIFS($Y$5:$Y$1000,$U$5:$U$1000,ROW(),$V$5:$V$1000,"Sub")),$Y170))))</f>
        <v/>
      </c>
      <c r="N170" s="56">
        <f>IF(OR($M170="",$V170="Sub"),"",IF($M170&gt;=1,"Completado",IF($M170&gt;0,"En curso","Pendiente")))</f>
        <v/>
      </c>
      <c r="O170" s="56">
        <f>IF(NOT((COUNTA($B170:$D170)+COUNTA($G170:$H170)+COUNTA($Q170))&gt;0),"",IF(AND(AND($D170&lt;&gt;"",$V170="Macro"),N($AM170)&gt;0),CHOOSE(MATCH($D170,ListaPuestos,0),INDEX('Cronograma R. Operacional'!$O$5:$O$1000,$AM170),INDEX('Cronograma R. Normativo'!$O$5:$O$1000,$AM170),INDEX('Cronograma R. Financiero'!$O$5:$O$1000,$AM170),INDEX('Cronograma Asistente Técnico'!$O$5:$O$1000,$AM170))&amp;"",IF(ISNUMBER($G170),IF(AND(ISNUMBER($AS170),$G170&gt;$AS170),"Cumplida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f>IF(NOT((COUNTA($B170:$D170)+COUNTA($G170:$H170)+COUNTA($Q170))&gt;0),"",IF($D170="","Propia",IF($V170&lt;&gt;"Macro","Solo se delegan macroactividades",IF(N($AM170)&gt;0,"✔ Recibida por "&amp;$D170,"⚠ "&amp;$D170&amp;" aún no la agrega"))))</f>
        <v/>
      </c>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f>IF(NOT(AND($D170&lt;&gt;"",$V170="Macro")),"",IFERROR(CHOOSE(MATCH($D170,ListaPuestos,0),MATCH("[Jefatura] "&amp;$C170,'Cronograma R. Operacional'!$C$5:$C$1000,0),MATCH("[Jefatura] "&amp;$C170,'Cronograma R. Normativo'!$C$5:$C$1000,0),MATCH("[Jefatura] "&amp;$C170,'Cronograma R. Financiero'!$C$5:$C$1000,0),MATCH("[Jefatura] "&amp;$C170,'Cronograma Asistente Técnico'!$C$5:$C$1000,0)),0))</f>
        <v/>
      </c>
      <c r="AN170" s="62">
        <f>IF(AND(AND($D170&lt;&gt;"",$V170="Macro"),$S170=MesCiclo),COUNTIFS($D$5:$D170,$D170,$S$5:$S170,MesCiclo,$V$5:$V170,"Macro"),"")</f>
        <v/>
      </c>
      <c r="AO170" s="62">
        <f>IF($AN170="","",$D170&amp;"|"&amp;$AN170)</f>
        <v/>
      </c>
      <c r="AP170" s="62">
        <f>IF(AND($D170&lt;&gt;"",$V170="Macro"),$D170&amp;"|"&amp;$C170,"")</f>
        <v/>
      </c>
      <c r="AQ170" s="62">
        <f>""</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t="n"/>
      <c r="F171" s="59" t="n"/>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IF(NOT((COUNTA($B171:$D171)+COUNTA($G171:$H171)+COUNTA($Q171))&gt;0),"",IF(AND($D171&lt;&gt;"",$V171="Macro"),IF(N($AM171)&gt;0,N(CHOOSE(MATCH($D171,ListaPuestos,0),INDEX('Cronograma R. Operacional'!$M$5:$M$1000,$AM171),INDEX('Cronograma R. Normativo'!$M$5:$M$1000,$AM171),INDEX('Cronograma R. Financiero'!$M$5:$M$1000,$AM171),INDEX('Cronograma Asistente Técnico'!$M$5:$M$1000,$AM171))),0),IF(ISNUMBER($G171),1,IF(N($W171)&gt;0,MIN(1,SUMIFS($Y$5:$Y$1000,$U$5:$U$1000,ROW(),$V$5:$V$1000,"Sub")),$Y171))))</f>
        <v/>
      </c>
      <c r="N171" s="56">
        <f>IF(OR($M171="",$V171="Sub"),"",IF($M171&gt;=1,"Completado",IF($M171&gt;0,"En curso","Pendiente")))</f>
        <v/>
      </c>
      <c r="O171" s="56">
        <f>IF(NOT((COUNTA($B171:$D171)+COUNTA($G171:$H171)+COUNTA($Q171))&gt;0),"",IF(AND(AND($D171&lt;&gt;"",$V171="Macro"),N($AM171)&gt;0),CHOOSE(MATCH($D171,ListaPuestos,0),INDEX('Cronograma R. Operacional'!$O$5:$O$1000,$AM171),INDEX('Cronograma R. Normativo'!$O$5:$O$1000,$AM171),INDEX('Cronograma R. Financiero'!$O$5:$O$1000,$AM171),INDEX('Cronograma Asistente Técnico'!$O$5:$O$1000,$AM171))&amp;"",IF(ISNUMBER($G171),IF(AND(ISNUMBER($AS171),$G171&gt;$AS171),"Cumplida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f>IF(NOT((COUNTA($B171:$D171)+COUNTA($G171:$H171)+COUNTA($Q171))&gt;0),"",IF($D171="","Propia",IF($V171&lt;&gt;"Macro","Solo se delegan macroactividades",IF(N($AM171)&gt;0,"✔ Recibida por "&amp;$D171,"⚠ "&amp;$D171&amp;" aún no la agrega"))))</f>
        <v/>
      </c>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f>IF(NOT(AND($D171&lt;&gt;"",$V171="Macro")),"",IFERROR(CHOOSE(MATCH($D171,ListaPuestos,0),MATCH("[Jefatura] "&amp;$C171,'Cronograma R. Operacional'!$C$5:$C$1000,0),MATCH("[Jefatura] "&amp;$C171,'Cronograma R. Normativo'!$C$5:$C$1000,0),MATCH("[Jefatura] "&amp;$C171,'Cronograma R. Financiero'!$C$5:$C$1000,0),MATCH("[Jefatura] "&amp;$C171,'Cronograma Asistente Técnico'!$C$5:$C$1000,0)),0))</f>
        <v/>
      </c>
      <c r="AN171" s="62">
        <f>IF(AND(AND($D171&lt;&gt;"",$V171="Macro"),$S171=MesCiclo),COUNTIFS($D$5:$D171,$D171,$S$5:$S171,MesCiclo,$V$5:$V171,"Macro"),"")</f>
        <v/>
      </c>
      <c r="AO171" s="62">
        <f>IF($AN171="","",$D171&amp;"|"&amp;$AN171)</f>
        <v/>
      </c>
      <c r="AP171" s="62">
        <f>IF(AND($D171&lt;&gt;"",$V171="Macro"),$D171&amp;"|"&amp;$C171,"")</f>
        <v/>
      </c>
      <c r="AQ171" s="62">
        <f>""</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t="n"/>
      <c r="F172" s="59" t="n"/>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IF(NOT((COUNTA($B172:$D172)+COUNTA($G172:$H172)+COUNTA($Q172))&gt;0),"",IF(AND($D172&lt;&gt;"",$V172="Macro"),IF(N($AM172)&gt;0,N(CHOOSE(MATCH($D172,ListaPuestos,0),INDEX('Cronograma R. Operacional'!$M$5:$M$1000,$AM172),INDEX('Cronograma R. Normativo'!$M$5:$M$1000,$AM172),INDEX('Cronograma R. Financiero'!$M$5:$M$1000,$AM172),INDEX('Cronograma Asistente Técnico'!$M$5:$M$1000,$AM172))),0),IF(ISNUMBER($G172),1,IF(N($W172)&gt;0,MIN(1,SUMIFS($Y$5:$Y$1000,$U$5:$U$1000,ROW(),$V$5:$V$1000,"Sub")),$Y172))))</f>
        <v/>
      </c>
      <c r="N172" s="56">
        <f>IF(OR($M172="",$V172="Sub"),"",IF($M172&gt;=1,"Completado",IF($M172&gt;0,"En curso","Pendiente")))</f>
        <v/>
      </c>
      <c r="O172" s="56">
        <f>IF(NOT((COUNTA($B172:$D172)+COUNTA($G172:$H172)+COUNTA($Q172))&gt;0),"",IF(AND(AND($D172&lt;&gt;"",$V172="Macro"),N($AM172)&gt;0),CHOOSE(MATCH($D172,ListaPuestos,0),INDEX('Cronograma R. Operacional'!$O$5:$O$1000,$AM172),INDEX('Cronograma R. Normativo'!$O$5:$O$1000,$AM172),INDEX('Cronograma R. Financiero'!$O$5:$O$1000,$AM172),INDEX('Cronograma Asistente Técnico'!$O$5:$O$1000,$AM172))&amp;"",IF(ISNUMBER($G172),IF(AND(ISNUMBER($AS172),$G172&gt;$AS172),"Cumplida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f>IF(NOT((COUNTA($B172:$D172)+COUNTA($G172:$H172)+COUNTA($Q172))&gt;0),"",IF($D172="","Propia",IF($V172&lt;&gt;"Macro","Solo se delegan macroactividades",IF(N($AM172)&gt;0,"✔ Recibida por "&amp;$D172,"⚠ "&amp;$D172&amp;" aún no la agrega"))))</f>
        <v/>
      </c>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f>IF(NOT(AND($D172&lt;&gt;"",$V172="Macro")),"",IFERROR(CHOOSE(MATCH($D172,ListaPuestos,0),MATCH("[Jefatura] "&amp;$C172,'Cronograma R. Operacional'!$C$5:$C$1000,0),MATCH("[Jefatura] "&amp;$C172,'Cronograma R. Normativo'!$C$5:$C$1000,0),MATCH("[Jefatura] "&amp;$C172,'Cronograma R. Financiero'!$C$5:$C$1000,0),MATCH("[Jefatura] "&amp;$C172,'Cronograma Asistente Técnico'!$C$5:$C$1000,0)),0))</f>
        <v/>
      </c>
      <c r="AN172" s="62">
        <f>IF(AND(AND($D172&lt;&gt;"",$V172="Macro"),$S172=MesCiclo),COUNTIFS($D$5:$D172,$D172,$S$5:$S172,MesCiclo,$V$5:$V172,"Macro"),"")</f>
        <v/>
      </c>
      <c r="AO172" s="62">
        <f>IF($AN172="","",$D172&amp;"|"&amp;$AN172)</f>
        <v/>
      </c>
      <c r="AP172" s="62">
        <f>IF(AND($D172&lt;&gt;"",$V172="Macro"),$D172&amp;"|"&amp;$C172,"")</f>
        <v/>
      </c>
      <c r="AQ172" s="62">
        <f>""</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t="n"/>
      <c r="F173" s="59" t="n"/>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IF(NOT((COUNTA($B173:$D173)+COUNTA($G173:$H173)+COUNTA($Q173))&gt;0),"",IF(AND($D173&lt;&gt;"",$V173="Macro"),IF(N($AM173)&gt;0,N(CHOOSE(MATCH($D173,ListaPuestos,0),INDEX('Cronograma R. Operacional'!$M$5:$M$1000,$AM173),INDEX('Cronograma R. Normativo'!$M$5:$M$1000,$AM173),INDEX('Cronograma R. Financiero'!$M$5:$M$1000,$AM173),INDEX('Cronograma Asistente Técnico'!$M$5:$M$1000,$AM173))),0),IF(ISNUMBER($G173),1,IF(N($W173)&gt;0,MIN(1,SUMIFS($Y$5:$Y$1000,$U$5:$U$1000,ROW(),$V$5:$V$1000,"Sub")),$Y173))))</f>
        <v/>
      </c>
      <c r="N173" s="56">
        <f>IF(OR($M173="",$V173="Sub"),"",IF($M173&gt;=1,"Completado",IF($M173&gt;0,"En curso","Pendiente")))</f>
        <v/>
      </c>
      <c r="O173" s="56">
        <f>IF(NOT((COUNTA($B173:$D173)+COUNTA($G173:$H173)+COUNTA($Q173))&gt;0),"",IF(AND(AND($D173&lt;&gt;"",$V173="Macro"),N($AM173)&gt;0),CHOOSE(MATCH($D173,ListaPuestos,0),INDEX('Cronograma R. Operacional'!$O$5:$O$1000,$AM173),INDEX('Cronograma R. Normativo'!$O$5:$O$1000,$AM173),INDEX('Cronograma R. Financiero'!$O$5:$O$1000,$AM173),INDEX('Cronograma Asistente Técnico'!$O$5:$O$1000,$AM173))&amp;"",IF(ISNUMBER($G173),IF(AND(ISNUMBER($AS173),$G173&gt;$AS173),"Cumplida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f>IF(NOT((COUNTA($B173:$D173)+COUNTA($G173:$H173)+COUNTA($Q173))&gt;0),"",IF($D173="","Propia",IF($V173&lt;&gt;"Macro","Solo se delegan macroactividades",IF(N($AM173)&gt;0,"✔ Recibida por "&amp;$D173,"⚠ "&amp;$D173&amp;" aún no la agrega"))))</f>
        <v/>
      </c>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f>IF(NOT(AND($D173&lt;&gt;"",$V173="Macro")),"",IFERROR(CHOOSE(MATCH($D173,ListaPuestos,0),MATCH("[Jefatura] "&amp;$C173,'Cronograma R. Operacional'!$C$5:$C$1000,0),MATCH("[Jefatura] "&amp;$C173,'Cronograma R. Normativo'!$C$5:$C$1000,0),MATCH("[Jefatura] "&amp;$C173,'Cronograma R. Financiero'!$C$5:$C$1000,0),MATCH("[Jefatura] "&amp;$C173,'Cronograma Asistente Técnico'!$C$5:$C$1000,0)),0))</f>
        <v/>
      </c>
      <c r="AN173" s="62">
        <f>IF(AND(AND($D173&lt;&gt;"",$V173="Macro"),$S173=MesCiclo),COUNTIFS($D$5:$D173,$D173,$S$5:$S173,MesCiclo,$V$5:$V173,"Macro"),"")</f>
        <v/>
      </c>
      <c r="AO173" s="62">
        <f>IF($AN173="","",$D173&amp;"|"&amp;$AN173)</f>
        <v/>
      </c>
      <c r="AP173" s="62">
        <f>IF(AND($D173&lt;&gt;"",$V173="Macro"),$D173&amp;"|"&amp;$C173,"")</f>
        <v/>
      </c>
      <c r="AQ173" s="62">
        <f>""</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t="n"/>
      <c r="F174" s="59" t="n"/>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IF(NOT((COUNTA($B174:$D174)+COUNTA($G174:$H174)+COUNTA($Q174))&gt;0),"",IF(AND($D174&lt;&gt;"",$V174="Macro"),IF(N($AM174)&gt;0,N(CHOOSE(MATCH($D174,ListaPuestos,0),INDEX('Cronograma R. Operacional'!$M$5:$M$1000,$AM174),INDEX('Cronograma R. Normativo'!$M$5:$M$1000,$AM174),INDEX('Cronograma R. Financiero'!$M$5:$M$1000,$AM174),INDEX('Cronograma Asistente Técnico'!$M$5:$M$1000,$AM174))),0),IF(ISNUMBER($G174),1,IF(N($W174)&gt;0,MIN(1,SUMIFS($Y$5:$Y$1000,$U$5:$U$1000,ROW(),$V$5:$V$1000,"Sub")),$Y174))))</f>
        <v/>
      </c>
      <c r="N174" s="56">
        <f>IF(OR($M174="",$V174="Sub"),"",IF($M174&gt;=1,"Completado",IF($M174&gt;0,"En curso","Pendiente")))</f>
        <v/>
      </c>
      <c r="O174" s="56">
        <f>IF(NOT((COUNTA($B174:$D174)+COUNTA($G174:$H174)+COUNTA($Q174))&gt;0),"",IF(AND(AND($D174&lt;&gt;"",$V174="Macro"),N($AM174)&gt;0),CHOOSE(MATCH($D174,ListaPuestos,0),INDEX('Cronograma R. Operacional'!$O$5:$O$1000,$AM174),INDEX('Cronograma R. Normativo'!$O$5:$O$1000,$AM174),INDEX('Cronograma R. Financiero'!$O$5:$O$1000,$AM174),INDEX('Cronograma Asistente Técnico'!$O$5:$O$1000,$AM174))&amp;"",IF(ISNUMBER($G174),IF(AND(ISNUMBER($AS174),$G174&gt;$AS174),"Cumplida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f>IF(NOT((COUNTA($B174:$D174)+COUNTA($G174:$H174)+COUNTA($Q174))&gt;0),"",IF($D174="","Propia",IF($V174&lt;&gt;"Macro","Solo se delegan macroactividades",IF(N($AM174)&gt;0,"✔ Recibida por "&amp;$D174,"⚠ "&amp;$D174&amp;" aún no la agrega"))))</f>
        <v/>
      </c>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f>IF(NOT(AND($D174&lt;&gt;"",$V174="Macro")),"",IFERROR(CHOOSE(MATCH($D174,ListaPuestos,0),MATCH("[Jefatura] "&amp;$C174,'Cronograma R. Operacional'!$C$5:$C$1000,0),MATCH("[Jefatura] "&amp;$C174,'Cronograma R. Normativo'!$C$5:$C$1000,0),MATCH("[Jefatura] "&amp;$C174,'Cronograma R. Financiero'!$C$5:$C$1000,0),MATCH("[Jefatura] "&amp;$C174,'Cronograma Asistente Técnico'!$C$5:$C$1000,0)),0))</f>
        <v/>
      </c>
      <c r="AN174" s="62">
        <f>IF(AND(AND($D174&lt;&gt;"",$V174="Macro"),$S174=MesCiclo),COUNTIFS($D$5:$D174,$D174,$S$5:$S174,MesCiclo,$V$5:$V174,"Macro"),"")</f>
        <v/>
      </c>
      <c r="AO174" s="62">
        <f>IF($AN174="","",$D174&amp;"|"&amp;$AN174)</f>
        <v/>
      </c>
      <c r="AP174" s="62">
        <f>IF(AND($D174&lt;&gt;"",$V174="Macro"),$D174&amp;"|"&amp;$C174,"")</f>
        <v/>
      </c>
      <c r="AQ174" s="62">
        <f>""</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t="n"/>
      <c r="F175" s="59" t="n"/>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IF(NOT((COUNTA($B175:$D175)+COUNTA($G175:$H175)+COUNTA($Q175))&gt;0),"",IF(AND($D175&lt;&gt;"",$V175="Macro"),IF(N($AM175)&gt;0,N(CHOOSE(MATCH($D175,ListaPuestos,0),INDEX('Cronograma R. Operacional'!$M$5:$M$1000,$AM175),INDEX('Cronograma R. Normativo'!$M$5:$M$1000,$AM175),INDEX('Cronograma R. Financiero'!$M$5:$M$1000,$AM175),INDEX('Cronograma Asistente Técnico'!$M$5:$M$1000,$AM175))),0),IF(ISNUMBER($G175),1,IF(N($W175)&gt;0,MIN(1,SUMIFS($Y$5:$Y$1000,$U$5:$U$1000,ROW(),$V$5:$V$1000,"Sub")),$Y175))))</f>
        <v/>
      </c>
      <c r="N175" s="56">
        <f>IF(OR($M175="",$V175="Sub"),"",IF($M175&gt;=1,"Completado",IF($M175&gt;0,"En curso","Pendiente")))</f>
        <v/>
      </c>
      <c r="O175" s="56">
        <f>IF(NOT((COUNTA($B175:$D175)+COUNTA($G175:$H175)+COUNTA($Q175))&gt;0),"",IF(AND(AND($D175&lt;&gt;"",$V175="Macro"),N($AM175)&gt;0),CHOOSE(MATCH($D175,ListaPuestos,0),INDEX('Cronograma R. Operacional'!$O$5:$O$1000,$AM175),INDEX('Cronograma R. Normativo'!$O$5:$O$1000,$AM175),INDEX('Cronograma R. Financiero'!$O$5:$O$1000,$AM175),INDEX('Cronograma Asistente Técnico'!$O$5:$O$1000,$AM175))&amp;"",IF(ISNUMBER($G175),IF(AND(ISNUMBER($AS175),$G175&gt;$AS175),"Cumplida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f>IF(NOT((COUNTA($B175:$D175)+COUNTA($G175:$H175)+COUNTA($Q175))&gt;0),"",IF($D175="","Propia",IF($V175&lt;&gt;"Macro","Solo se delegan macroactividades",IF(N($AM175)&gt;0,"✔ Recibida por "&amp;$D175,"⚠ "&amp;$D175&amp;" aún no la agrega"))))</f>
        <v/>
      </c>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f>IF(NOT(AND($D175&lt;&gt;"",$V175="Macro")),"",IFERROR(CHOOSE(MATCH($D175,ListaPuestos,0),MATCH("[Jefatura] "&amp;$C175,'Cronograma R. Operacional'!$C$5:$C$1000,0),MATCH("[Jefatura] "&amp;$C175,'Cronograma R. Normativo'!$C$5:$C$1000,0),MATCH("[Jefatura] "&amp;$C175,'Cronograma R. Financiero'!$C$5:$C$1000,0),MATCH("[Jefatura] "&amp;$C175,'Cronograma Asistente Técnico'!$C$5:$C$1000,0)),0))</f>
        <v/>
      </c>
      <c r="AN175" s="62">
        <f>IF(AND(AND($D175&lt;&gt;"",$V175="Macro"),$S175=MesCiclo),COUNTIFS($D$5:$D175,$D175,$S$5:$S175,MesCiclo,$V$5:$V175,"Macro"),"")</f>
        <v/>
      </c>
      <c r="AO175" s="62">
        <f>IF($AN175="","",$D175&amp;"|"&amp;$AN175)</f>
        <v/>
      </c>
      <c r="AP175" s="62">
        <f>IF(AND($D175&lt;&gt;"",$V175="Macro"),$D175&amp;"|"&amp;$C175,"")</f>
        <v/>
      </c>
      <c r="AQ175" s="62">
        <f>""</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t="n"/>
      <c r="F176" s="59" t="n"/>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IF(NOT((COUNTA($B176:$D176)+COUNTA($G176:$H176)+COUNTA($Q176))&gt;0),"",IF(AND($D176&lt;&gt;"",$V176="Macro"),IF(N($AM176)&gt;0,N(CHOOSE(MATCH($D176,ListaPuestos,0),INDEX('Cronograma R. Operacional'!$M$5:$M$1000,$AM176),INDEX('Cronograma R. Normativo'!$M$5:$M$1000,$AM176),INDEX('Cronograma R. Financiero'!$M$5:$M$1000,$AM176),INDEX('Cronograma Asistente Técnico'!$M$5:$M$1000,$AM176))),0),IF(ISNUMBER($G176),1,IF(N($W176)&gt;0,MIN(1,SUMIFS($Y$5:$Y$1000,$U$5:$U$1000,ROW(),$V$5:$V$1000,"Sub")),$Y176))))</f>
        <v/>
      </c>
      <c r="N176" s="56">
        <f>IF(OR($M176="",$V176="Sub"),"",IF($M176&gt;=1,"Completado",IF($M176&gt;0,"En curso","Pendiente")))</f>
        <v/>
      </c>
      <c r="O176" s="56">
        <f>IF(NOT((COUNTA($B176:$D176)+COUNTA($G176:$H176)+COUNTA($Q176))&gt;0),"",IF(AND(AND($D176&lt;&gt;"",$V176="Macro"),N($AM176)&gt;0),CHOOSE(MATCH($D176,ListaPuestos,0),INDEX('Cronograma R. Operacional'!$O$5:$O$1000,$AM176),INDEX('Cronograma R. Normativo'!$O$5:$O$1000,$AM176),INDEX('Cronograma R. Financiero'!$O$5:$O$1000,$AM176),INDEX('Cronograma Asistente Técnico'!$O$5:$O$1000,$AM176))&amp;"",IF(ISNUMBER($G176),IF(AND(ISNUMBER($AS176),$G176&gt;$AS176),"Cumplida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f>IF(NOT((COUNTA($B176:$D176)+COUNTA($G176:$H176)+COUNTA($Q176))&gt;0),"",IF($D176="","Propia",IF($V176&lt;&gt;"Macro","Solo se delegan macroactividades",IF(N($AM176)&gt;0,"✔ Recibida por "&amp;$D176,"⚠ "&amp;$D176&amp;" aún no la agrega"))))</f>
        <v/>
      </c>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f>IF(NOT(AND($D176&lt;&gt;"",$V176="Macro")),"",IFERROR(CHOOSE(MATCH($D176,ListaPuestos,0),MATCH("[Jefatura] "&amp;$C176,'Cronograma R. Operacional'!$C$5:$C$1000,0),MATCH("[Jefatura] "&amp;$C176,'Cronograma R. Normativo'!$C$5:$C$1000,0),MATCH("[Jefatura] "&amp;$C176,'Cronograma R. Financiero'!$C$5:$C$1000,0),MATCH("[Jefatura] "&amp;$C176,'Cronograma Asistente Técnico'!$C$5:$C$1000,0)),0))</f>
        <v/>
      </c>
      <c r="AN176" s="62">
        <f>IF(AND(AND($D176&lt;&gt;"",$V176="Macro"),$S176=MesCiclo),COUNTIFS($D$5:$D176,$D176,$S$5:$S176,MesCiclo,$V$5:$V176,"Macro"),"")</f>
        <v/>
      </c>
      <c r="AO176" s="62">
        <f>IF($AN176="","",$D176&amp;"|"&amp;$AN176)</f>
        <v/>
      </c>
      <c r="AP176" s="62">
        <f>IF(AND($D176&lt;&gt;"",$V176="Macro"),$D176&amp;"|"&amp;$C176,"")</f>
        <v/>
      </c>
      <c r="AQ176" s="62">
        <f>""</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t="n"/>
      <c r="F177" s="59" t="n"/>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IF(NOT((COUNTA($B177:$D177)+COUNTA($G177:$H177)+COUNTA($Q177))&gt;0),"",IF(AND($D177&lt;&gt;"",$V177="Macro"),IF(N($AM177)&gt;0,N(CHOOSE(MATCH($D177,ListaPuestos,0),INDEX('Cronograma R. Operacional'!$M$5:$M$1000,$AM177),INDEX('Cronograma R. Normativo'!$M$5:$M$1000,$AM177),INDEX('Cronograma R. Financiero'!$M$5:$M$1000,$AM177),INDEX('Cronograma Asistente Técnico'!$M$5:$M$1000,$AM177))),0),IF(ISNUMBER($G177),1,IF(N($W177)&gt;0,MIN(1,SUMIFS($Y$5:$Y$1000,$U$5:$U$1000,ROW(),$V$5:$V$1000,"Sub")),$Y177))))</f>
        <v/>
      </c>
      <c r="N177" s="56">
        <f>IF(OR($M177="",$V177="Sub"),"",IF($M177&gt;=1,"Completado",IF($M177&gt;0,"En curso","Pendiente")))</f>
        <v/>
      </c>
      <c r="O177" s="56">
        <f>IF(NOT((COUNTA($B177:$D177)+COUNTA($G177:$H177)+COUNTA($Q177))&gt;0),"",IF(AND(AND($D177&lt;&gt;"",$V177="Macro"),N($AM177)&gt;0),CHOOSE(MATCH($D177,ListaPuestos,0),INDEX('Cronograma R. Operacional'!$O$5:$O$1000,$AM177),INDEX('Cronograma R. Normativo'!$O$5:$O$1000,$AM177),INDEX('Cronograma R. Financiero'!$O$5:$O$1000,$AM177),INDEX('Cronograma Asistente Técnico'!$O$5:$O$1000,$AM177))&amp;"",IF(ISNUMBER($G177),IF(AND(ISNUMBER($AS177),$G177&gt;$AS177),"Cumplida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f>IF(NOT((COUNTA($B177:$D177)+COUNTA($G177:$H177)+COUNTA($Q177))&gt;0),"",IF($D177="","Propia",IF($V177&lt;&gt;"Macro","Solo se delegan macroactividades",IF(N($AM177)&gt;0,"✔ Recibida por "&amp;$D177,"⚠ "&amp;$D177&amp;" aún no la agrega"))))</f>
        <v/>
      </c>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f>IF(NOT(AND($D177&lt;&gt;"",$V177="Macro")),"",IFERROR(CHOOSE(MATCH($D177,ListaPuestos,0),MATCH("[Jefatura] "&amp;$C177,'Cronograma R. Operacional'!$C$5:$C$1000,0),MATCH("[Jefatura] "&amp;$C177,'Cronograma R. Normativo'!$C$5:$C$1000,0),MATCH("[Jefatura] "&amp;$C177,'Cronograma R. Financiero'!$C$5:$C$1000,0),MATCH("[Jefatura] "&amp;$C177,'Cronograma Asistente Técnico'!$C$5:$C$1000,0)),0))</f>
        <v/>
      </c>
      <c r="AN177" s="62">
        <f>IF(AND(AND($D177&lt;&gt;"",$V177="Macro"),$S177=MesCiclo),COUNTIFS($D$5:$D177,$D177,$S$5:$S177,MesCiclo,$V$5:$V177,"Macro"),"")</f>
        <v/>
      </c>
      <c r="AO177" s="62">
        <f>IF($AN177="","",$D177&amp;"|"&amp;$AN177)</f>
        <v/>
      </c>
      <c r="AP177" s="62">
        <f>IF(AND($D177&lt;&gt;"",$V177="Macro"),$D177&amp;"|"&amp;$C177,"")</f>
        <v/>
      </c>
      <c r="AQ177" s="62">
        <f>""</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t="n"/>
      <c r="F178" s="59" t="n"/>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IF(NOT((COUNTA($B178:$D178)+COUNTA($G178:$H178)+COUNTA($Q178))&gt;0),"",IF(AND($D178&lt;&gt;"",$V178="Macro"),IF(N($AM178)&gt;0,N(CHOOSE(MATCH($D178,ListaPuestos,0),INDEX('Cronograma R. Operacional'!$M$5:$M$1000,$AM178),INDEX('Cronograma R. Normativo'!$M$5:$M$1000,$AM178),INDEX('Cronograma R. Financiero'!$M$5:$M$1000,$AM178),INDEX('Cronograma Asistente Técnico'!$M$5:$M$1000,$AM178))),0),IF(ISNUMBER($G178),1,IF(N($W178)&gt;0,MIN(1,SUMIFS($Y$5:$Y$1000,$U$5:$U$1000,ROW(),$V$5:$V$1000,"Sub")),$Y178))))</f>
        <v/>
      </c>
      <c r="N178" s="56">
        <f>IF(OR($M178="",$V178="Sub"),"",IF($M178&gt;=1,"Completado",IF($M178&gt;0,"En curso","Pendiente")))</f>
        <v/>
      </c>
      <c r="O178" s="56">
        <f>IF(NOT((COUNTA($B178:$D178)+COUNTA($G178:$H178)+COUNTA($Q178))&gt;0),"",IF(AND(AND($D178&lt;&gt;"",$V178="Macro"),N($AM178)&gt;0),CHOOSE(MATCH($D178,ListaPuestos,0),INDEX('Cronograma R. Operacional'!$O$5:$O$1000,$AM178),INDEX('Cronograma R. Normativo'!$O$5:$O$1000,$AM178),INDEX('Cronograma R. Financiero'!$O$5:$O$1000,$AM178),INDEX('Cronograma Asistente Técnico'!$O$5:$O$1000,$AM178))&amp;"",IF(ISNUMBER($G178),IF(AND(ISNUMBER($AS178),$G178&gt;$AS178),"Cumplida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f>IF(NOT((COUNTA($B178:$D178)+COUNTA($G178:$H178)+COUNTA($Q178))&gt;0),"",IF($D178="","Propia",IF($V178&lt;&gt;"Macro","Solo se delegan macroactividades",IF(N($AM178)&gt;0,"✔ Recibida por "&amp;$D178,"⚠ "&amp;$D178&amp;" aún no la agrega"))))</f>
        <v/>
      </c>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f>IF(NOT(AND($D178&lt;&gt;"",$V178="Macro")),"",IFERROR(CHOOSE(MATCH($D178,ListaPuestos,0),MATCH("[Jefatura] "&amp;$C178,'Cronograma R. Operacional'!$C$5:$C$1000,0),MATCH("[Jefatura] "&amp;$C178,'Cronograma R. Normativo'!$C$5:$C$1000,0),MATCH("[Jefatura] "&amp;$C178,'Cronograma R. Financiero'!$C$5:$C$1000,0),MATCH("[Jefatura] "&amp;$C178,'Cronograma Asistente Técnico'!$C$5:$C$1000,0)),0))</f>
        <v/>
      </c>
      <c r="AN178" s="62">
        <f>IF(AND(AND($D178&lt;&gt;"",$V178="Macro"),$S178=MesCiclo),COUNTIFS($D$5:$D178,$D178,$S$5:$S178,MesCiclo,$V$5:$V178,"Macro"),"")</f>
        <v/>
      </c>
      <c r="AO178" s="62">
        <f>IF($AN178="","",$D178&amp;"|"&amp;$AN178)</f>
        <v/>
      </c>
      <c r="AP178" s="62">
        <f>IF(AND($D178&lt;&gt;"",$V178="Macro"),$D178&amp;"|"&amp;$C178,"")</f>
        <v/>
      </c>
      <c r="AQ178" s="62">
        <f>""</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t="n"/>
      <c r="F179" s="59" t="n"/>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IF(NOT((COUNTA($B179:$D179)+COUNTA($G179:$H179)+COUNTA($Q179))&gt;0),"",IF(AND($D179&lt;&gt;"",$V179="Macro"),IF(N($AM179)&gt;0,N(CHOOSE(MATCH($D179,ListaPuestos,0),INDEX('Cronograma R. Operacional'!$M$5:$M$1000,$AM179),INDEX('Cronograma R. Normativo'!$M$5:$M$1000,$AM179),INDEX('Cronograma R. Financiero'!$M$5:$M$1000,$AM179),INDEX('Cronograma Asistente Técnico'!$M$5:$M$1000,$AM179))),0),IF(ISNUMBER($G179),1,IF(N($W179)&gt;0,MIN(1,SUMIFS($Y$5:$Y$1000,$U$5:$U$1000,ROW(),$V$5:$V$1000,"Sub")),$Y179))))</f>
        <v/>
      </c>
      <c r="N179" s="56">
        <f>IF(OR($M179="",$V179="Sub"),"",IF($M179&gt;=1,"Completado",IF($M179&gt;0,"En curso","Pendiente")))</f>
        <v/>
      </c>
      <c r="O179" s="56">
        <f>IF(NOT((COUNTA($B179:$D179)+COUNTA($G179:$H179)+COUNTA($Q179))&gt;0),"",IF(AND(AND($D179&lt;&gt;"",$V179="Macro"),N($AM179)&gt;0),CHOOSE(MATCH($D179,ListaPuestos,0),INDEX('Cronograma R. Operacional'!$O$5:$O$1000,$AM179),INDEX('Cronograma R. Normativo'!$O$5:$O$1000,$AM179),INDEX('Cronograma R. Financiero'!$O$5:$O$1000,$AM179),INDEX('Cronograma Asistente Técnico'!$O$5:$O$1000,$AM179))&amp;"",IF(ISNUMBER($G179),IF(AND(ISNUMBER($AS179),$G179&gt;$AS179),"Cumplida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f>IF(NOT((COUNTA($B179:$D179)+COUNTA($G179:$H179)+COUNTA($Q179))&gt;0),"",IF($D179="","Propia",IF($V179&lt;&gt;"Macro","Solo se delegan macroactividades",IF(N($AM179)&gt;0,"✔ Recibida por "&amp;$D179,"⚠ "&amp;$D179&amp;" aún no la agrega"))))</f>
        <v/>
      </c>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f>IF(NOT(AND($D179&lt;&gt;"",$V179="Macro")),"",IFERROR(CHOOSE(MATCH($D179,ListaPuestos,0),MATCH("[Jefatura] "&amp;$C179,'Cronograma R. Operacional'!$C$5:$C$1000,0),MATCH("[Jefatura] "&amp;$C179,'Cronograma R. Normativo'!$C$5:$C$1000,0),MATCH("[Jefatura] "&amp;$C179,'Cronograma R. Financiero'!$C$5:$C$1000,0),MATCH("[Jefatura] "&amp;$C179,'Cronograma Asistente Técnico'!$C$5:$C$1000,0)),0))</f>
        <v/>
      </c>
      <c r="AN179" s="62">
        <f>IF(AND(AND($D179&lt;&gt;"",$V179="Macro"),$S179=MesCiclo),COUNTIFS($D$5:$D179,$D179,$S$5:$S179,MesCiclo,$V$5:$V179,"Macro"),"")</f>
        <v/>
      </c>
      <c r="AO179" s="62">
        <f>IF($AN179="","",$D179&amp;"|"&amp;$AN179)</f>
        <v/>
      </c>
      <c r="AP179" s="62">
        <f>IF(AND($D179&lt;&gt;"",$V179="Macro"),$D179&amp;"|"&amp;$C179,"")</f>
        <v/>
      </c>
      <c r="AQ179" s="62">
        <f>""</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t="n"/>
      <c r="F180" s="59" t="n"/>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IF(NOT((COUNTA($B180:$D180)+COUNTA($G180:$H180)+COUNTA($Q180))&gt;0),"",IF(AND($D180&lt;&gt;"",$V180="Macro"),IF(N($AM180)&gt;0,N(CHOOSE(MATCH($D180,ListaPuestos,0),INDEX('Cronograma R. Operacional'!$M$5:$M$1000,$AM180),INDEX('Cronograma R. Normativo'!$M$5:$M$1000,$AM180),INDEX('Cronograma R. Financiero'!$M$5:$M$1000,$AM180),INDEX('Cronograma Asistente Técnico'!$M$5:$M$1000,$AM180))),0),IF(ISNUMBER($G180),1,IF(N($W180)&gt;0,MIN(1,SUMIFS($Y$5:$Y$1000,$U$5:$U$1000,ROW(),$V$5:$V$1000,"Sub")),$Y180))))</f>
        <v/>
      </c>
      <c r="N180" s="56">
        <f>IF(OR($M180="",$V180="Sub"),"",IF($M180&gt;=1,"Completado",IF($M180&gt;0,"En curso","Pendiente")))</f>
        <v/>
      </c>
      <c r="O180" s="56">
        <f>IF(NOT((COUNTA($B180:$D180)+COUNTA($G180:$H180)+COUNTA($Q180))&gt;0),"",IF(AND(AND($D180&lt;&gt;"",$V180="Macro"),N($AM180)&gt;0),CHOOSE(MATCH($D180,ListaPuestos,0),INDEX('Cronograma R. Operacional'!$O$5:$O$1000,$AM180),INDEX('Cronograma R. Normativo'!$O$5:$O$1000,$AM180),INDEX('Cronograma R. Financiero'!$O$5:$O$1000,$AM180),INDEX('Cronograma Asistente Técnico'!$O$5:$O$1000,$AM180))&amp;"",IF(ISNUMBER($G180),IF(AND(ISNUMBER($AS180),$G180&gt;$AS180),"Cumplida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f>IF(NOT((COUNTA($B180:$D180)+COUNTA($G180:$H180)+COUNTA($Q180))&gt;0),"",IF($D180="","Propia",IF($V180&lt;&gt;"Macro","Solo se delegan macroactividades",IF(N($AM180)&gt;0,"✔ Recibida por "&amp;$D180,"⚠ "&amp;$D180&amp;" aún no la agrega"))))</f>
        <v/>
      </c>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f>IF(NOT(AND($D180&lt;&gt;"",$V180="Macro")),"",IFERROR(CHOOSE(MATCH($D180,ListaPuestos,0),MATCH("[Jefatura] "&amp;$C180,'Cronograma R. Operacional'!$C$5:$C$1000,0),MATCH("[Jefatura] "&amp;$C180,'Cronograma R. Normativo'!$C$5:$C$1000,0),MATCH("[Jefatura] "&amp;$C180,'Cronograma R. Financiero'!$C$5:$C$1000,0),MATCH("[Jefatura] "&amp;$C180,'Cronograma Asistente Técnico'!$C$5:$C$1000,0)),0))</f>
        <v/>
      </c>
      <c r="AN180" s="62">
        <f>IF(AND(AND($D180&lt;&gt;"",$V180="Macro"),$S180=MesCiclo),COUNTIFS($D$5:$D180,$D180,$S$5:$S180,MesCiclo,$V$5:$V180,"Macro"),"")</f>
        <v/>
      </c>
      <c r="AO180" s="62">
        <f>IF($AN180="","",$D180&amp;"|"&amp;$AN180)</f>
        <v/>
      </c>
      <c r="AP180" s="62">
        <f>IF(AND($D180&lt;&gt;"",$V180="Macro"),$D180&amp;"|"&amp;$C180,"")</f>
        <v/>
      </c>
      <c r="AQ180" s="62">
        <f>""</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t="n"/>
      <c r="F181" s="59" t="n"/>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IF(NOT((COUNTA($B181:$D181)+COUNTA($G181:$H181)+COUNTA($Q181))&gt;0),"",IF(AND($D181&lt;&gt;"",$V181="Macro"),IF(N($AM181)&gt;0,N(CHOOSE(MATCH($D181,ListaPuestos,0),INDEX('Cronograma R. Operacional'!$M$5:$M$1000,$AM181),INDEX('Cronograma R. Normativo'!$M$5:$M$1000,$AM181),INDEX('Cronograma R. Financiero'!$M$5:$M$1000,$AM181),INDEX('Cronograma Asistente Técnico'!$M$5:$M$1000,$AM181))),0),IF(ISNUMBER($G181),1,IF(N($W181)&gt;0,MIN(1,SUMIFS($Y$5:$Y$1000,$U$5:$U$1000,ROW(),$V$5:$V$1000,"Sub")),$Y181))))</f>
        <v/>
      </c>
      <c r="N181" s="56">
        <f>IF(OR($M181="",$V181="Sub"),"",IF($M181&gt;=1,"Completado",IF($M181&gt;0,"En curso","Pendiente")))</f>
        <v/>
      </c>
      <c r="O181" s="56">
        <f>IF(NOT((COUNTA($B181:$D181)+COUNTA($G181:$H181)+COUNTA($Q181))&gt;0),"",IF(AND(AND($D181&lt;&gt;"",$V181="Macro"),N($AM181)&gt;0),CHOOSE(MATCH($D181,ListaPuestos,0),INDEX('Cronograma R. Operacional'!$O$5:$O$1000,$AM181),INDEX('Cronograma R. Normativo'!$O$5:$O$1000,$AM181),INDEX('Cronograma R. Financiero'!$O$5:$O$1000,$AM181),INDEX('Cronograma Asistente Técnico'!$O$5:$O$1000,$AM181))&amp;"",IF(ISNUMBER($G181),IF(AND(ISNUMBER($AS181),$G181&gt;$AS181),"Cumplida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f>IF(NOT((COUNTA($B181:$D181)+COUNTA($G181:$H181)+COUNTA($Q181))&gt;0),"",IF($D181="","Propia",IF($V181&lt;&gt;"Macro","Solo se delegan macroactividades",IF(N($AM181)&gt;0,"✔ Recibida por "&amp;$D181,"⚠ "&amp;$D181&amp;" aún no la agrega"))))</f>
        <v/>
      </c>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f>IF(NOT(AND($D181&lt;&gt;"",$V181="Macro")),"",IFERROR(CHOOSE(MATCH($D181,ListaPuestos,0),MATCH("[Jefatura] "&amp;$C181,'Cronograma R. Operacional'!$C$5:$C$1000,0),MATCH("[Jefatura] "&amp;$C181,'Cronograma R. Normativo'!$C$5:$C$1000,0),MATCH("[Jefatura] "&amp;$C181,'Cronograma R. Financiero'!$C$5:$C$1000,0),MATCH("[Jefatura] "&amp;$C181,'Cronograma Asistente Técnico'!$C$5:$C$1000,0)),0))</f>
        <v/>
      </c>
      <c r="AN181" s="62">
        <f>IF(AND(AND($D181&lt;&gt;"",$V181="Macro"),$S181=MesCiclo),COUNTIFS($D$5:$D181,$D181,$S$5:$S181,MesCiclo,$V$5:$V181,"Macro"),"")</f>
        <v/>
      </c>
      <c r="AO181" s="62">
        <f>IF($AN181="","",$D181&amp;"|"&amp;$AN181)</f>
        <v/>
      </c>
      <c r="AP181" s="62">
        <f>IF(AND($D181&lt;&gt;"",$V181="Macro"),$D181&amp;"|"&amp;$C181,"")</f>
        <v/>
      </c>
      <c r="AQ181" s="62">
        <f>""</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t="n"/>
      <c r="F182" s="59" t="n"/>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IF(NOT((COUNTA($B182:$D182)+COUNTA($G182:$H182)+COUNTA($Q182))&gt;0),"",IF(AND($D182&lt;&gt;"",$V182="Macro"),IF(N($AM182)&gt;0,N(CHOOSE(MATCH($D182,ListaPuestos,0),INDEX('Cronograma R. Operacional'!$M$5:$M$1000,$AM182),INDEX('Cronograma R. Normativo'!$M$5:$M$1000,$AM182),INDEX('Cronograma R. Financiero'!$M$5:$M$1000,$AM182),INDEX('Cronograma Asistente Técnico'!$M$5:$M$1000,$AM182))),0),IF(ISNUMBER($G182),1,IF(N($W182)&gt;0,MIN(1,SUMIFS($Y$5:$Y$1000,$U$5:$U$1000,ROW(),$V$5:$V$1000,"Sub")),$Y182))))</f>
        <v/>
      </c>
      <c r="N182" s="56">
        <f>IF(OR($M182="",$V182="Sub"),"",IF($M182&gt;=1,"Completado",IF($M182&gt;0,"En curso","Pendiente")))</f>
        <v/>
      </c>
      <c r="O182" s="56">
        <f>IF(NOT((COUNTA($B182:$D182)+COUNTA($G182:$H182)+COUNTA($Q182))&gt;0),"",IF(AND(AND($D182&lt;&gt;"",$V182="Macro"),N($AM182)&gt;0),CHOOSE(MATCH($D182,ListaPuestos,0),INDEX('Cronograma R. Operacional'!$O$5:$O$1000,$AM182),INDEX('Cronograma R. Normativo'!$O$5:$O$1000,$AM182),INDEX('Cronograma R. Financiero'!$O$5:$O$1000,$AM182),INDEX('Cronograma Asistente Técnico'!$O$5:$O$1000,$AM182))&amp;"",IF(ISNUMBER($G182),IF(AND(ISNUMBER($AS182),$G182&gt;$AS182),"Cumplida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f>IF(NOT((COUNTA($B182:$D182)+COUNTA($G182:$H182)+COUNTA($Q182))&gt;0),"",IF($D182="","Propia",IF($V182&lt;&gt;"Macro","Solo se delegan macroactividades",IF(N($AM182)&gt;0,"✔ Recibida por "&amp;$D182,"⚠ "&amp;$D182&amp;" aún no la agrega"))))</f>
        <v/>
      </c>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f>IF(NOT(AND($D182&lt;&gt;"",$V182="Macro")),"",IFERROR(CHOOSE(MATCH($D182,ListaPuestos,0),MATCH("[Jefatura] "&amp;$C182,'Cronograma R. Operacional'!$C$5:$C$1000,0),MATCH("[Jefatura] "&amp;$C182,'Cronograma R. Normativo'!$C$5:$C$1000,0),MATCH("[Jefatura] "&amp;$C182,'Cronograma R. Financiero'!$C$5:$C$1000,0),MATCH("[Jefatura] "&amp;$C182,'Cronograma Asistente Técnico'!$C$5:$C$1000,0)),0))</f>
        <v/>
      </c>
      <c r="AN182" s="62">
        <f>IF(AND(AND($D182&lt;&gt;"",$V182="Macro"),$S182=MesCiclo),COUNTIFS($D$5:$D182,$D182,$S$5:$S182,MesCiclo,$V$5:$V182,"Macro"),"")</f>
        <v/>
      </c>
      <c r="AO182" s="62">
        <f>IF($AN182="","",$D182&amp;"|"&amp;$AN182)</f>
        <v/>
      </c>
      <c r="AP182" s="62">
        <f>IF(AND($D182&lt;&gt;"",$V182="Macro"),$D182&amp;"|"&amp;$C182,"")</f>
        <v/>
      </c>
      <c r="AQ182" s="62">
        <f>""</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t="n"/>
      <c r="F183" s="59" t="n"/>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IF(NOT((COUNTA($B183:$D183)+COUNTA($G183:$H183)+COUNTA($Q183))&gt;0),"",IF(AND($D183&lt;&gt;"",$V183="Macro"),IF(N($AM183)&gt;0,N(CHOOSE(MATCH($D183,ListaPuestos,0),INDEX('Cronograma R. Operacional'!$M$5:$M$1000,$AM183),INDEX('Cronograma R. Normativo'!$M$5:$M$1000,$AM183),INDEX('Cronograma R. Financiero'!$M$5:$M$1000,$AM183),INDEX('Cronograma Asistente Técnico'!$M$5:$M$1000,$AM183))),0),IF(ISNUMBER($G183),1,IF(N($W183)&gt;0,MIN(1,SUMIFS($Y$5:$Y$1000,$U$5:$U$1000,ROW(),$V$5:$V$1000,"Sub")),$Y183))))</f>
        <v/>
      </c>
      <c r="N183" s="56">
        <f>IF(OR($M183="",$V183="Sub"),"",IF($M183&gt;=1,"Completado",IF($M183&gt;0,"En curso","Pendiente")))</f>
        <v/>
      </c>
      <c r="O183" s="56">
        <f>IF(NOT((COUNTA($B183:$D183)+COUNTA($G183:$H183)+COUNTA($Q183))&gt;0),"",IF(AND(AND($D183&lt;&gt;"",$V183="Macro"),N($AM183)&gt;0),CHOOSE(MATCH($D183,ListaPuestos,0),INDEX('Cronograma R. Operacional'!$O$5:$O$1000,$AM183),INDEX('Cronograma R. Normativo'!$O$5:$O$1000,$AM183),INDEX('Cronograma R. Financiero'!$O$5:$O$1000,$AM183),INDEX('Cronograma Asistente Técnico'!$O$5:$O$1000,$AM183))&amp;"",IF(ISNUMBER($G183),IF(AND(ISNUMBER($AS183),$G183&gt;$AS183),"Cumplida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f>IF(NOT((COUNTA($B183:$D183)+COUNTA($G183:$H183)+COUNTA($Q183))&gt;0),"",IF($D183="","Propia",IF($V183&lt;&gt;"Macro","Solo se delegan macroactividades",IF(N($AM183)&gt;0,"✔ Recibida por "&amp;$D183,"⚠ "&amp;$D183&amp;" aún no la agrega"))))</f>
        <v/>
      </c>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f>IF(NOT(AND($D183&lt;&gt;"",$V183="Macro")),"",IFERROR(CHOOSE(MATCH($D183,ListaPuestos,0),MATCH("[Jefatura] "&amp;$C183,'Cronograma R. Operacional'!$C$5:$C$1000,0),MATCH("[Jefatura] "&amp;$C183,'Cronograma R. Normativo'!$C$5:$C$1000,0),MATCH("[Jefatura] "&amp;$C183,'Cronograma R. Financiero'!$C$5:$C$1000,0),MATCH("[Jefatura] "&amp;$C183,'Cronograma Asistente Técnico'!$C$5:$C$1000,0)),0))</f>
        <v/>
      </c>
      <c r="AN183" s="62">
        <f>IF(AND(AND($D183&lt;&gt;"",$V183="Macro"),$S183=MesCiclo),COUNTIFS($D$5:$D183,$D183,$S$5:$S183,MesCiclo,$V$5:$V183,"Macro"),"")</f>
        <v/>
      </c>
      <c r="AO183" s="62">
        <f>IF($AN183="","",$D183&amp;"|"&amp;$AN183)</f>
        <v/>
      </c>
      <c r="AP183" s="62">
        <f>IF(AND($D183&lt;&gt;"",$V183="Macro"),$D183&amp;"|"&amp;$C183,"")</f>
        <v/>
      </c>
      <c r="AQ183" s="62">
        <f>""</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t="n"/>
      <c r="F184" s="59" t="n"/>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IF(NOT((COUNTA($B184:$D184)+COUNTA($G184:$H184)+COUNTA($Q184))&gt;0),"",IF(AND($D184&lt;&gt;"",$V184="Macro"),IF(N($AM184)&gt;0,N(CHOOSE(MATCH($D184,ListaPuestos,0),INDEX('Cronograma R. Operacional'!$M$5:$M$1000,$AM184),INDEX('Cronograma R. Normativo'!$M$5:$M$1000,$AM184),INDEX('Cronograma R. Financiero'!$M$5:$M$1000,$AM184),INDEX('Cronograma Asistente Técnico'!$M$5:$M$1000,$AM184))),0),IF(ISNUMBER($G184),1,IF(N($W184)&gt;0,MIN(1,SUMIFS($Y$5:$Y$1000,$U$5:$U$1000,ROW(),$V$5:$V$1000,"Sub")),$Y184))))</f>
        <v/>
      </c>
      <c r="N184" s="56">
        <f>IF(OR($M184="",$V184="Sub"),"",IF($M184&gt;=1,"Completado",IF($M184&gt;0,"En curso","Pendiente")))</f>
        <v/>
      </c>
      <c r="O184" s="56">
        <f>IF(NOT((COUNTA($B184:$D184)+COUNTA($G184:$H184)+COUNTA($Q184))&gt;0),"",IF(AND(AND($D184&lt;&gt;"",$V184="Macro"),N($AM184)&gt;0),CHOOSE(MATCH($D184,ListaPuestos,0),INDEX('Cronograma R. Operacional'!$O$5:$O$1000,$AM184),INDEX('Cronograma R. Normativo'!$O$5:$O$1000,$AM184),INDEX('Cronograma R. Financiero'!$O$5:$O$1000,$AM184),INDEX('Cronograma Asistente Técnico'!$O$5:$O$1000,$AM184))&amp;"",IF(ISNUMBER($G184),IF(AND(ISNUMBER($AS184),$G184&gt;$AS184),"Cumplida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f>IF(NOT((COUNTA($B184:$D184)+COUNTA($G184:$H184)+COUNTA($Q184))&gt;0),"",IF($D184="","Propia",IF($V184&lt;&gt;"Macro","Solo se delegan macroactividades",IF(N($AM184)&gt;0,"✔ Recibida por "&amp;$D184,"⚠ "&amp;$D184&amp;" aún no la agrega"))))</f>
        <v/>
      </c>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f>IF(NOT(AND($D184&lt;&gt;"",$V184="Macro")),"",IFERROR(CHOOSE(MATCH($D184,ListaPuestos,0),MATCH("[Jefatura] "&amp;$C184,'Cronograma R. Operacional'!$C$5:$C$1000,0),MATCH("[Jefatura] "&amp;$C184,'Cronograma R. Normativo'!$C$5:$C$1000,0),MATCH("[Jefatura] "&amp;$C184,'Cronograma R. Financiero'!$C$5:$C$1000,0),MATCH("[Jefatura] "&amp;$C184,'Cronograma Asistente Técnico'!$C$5:$C$1000,0)),0))</f>
        <v/>
      </c>
      <c r="AN184" s="62">
        <f>IF(AND(AND($D184&lt;&gt;"",$V184="Macro"),$S184=MesCiclo),COUNTIFS($D$5:$D184,$D184,$S$5:$S184,MesCiclo,$V$5:$V184,"Macro"),"")</f>
        <v/>
      </c>
      <c r="AO184" s="62">
        <f>IF($AN184="","",$D184&amp;"|"&amp;$AN184)</f>
        <v/>
      </c>
      <c r="AP184" s="62">
        <f>IF(AND($D184&lt;&gt;"",$V184="Macro"),$D184&amp;"|"&amp;$C184,"")</f>
        <v/>
      </c>
      <c r="AQ184" s="62">
        <f>""</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t="n"/>
      <c r="F185" s="59" t="n"/>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IF(NOT((COUNTA($B185:$D185)+COUNTA($G185:$H185)+COUNTA($Q185))&gt;0),"",IF(AND($D185&lt;&gt;"",$V185="Macro"),IF(N($AM185)&gt;0,N(CHOOSE(MATCH($D185,ListaPuestos,0),INDEX('Cronograma R. Operacional'!$M$5:$M$1000,$AM185),INDEX('Cronograma R. Normativo'!$M$5:$M$1000,$AM185),INDEX('Cronograma R. Financiero'!$M$5:$M$1000,$AM185),INDEX('Cronograma Asistente Técnico'!$M$5:$M$1000,$AM185))),0),IF(ISNUMBER($G185),1,IF(N($W185)&gt;0,MIN(1,SUMIFS($Y$5:$Y$1000,$U$5:$U$1000,ROW(),$V$5:$V$1000,"Sub")),$Y185))))</f>
        <v/>
      </c>
      <c r="N185" s="56">
        <f>IF(OR($M185="",$V185="Sub"),"",IF($M185&gt;=1,"Completado",IF($M185&gt;0,"En curso","Pendiente")))</f>
        <v/>
      </c>
      <c r="O185" s="56">
        <f>IF(NOT((COUNTA($B185:$D185)+COUNTA($G185:$H185)+COUNTA($Q185))&gt;0),"",IF(AND(AND($D185&lt;&gt;"",$V185="Macro"),N($AM185)&gt;0),CHOOSE(MATCH($D185,ListaPuestos,0),INDEX('Cronograma R. Operacional'!$O$5:$O$1000,$AM185),INDEX('Cronograma R. Normativo'!$O$5:$O$1000,$AM185),INDEX('Cronograma R. Financiero'!$O$5:$O$1000,$AM185),INDEX('Cronograma Asistente Técnico'!$O$5:$O$1000,$AM185))&amp;"",IF(ISNUMBER($G185),IF(AND(ISNUMBER($AS185),$G185&gt;$AS185),"Cumplida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f>IF(NOT((COUNTA($B185:$D185)+COUNTA($G185:$H185)+COUNTA($Q185))&gt;0),"",IF($D185="","Propia",IF($V185&lt;&gt;"Macro","Solo se delegan macroactividades",IF(N($AM185)&gt;0,"✔ Recibida por "&amp;$D185,"⚠ "&amp;$D185&amp;" aún no la agrega"))))</f>
        <v/>
      </c>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f>IF(NOT(AND($D185&lt;&gt;"",$V185="Macro")),"",IFERROR(CHOOSE(MATCH($D185,ListaPuestos,0),MATCH("[Jefatura] "&amp;$C185,'Cronograma R. Operacional'!$C$5:$C$1000,0),MATCH("[Jefatura] "&amp;$C185,'Cronograma R. Normativo'!$C$5:$C$1000,0),MATCH("[Jefatura] "&amp;$C185,'Cronograma R. Financiero'!$C$5:$C$1000,0),MATCH("[Jefatura] "&amp;$C185,'Cronograma Asistente Técnico'!$C$5:$C$1000,0)),0))</f>
        <v/>
      </c>
      <c r="AN185" s="62">
        <f>IF(AND(AND($D185&lt;&gt;"",$V185="Macro"),$S185=MesCiclo),COUNTIFS($D$5:$D185,$D185,$S$5:$S185,MesCiclo,$V$5:$V185,"Macro"),"")</f>
        <v/>
      </c>
      <c r="AO185" s="62">
        <f>IF($AN185="","",$D185&amp;"|"&amp;$AN185)</f>
        <v/>
      </c>
      <c r="AP185" s="62">
        <f>IF(AND($D185&lt;&gt;"",$V185="Macro"),$D185&amp;"|"&amp;$C185,"")</f>
        <v/>
      </c>
      <c r="AQ185" s="62">
        <f>""</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t="n"/>
      <c r="F186" s="59" t="n"/>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IF(NOT((COUNTA($B186:$D186)+COUNTA($G186:$H186)+COUNTA($Q186))&gt;0),"",IF(AND($D186&lt;&gt;"",$V186="Macro"),IF(N($AM186)&gt;0,N(CHOOSE(MATCH($D186,ListaPuestos,0),INDEX('Cronograma R. Operacional'!$M$5:$M$1000,$AM186),INDEX('Cronograma R. Normativo'!$M$5:$M$1000,$AM186),INDEX('Cronograma R. Financiero'!$M$5:$M$1000,$AM186),INDEX('Cronograma Asistente Técnico'!$M$5:$M$1000,$AM186))),0),IF(ISNUMBER($G186),1,IF(N($W186)&gt;0,MIN(1,SUMIFS($Y$5:$Y$1000,$U$5:$U$1000,ROW(),$V$5:$V$1000,"Sub")),$Y186))))</f>
        <v/>
      </c>
      <c r="N186" s="56">
        <f>IF(OR($M186="",$V186="Sub"),"",IF($M186&gt;=1,"Completado",IF($M186&gt;0,"En curso","Pendiente")))</f>
        <v/>
      </c>
      <c r="O186" s="56">
        <f>IF(NOT((COUNTA($B186:$D186)+COUNTA($G186:$H186)+COUNTA($Q186))&gt;0),"",IF(AND(AND($D186&lt;&gt;"",$V186="Macro"),N($AM186)&gt;0),CHOOSE(MATCH($D186,ListaPuestos,0),INDEX('Cronograma R. Operacional'!$O$5:$O$1000,$AM186),INDEX('Cronograma R. Normativo'!$O$5:$O$1000,$AM186),INDEX('Cronograma R. Financiero'!$O$5:$O$1000,$AM186),INDEX('Cronograma Asistente Técnico'!$O$5:$O$1000,$AM186))&amp;"",IF(ISNUMBER($G186),IF(AND(ISNUMBER($AS186),$G186&gt;$AS186),"Cumplida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f>IF(NOT((COUNTA($B186:$D186)+COUNTA($G186:$H186)+COUNTA($Q186))&gt;0),"",IF($D186="","Propia",IF($V186&lt;&gt;"Macro","Solo se delegan macroactividades",IF(N($AM186)&gt;0,"✔ Recibida por "&amp;$D186,"⚠ "&amp;$D186&amp;" aún no la agrega"))))</f>
        <v/>
      </c>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f>IF(NOT(AND($D186&lt;&gt;"",$V186="Macro")),"",IFERROR(CHOOSE(MATCH($D186,ListaPuestos,0),MATCH("[Jefatura] "&amp;$C186,'Cronograma R. Operacional'!$C$5:$C$1000,0),MATCH("[Jefatura] "&amp;$C186,'Cronograma R. Normativo'!$C$5:$C$1000,0),MATCH("[Jefatura] "&amp;$C186,'Cronograma R. Financiero'!$C$5:$C$1000,0),MATCH("[Jefatura] "&amp;$C186,'Cronograma Asistente Técnico'!$C$5:$C$1000,0)),0))</f>
        <v/>
      </c>
      <c r="AN186" s="62">
        <f>IF(AND(AND($D186&lt;&gt;"",$V186="Macro"),$S186=MesCiclo),COUNTIFS($D$5:$D186,$D186,$S$5:$S186,MesCiclo,$V$5:$V186,"Macro"),"")</f>
        <v/>
      </c>
      <c r="AO186" s="62">
        <f>IF($AN186="","",$D186&amp;"|"&amp;$AN186)</f>
        <v/>
      </c>
      <c r="AP186" s="62">
        <f>IF(AND($D186&lt;&gt;"",$V186="Macro"),$D186&amp;"|"&amp;$C186,"")</f>
        <v/>
      </c>
      <c r="AQ186" s="62">
        <f>""</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t="n"/>
      <c r="F187" s="59" t="n"/>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IF(NOT((COUNTA($B187:$D187)+COUNTA($G187:$H187)+COUNTA($Q187))&gt;0),"",IF(AND($D187&lt;&gt;"",$V187="Macro"),IF(N($AM187)&gt;0,N(CHOOSE(MATCH($D187,ListaPuestos,0),INDEX('Cronograma R. Operacional'!$M$5:$M$1000,$AM187),INDEX('Cronograma R. Normativo'!$M$5:$M$1000,$AM187),INDEX('Cronograma R. Financiero'!$M$5:$M$1000,$AM187),INDEX('Cronograma Asistente Técnico'!$M$5:$M$1000,$AM187))),0),IF(ISNUMBER($G187),1,IF(N($W187)&gt;0,MIN(1,SUMIFS($Y$5:$Y$1000,$U$5:$U$1000,ROW(),$V$5:$V$1000,"Sub")),$Y187))))</f>
        <v/>
      </c>
      <c r="N187" s="56">
        <f>IF(OR($M187="",$V187="Sub"),"",IF($M187&gt;=1,"Completado",IF($M187&gt;0,"En curso","Pendiente")))</f>
        <v/>
      </c>
      <c r="O187" s="56">
        <f>IF(NOT((COUNTA($B187:$D187)+COUNTA($G187:$H187)+COUNTA($Q187))&gt;0),"",IF(AND(AND($D187&lt;&gt;"",$V187="Macro"),N($AM187)&gt;0),CHOOSE(MATCH($D187,ListaPuestos,0),INDEX('Cronograma R. Operacional'!$O$5:$O$1000,$AM187),INDEX('Cronograma R. Normativo'!$O$5:$O$1000,$AM187),INDEX('Cronograma R. Financiero'!$O$5:$O$1000,$AM187),INDEX('Cronograma Asistente Técnico'!$O$5:$O$1000,$AM187))&amp;"",IF(ISNUMBER($G187),IF(AND(ISNUMBER($AS187),$G187&gt;$AS187),"Cumplida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f>IF(NOT((COUNTA($B187:$D187)+COUNTA($G187:$H187)+COUNTA($Q187))&gt;0),"",IF($D187="","Propia",IF($V187&lt;&gt;"Macro","Solo se delegan macroactividades",IF(N($AM187)&gt;0,"✔ Recibida por "&amp;$D187,"⚠ "&amp;$D187&amp;" aún no la agrega"))))</f>
        <v/>
      </c>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f>IF(NOT(AND($D187&lt;&gt;"",$V187="Macro")),"",IFERROR(CHOOSE(MATCH($D187,ListaPuestos,0),MATCH("[Jefatura] "&amp;$C187,'Cronograma R. Operacional'!$C$5:$C$1000,0),MATCH("[Jefatura] "&amp;$C187,'Cronograma R. Normativo'!$C$5:$C$1000,0),MATCH("[Jefatura] "&amp;$C187,'Cronograma R. Financiero'!$C$5:$C$1000,0),MATCH("[Jefatura] "&amp;$C187,'Cronograma Asistente Técnico'!$C$5:$C$1000,0)),0))</f>
        <v/>
      </c>
      <c r="AN187" s="62">
        <f>IF(AND(AND($D187&lt;&gt;"",$V187="Macro"),$S187=MesCiclo),COUNTIFS($D$5:$D187,$D187,$S$5:$S187,MesCiclo,$V$5:$V187,"Macro"),"")</f>
        <v/>
      </c>
      <c r="AO187" s="62">
        <f>IF($AN187="","",$D187&amp;"|"&amp;$AN187)</f>
        <v/>
      </c>
      <c r="AP187" s="62">
        <f>IF(AND($D187&lt;&gt;"",$V187="Macro"),$D187&amp;"|"&amp;$C187,"")</f>
        <v/>
      </c>
      <c r="AQ187" s="62">
        <f>""</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t="n"/>
      <c r="F188" s="59" t="n"/>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IF(NOT((COUNTA($B188:$D188)+COUNTA($G188:$H188)+COUNTA($Q188))&gt;0),"",IF(AND($D188&lt;&gt;"",$V188="Macro"),IF(N($AM188)&gt;0,N(CHOOSE(MATCH($D188,ListaPuestos,0),INDEX('Cronograma R. Operacional'!$M$5:$M$1000,$AM188),INDEX('Cronograma R. Normativo'!$M$5:$M$1000,$AM188),INDEX('Cronograma R. Financiero'!$M$5:$M$1000,$AM188),INDEX('Cronograma Asistente Técnico'!$M$5:$M$1000,$AM188))),0),IF(ISNUMBER($G188),1,IF(N($W188)&gt;0,MIN(1,SUMIFS($Y$5:$Y$1000,$U$5:$U$1000,ROW(),$V$5:$V$1000,"Sub")),$Y188))))</f>
        <v/>
      </c>
      <c r="N188" s="56">
        <f>IF(OR($M188="",$V188="Sub"),"",IF($M188&gt;=1,"Completado",IF($M188&gt;0,"En curso","Pendiente")))</f>
        <v/>
      </c>
      <c r="O188" s="56">
        <f>IF(NOT((COUNTA($B188:$D188)+COUNTA($G188:$H188)+COUNTA($Q188))&gt;0),"",IF(AND(AND($D188&lt;&gt;"",$V188="Macro"),N($AM188)&gt;0),CHOOSE(MATCH($D188,ListaPuestos,0),INDEX('Cronograma R. Operacional'!$O$5:$O$1000,$AM188),INDEX('Cronograma R. Normativo'!$O$5:$O$1000,$AM188),INDEX('Cronograma R. Financiero'!$O$5:$O$1000,$AM188),INDEX('Cronograma Asistente Técnico'!$O$5:$O$1000,$AM188))&amp;"",IF(ISNUMBER($G188),IF(AND(ISNUMBER($AS188),$G188&gt;$AS188),"Cumplida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f>IF(NOT((COUNTA($B188:$D188)+COUNTA($G188:$H188)+COUNTA($Q188))&gt;0),"",IF($D188="","Propia",IF($V188&lt;&gt;"Macro","Solo se delegan macroactividades",IF(N($AM188)&gt;0,"✔ Recibida por "&amp;$D188,"⚠ "&amp;$D188&amp;" aún no la agrega"))))</f>
        <v/>
      </c>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f>IF(NOT(AND($D188&lt;&gt;"",$V188="Macro")),"",IFERROR(CHOOSE(MATCH($D188,ListaPuestos,0),MATCH("[Jefatura] "&amp;$C188,'Cronograma R. Operacional'!$C$5:$C$1000,0),MATCH("[Jefatura] "&amp;$C188,'Cronograma R. Normativo'!$C$5:$C$1000,0),MATCH("[Jefatura] "&amp;$C188,'Cronograma R. Financiero'!$C$5:$C$1000,0),MATCH("[Jefatura] "&amp;$C188,'Cronograma Asistente Técnico'!$C$5:$C$1000,0)),0))</f>
        <v/>
      </c>
      <c r="AN188" s="62">
        <f>IF(AND(AND($D188&lt;&gt;"",$V188="Macro"),$S188=MesCiclo),COUNTIFS($D$5:$D188,$D188,$S$5:$S188,MesCiclo,$V$5:$V188,"Macro"),"")</f>
        <v/>
      </c>
      <c r="AO188" s="62">
        <f>IF($AN188="","",$D188&amp;"|"&amp;$AN188)</f>
        <v/>
      </c>
      <c r="AP188" s="62">
        <f>IF(AND($D188&lt;&gt;"",$V188="Macro"),$D188&amp;"|"&amp;$C188,"")</f>
        <v/>
      </c>
      <c r="AQ188" s="62">
        <f>""</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t="n"/>
      <c r="F189" s="59" t="n"/>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IF(NOT((COUNTA($B189:$D189)+COUNTA($G189:$H189)+COUNTA($Q189))&gt;0),"",IF(AND($D189&lt;&gt;"",$V189="Macro"),IF(N($AM189)&gt;0,N(CHOOSE(MATCH($D189,ListaPuestos,0),INDEX('Cronograma R. Operacional'!$M$5:$M$1000,$AM189),INDEX('Cronograma R. Normativo'!$M$5:$M$1000,$AM189),INDEX('Cronograma R. Financiero'!$M$5:$M$1000,$AM189),INDEX('Cronograma Asistente Técnico'!$M$5:$M$1000,$AM189))),0),IF(ISNUMBER($G189),1,IF(N($W189)&gt;0,MIN(1,SUMIFS($Y$5:$Y$1000,$U$5:$U$1000,ROW(),$V$5:$V$1000,"Sub")),$Y189))))</f>
        <v/>
      </c>
      <c r="N189" s="56">
        <f>IF(OR($M189="",$V189="Sub"),"",IF($M189&gt;=1,"Completado",IF($M189&gt;0,"En curso","Pendiente")))</f>
        <v/>
      </c>
      <c r="O189" s="56">
        <f>IF(NOT((COUNTA($B189:$D189)+COUNTA($G189:$H189)+COUNTA($Q189))&gt;0),"",IF(AND(AND($D189&lt;&gt;"",$V189="Macro"),N($AM189)&gt;0),CHOOSE(MATCH($D189,ListaPuestos,0),INDEX('Cronograma R. Operacional'!$O$5:$O$1000,$AM189),INDEX('Cronograma R. Normativo'!$O$5:$O$1000,$AM189),INDEX('Cronograma R. Financiero'!$O$5:$O$1000,$AM189),INDEX('Cronograma Asistente Técnico'!$O$5:$O$1000,$AM189))&amp;"",IF(ISNUMBER($G189),IF(AND(ISNUMBER($AS189),$G189&gt;$AS189),"Cumplida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f>IF(NOT((COUNTA($B189:$D189)+COUNTA($G189:$H189)+COUNTA($Q189))&gt;0),"",IF($D189="","Propia",IF($V189&lt;&gt;"Macro","Solo se delegan macroactividades",IF(N($AM189)&gt;0,"✔ Recibida por "&amp;$D189,"⚠ "&amp;$D189&amp;" aún no la agrega"))))</f>
        <v/>
      </c>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f>IF(NOT(AND($D189&lt;&gt;"",$V189="Macro")),"",IFERROR(CHOOSE(MATCH($D189,ListaPuestos,0),MATCH("[Jefatura] "&amp;$C189,'Cronograma R. Operacional'!$C$5:$C$1000,0),MATCH("[Jefatura] "&amp;$C189,'Cronograma R. Normativo'!$C$5:$C$1000,0),MATCH("[Jefatura] "&amp;$C189,'Cronograma R. Financiero'!$C$5:$C$1000,0),MATCH("[Jefatura] "&amp;$C189,'Cronograma Asistente Técnico'!$C$5:$C$1000,0)),0))</f>
        <v/>
      </c>
      <c r="AN189" s="62">
        <f>IF(AND(AND($D189&lt;&gt;"",$V189="Macro"),$S189=MesCiclo),COUNTIFS($D$5:$D189,$D189,$S$5:$S189,MesCiclo,$V$5:$V189,"Macro"),"")</f>
        <v/>
      </c>
      <c r="AO189" s="62">
        <f>IF($AN189="","",$D189&amp;"|"&amp;$AN189)</f>
        <v/>
      </c>
      <c r="AP189" s="62">
        <f>IF(AND($D189&lt;&gt;"",$V189="Macro"),$D189&amp;"|"&amp;$C189,"")</f>
        <v/>
      </c>
      <c r="AQ189" s="62">
        <f>""</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t="n"/>
      <c r="F190" s="59" t="n"/>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IF(NOT((COUNTA($B190:$D190)+COUNTA($G190:$H190)+COUNTA($Q190))&gt;0),"",IF(AND($D190&lt;&gt;"",$V190="Macro"),IF(N($AM190)&gt;0,N(CHOOSE(MATCH($D190,ListaPuestos,0),INDEX('Cronograma R. Operacional'!$M$5:$M$1000,$AM190),INDEX('Cronograma R. Normativo'!$M$5:$M$1000,$AM190),INDEX('Cronograma R. Financiero'!$M$5:$M$1000,$AM190),INDEX('Cronograma Asistente Técnico'!$M$5:$M$1000,$AM190))),0),IF(ISNUMBER($G190),1,IF(N($W190)&gt;0,MIN(1,SUMIFS($Y$5:$Y$1000,$U$5:$U$1000,ROW(),$V$5:$V$1000,"Sub")),$Y190))))</f>
        <v/>
      </c>
      <c r="N190" s="56">
        <f>IF(OR($M190="",$V190="Sub"),"",IF($M190&gt;=1,"Completado",IF($M190&gt;0,"En curso","Pendiente")))</f>
        <v/>
      </c>
      <c r="O190" s="56">
        <f>IF(NOT((COUNTA($B190:$D190)+COUNTA($G190:$H190)+COUNTA($Q190))&gt;0),"",IF(AND(AND($D190&lt;&gt;"",$V190="Macro"),N($AM190)&gt;0),CHOOSE(MATCH($D190,ListaPuestos,0),INDEX('Cronograma R. Operacional'!$O$5:$O$1000,$AM190),INDEX('Cronograma R. Normativo'!$O$5:$O$1000,$AM190),INDEX('Cronograma R. Financiero'!$O$5:$O$1000,$AM190),INDEX('Cronograma Asistente Técnico'!$O$5:$O$1000,$AM190))&amp;"",IF(ISNUMBER($G190),IF(AND(ISNUMBER($AS190),$G190&gt;$AS190),"Cumplida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f>IF(NOT((COUNTA($B190:$D190)+COUNTA($G190:$H190)+COUNTA($Q190))&gt;0),"",IF($D190="","Propia",IF($V190&lt;&gt;"Macro","Solo se delegan macroactividades",IF(N($AM190)&gt;0,"✔ Recibida por "&amp;$D190,"⚠ "&amp;$D190&amp;" aún no la agrega"))))</f>
        <v/>
      </c>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f>IF(NOT(AND($D190&lt;&gt;"",$V190="Macro")),"",IFERROR(CHOOSE(MATCH($D190,ListaPuestos,0),MATCH("[Jefatura] "&amp;$C190,'Cronograma R. Operacional'!$C$5:$C$1000,0),MATCH("[Jefatura] "&amp;$C190,'Cronograma R. Normativo'!$C$5:$C$1000,0),MATCH("[Jefatura] "&amp;$C190,'Cronograma R. Financiero'!$C$5:$C$1000,0),MATCH("[Jefatura] "&amp;$C190,'Cronograma Asistente Técnico'!$C$5:$C$1000,0)),0))</f>
        <v/>
      </c>
      <c r="AN190" s="62">
        <f>IF(AND(AND($D190&lt;&gt;"",$V190="Macro"),$S190=MesCiclo),COUNTIFS($D$5:$D190,$D190,$S$5:$S190,MesCiclo,$V$5:$V190,"Macro"),"")</f>
        <v/>
      </c>
      <c r="AO190" s="62">
        <f>IF($AN190="","",$D190&amp;"|"&amp;$AN190)</f>
        <v/>
      </c>
      <c r="AP190" s="62">
        <f>IF(AND($D190&lt;&gt;"",$V190="Macro"),$D190&amp;"|"&amp;$C190,"")</f>
        <v/>
      </c>
      <c r="AQ190" s="62">
        <f>""</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t="n"/>
      <c r="F191" s="59" t="n"/>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IF(NOT((COUNTA($B191:$D191)+COUNTA($G191:$H191)+COUNTA($Q191))&gt;0),"",IF(AND($D191&lt;&gt;"",$V191="Macro"),IF(N($AM191)&gt;0,N(CHOOSE(MATCH($D191,ListaPuestos,0),INDEX('Cronograma R. Operacional'!$M$5:$M$1000,$AM191),INDEX('Cronograma R. Normativo'!$M$5:$M$1000,$AM191),INDEX('Cronograma R. Financiero'!$M$5:$M$1000,$AM191),INDEX('Cronograma Asistente Técnico'!$M$5:$M$1000,$AM191))),0),IF(ISNUMBER($G191),1,IF(N($W191)&gt;0,MIN(1,SUMIFS($Y$5:$Y$1000,$U$5:$U$1000,ROW(),$V$5:$V$1000,"Sub")),$Y191))))</f>
        <v/>
      </c>
      <c r="N191" s="56">
        <f>IF(OR($M191="",$V191="Sub"),"",IF($M191&gt;=1,"Completado",IF($M191&gt;0,"En curso","Pendiente")))</f>
        <v/>
      </c>
      <c r="O191" s="56">
        <f>IF(NOT((COUNTA($B191:$D191)+COUNTA($G191:$H191)+COUNTA($Q191))&gt;0),"",IF(AND(AND($D191&lt;&gt;"",$V191="Macro"),N($AM191)&gt;0),CHOOSE(MATCH($D191,ListaPuestos,0),INDEX('Cronograma R. Operacional'!$O$5:$O$1000,$AM191),INDEX('Cronograma R. Normativo'!$O$5:$O$1000,$AM191),INDEX('Cronograma R. Financiero'!$O$5:$O$1000,$AM191),INDEX('Cronograma Asistente Técnico'!$O$5:$O$1000,$AM191))&amp;"",IF(ISNUMBER($G191),IF(AND(ISNUMBER($AS191),$G191&gt;$AS191),"Cumplida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f>IF(NOT((COUNTA($B191:$D191)+COUNTA($G191:$H191)+COUNTA($Q191))&gt;0),"",IF($D191="","Propia",IF($V191&lt;&gt;"Macro","Solo se delegan macroactividades",IF(N($AM191)&gt;0,"✔ Recibida por "&amp;$D191,"⚠ "&amp;$D191&amp;" aún no la agrega"))))</f>
        <v/>
      </c>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f>IF(NOT(AND($D191&lt;&gt;"",$V191="Macro")),"",IFERROR(CHOOSE(MATCH($D191,ListaPuestos,0),MATCH("[Jefatura] "&amp;$C191,'Cronograma R. Operacional'!$C$5:$C$1000,0),MATCH("[Jefatura] "&amp;$C191,'Cronograma R. Normativo'!$C$5:$C$1000,0),MATCH("[Jefatura] "&amp;$C191,'Cronograma R. Financiero'!$C$5:$C$1000,0),MATCH("[Jefatura] "&amp;$C191,'Cronograma Asistente Técnico'!$C$5:$C$1000,0)),0))</f>
        <v/>
      </c>
      <c r="AN191" s="62">
        <f>IF(AND(AND($D191&lt;&gt;"",$V191="Macro"),$S191=MesCiclo),COUNTIFS($D$5:$D191,$D191,$S$5:$S191,MesCiclo,$V$5:$V191,"Macro"),"")</f>
        <v/>
      </c>
      <c r="AO191" s="62">
        <f>IF($AN191="","",$D191&amp;"|"&amp;$AN191)</f>
        <v/>
      </c>
      <c r="AP191" s="62">
        <f>IF(AND($D191&lt;&gt;"",$V191="Macro"),$D191&amp;"|"&amp;$C191,"")</f>
        <v/>
      </c>
      <c r="AQ191" s="62">
        <f>""</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t="n"/>
      <c r="F192" s="59" t="n"/>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IF(NOT((COUNTA($B192:$D192)+COUNTA($G192:$H192)+COUNTA($Q192))&gt;0),"",IF(AND($D192&lt;&gt;"",$V192="Macro"),IF(N($AM192)&gt;0,N(CHOOSE(MATCH($D192,ListaPuestos,0),INDEX('Cronograma R. Operacional'!$M$5:$M$1000,$AM192),INDEX('Cronograma R. Normativo'!$M$5:$M$1000,$AM192),INDEX('Cronograma R. Financiero'!$M$5:$M$1000,$AM192),INDEX('Cronograma Asistente Técnico'!$M$5:$M$1000,$AM192))),0),IF(ISNUMBER($G192),1,IF(N($W192)&gt;0,MIN(1,SUMIFS($Y$5:$Y$1000,$U$5:$U$1000,ROW(),$V$5:$V$1000,"Sub")),$Y192))))</f>
        <v/>
      </c>
      <c r="N192" s="56">
        <f>IF(OR($M192="",$V192="Sub"),"",IF($M192&gt;=1,"Completado",IF($M192&gt;0,"En curso","Pendiente")))</f>
        <v/>
      </c>
      <c r="O192" s="56">
        <f>IF(NOT((COUNTA($B192:$D192)+COUNTA($G192:$H192)+COUNTA($Q192))&gt;0),"",IF(AND(AND($D192&lt;&gt;"",$V192="Macro"),N($AM192)&gt;0),CHOOSE(MATCH($D192,ListaPuestos,0),INDEX('Cronograma R. Operacional'!$O$5:$O$1000,$AM192),INDEX('Cronograma R. Normativo'!$O$5:$O$1000,$AM192),INDEX('Cronograma R. Financiero'!$O$5:$O$1000,$AM192),INDEX('Cronograma Asistente Técnico'!$O$5:$O$1000,$AM192))&amp;"",IF(ISNUMBER($G192),IF(AND(ISNUMBER($AS192),$G192&gt;$AS192),"Cumplida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f>IF(NOT((COUNTA($B192:$D192)+COUNTA($G192:$H192)+COUNTA($Q192))&gt;0),"",IF($D192="","Propia",IF($V192&lt;&gt;"Macro","Solo se delegan macroactividades",IF(N($AM192)&gt;0,"✔ Recibida por "&amp;$D192,"⚠ "&amp;$D192&amp;" aún no la agrega"))))</f>
        <v/>
      </c>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f>IF(NOT(AND($D192&lt;&gt;"",$V192="Macro")),"",IFERROR(CHOOSE(MATCH($D192,ListaPuestos,0),MATCH("[Jefatura] "&amp;$C192,'Cronograma R. Operacional'!$C$5:$C$1000,0),MATCH("[Jefatura] "&amp;$C192,'Cronograma R. Normativo'!$C$5:$C$1000,0),MATCH("[Jefatura] "&amp;$C192,'Cronograma R. Financiero'!$C$5:$C$1000,0),MATCH("[Jefatura] "&amp;$C192,'Cronograma Asistente Técnico'!$C$5:$C$1000,0)),0))</f>
        <v/>
      </c>
      <c r="AN192" s="62">
        <f>IF(AND(AND($D192&lt;&gt;"",$V192="Macro"),$S192=MesCiclo),COUNTIFS($D$5:$D192,$D192,$S$5:$S192,MesCiclo,$V$5:$V192,"Macro"),"")</f>
        <v/>
      </c>
      <c r="AO192" s="62">
        <f>IF($AN192="","",$D192&amp;"|"&amp;$AN192)</f>
        <v/>
      </c>
      <c r="AP192" s="62">
        <f>IF(AND($D192&lt;&gt;"",$V192="Macro"),$D192&amp;"|"&amp;$C192,"")</f>
        <v/>
      </c>
      <c r="AQ192" s="62">
        <f>""</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t="n"/>
      <c r="F193" s="59" t="n"/>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IF(NOT((COUNTA($B193:$D193)+COUNTA($G193:$H193)+COUNTA($Q193))&gt;0),"",IF(AND($D193&lt;&gt;"",$V193="Macro"),IF(N($AM193)&gt;0,N(CHOOSE(MATCH($D193,ListaPuestos,0),INDEX('Cronograma R. Operacional'!$M$5:$M$1000,$AM193),INDEX('Cronograma R. Normativo'!$M$5:$M$1000,$AM193),INDEX('Cronograma R. Financiero'!$M$5:$M$1000,$AM193),INDEX('Cronograma Asistente Técnico'!$M$5:$M$1000,$AM193))),0),IF(ISNUMBER($G193),1,IF(N($W193)&gt;0,MIN(1,SUMIFS($Y$5:$Y$1000,$U$5:$U$1000,ROW(),$V$5:$V$1000,"Sub")),$Y193))))</f>
        <v/>
      </c>
      <c r="N193" s="56">
        <f>IF(OR($M193="",$V193="Sub"),"",IF($M193&gt;=1,"Completado",IF($M193&gt;0,"En curso","Pendiente")))</f>
        <v/>
      </c>
      <c r="O193" s="56">
        <f>IF(NOT((COUNTA($B193:$D193)+COUNTA($G193:$H193)+COUNTA($Q193))&gt;0),"",IF(AND(AND($D193&lt;&gt;"",$V193="Macro"),N($AM193)&gt;0),CHOOSE(MATCH($D193,ListaPuestos,0),INDEX('Cronograma R. Operacional'!$O$5:$O$1000,$AM193),INDEX('Cronograma R. Normativo'!$O$5:$O$1000,$AM193),INDEX('Cronograma R. Financiero'!$O$5:$O$1000,$AM193),INDEX('Cronograma Asistente Técnico'!$O$5:$O$1000,$AM193))&amp;"",IF(ISNUMBER($G193),IF(AND(ISNUMBER($AS193),$G193&gt;$AS193),"Cumplida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f>IF(NOT((COUNTA($B193:$D193)+COUNTA($G193:$H193)+COUNTA($Q193))&gt;0),"",IF($D193="","Propia",IF($V193&lt;&gt;"Macro","Solo se delegan macroactividades",IF(N($AM193)&gt;0,"✔ Recibida por "&amp;$D193,"⚠ "&amp;$D193&amp;" aún no la agrega"))))</f>
        <v/>
      </c>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f>IF(NOT(AND($D193&lt;&gt;"",$V193="Macro")),"",IFERROR(CHOOSE(MATCH($D193,ListaPuestos,0),MATCH("[Jefatura] "&amp;$C193,'Cronograma R. Operacional'!$C$5:$C$1000,0),MATCH("[Jefatura] "&amp;$C193,'Cronograma R. Normativo'!$C$5:$C$1000,0),MATCH("[Jefatura] "&amp;$C193,'Cronograma R. Financiero'!$C$5:$C$1000,0),MATCH("[Jefatura] "&amp;$C193,'Cronograma Asistente Técnico'!$C$5:$C$1000,0)),0))</f>
        <v/>
      </c>
      <c r="AN193" s="62">
        <f>IF(AND(AND($D193&lt;&gt;"",$V193="Macro"),$S193=MesCiclo),COUNTIFS($D$5:$D193,$D193,$S$5:$S193,MesCiclo,$V$5:$V193,"Macro"),"")</f>
        <v/>
      </c>
      <c r="AO193" s="62">
        <f>IF($AN193="","",$D193&amp;"|"&amp;$AN193)</f>
        <v/>
      </c>
      <c r="AP193" s="62">
        <f>IF(AND($D193&lt;&gt;"",$V193="Macro"),$D193&amp;"|"&amp;$C193,"")</f>
        <v/>
      </c>
      <c r="AQ193" s="62">
        <f>""</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t="n"/>
      <c r="F194" s="59" t="n"/>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IF(NOT((COUNTA($B194:$D194)+COUNTA($G194:$H194)+COUNTA($Q194))&gt;0),"",IF(AND($D194&lt;&gt;"",$V194="Macro"),IF(N($AM194)&gt;0,N(CHOOSE(MATCH($D194,ListaPuestos,0),INDEX('Cronograma R. Operacional'!$M$5:$M$1000,$AM194),INDEX('Cronograma R. Normativo'!$M$5:$M$1000,$AM194),INDEX('Cronograma R. Financiero'!$M$5:$M$1000,$AM194),INDEX('Cronograma Asistente Técnico'!$M$5:$M$1000,$AM194))),0),IF(ISNUMBER($G194),1,IF(N($W194)&gt;0,MIN(1,SUMIFS($Y$5:$Y$1000,$U$5:$U$1000,ROW(),$V$5:$V$1000,"Sub")),$Y194))))</f>
        <v/>
      </c>
      <c r="N194" s="56">
        <f>IF(OR($M194="",$V194="Sub"),"",IF($M194&gt;=1,"Completado",IF($M194&gt;0,"En curso","Pendiente")))</f>
        <v/>
      </c>
      <c r="O194" s="56">
        <f>IF(NOT((COUNTA($B194:$D194)+COUNTA($G194:$H194)+COUNTA($Q194))&gt;0),"",IF(AND(AND($D194&lt;&gt;"",$V194="Macro"),N($AM194)&gt;0),CHOOSE(MATCH($D194,ListaPuestos,0),INDEX('Cronograma R. Operacional'!$O$5:$O$1000,$AM194),INDEX('Cronograma R. Normativo'!$O$5:$O$1000,$AM194),INDEX('Cronograma R. Financiero'!$O$5:$O$1000,$AM194),INDEX('Cronograma Asistente Técnico'!$O$5:$O$1000,$AM194))&amp;"",IF(ISNUMBER($G194),IF(AND(ISNUMBER($AS194),$G194&gt;$AS194),"Cumplida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f>IF(NOT((COUNTA($B194:$D194)+COUNTA($G194:$H194)+COUNTA($Q194))&gt;0),"",IF($D194="","Propia",IF($V194&lt;&gt;"Macro","Solo se delegan macroactividades",IF(N($AM194)&gt;0,"✔ Recibida por "&amp;$D194,"⚠ "&amp;$D194&amp;" aún no la agrega"))))</f>
        <v/>
      </c>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f>IF(NOT(AND($D194&lt;&gt;"",$V194="Macro")),"",IFERROR(CHOOSE(MATCH($D194,ListaPuestos,0),MATCH("[Jefatura] "&amp;$C194,'Cronograma R. Operacional'!$C$5:$C$1000,0),MATCH("[Jefatura] "&amp;$C194,'Cronograma R. Normativo'!$C$5:$C$1000,0),MATCH("[Jefatura] "&amp;$C194,'Cronograma R. Financiero'!$C$5:$C$1000,0),MATCH("[Jefatura] "&amp;$C194,'Cronograma Asistente Técnico'!$C$5:$C$1000,0)),0))</f>
        <v/>
      </c>
      <c r="AN194" s="62">
        <f>IF(AND(AND($D194&lt;&gt;"",$V194="Macro"),$S194=MesCiclo),COUNTIFS($D$5:$D194,$D194,$S$5:$S194,MesCiclo,$V$5:$V194,"Macro"),"")</f>
        <v/>
      </c>
      <c r="AO194" s="62">
        <f>IF($AN194="","",$D194&amp;"|"&amp;$AN194)</f>
        <v/>
      </c>
      <c r="AP194" s="62">
        <f>IF(AND($D194&lt;&gt;"",$V194="Macro"),$D194&amp;"|"&amp;$C194,"")</f>
        <v/>
      </c>
      <c r="AQ194" s="62">
        <f>""</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t="n"/>
      <c r="F195" s="59" t="n"/>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IF(NOT((COUNTA($B195:$D195)+COUNTA($G195:$H195)+COUNTA($Q195))&gt;0),"",IF(AND($D195&lt;&gt;"",$V195="Macro"),IF(N($AM195)&gt;0,N(CHOOSE(MATCH($D195,ListaPuestos,0),INDEX('Cronograma R. Operacional'!$M$5:$M$1000,$AM195),INDEX('Cronograma R. Normativo'!$M$5:$M$1000,$AM195),INDEX('Cronograma R. Financiero'!$M$5:$M$1000,$AM195),INDEX('Cronograma Asistente Técnico'!$M$5:$M$1000,$AM195))),0),IF(ISNUMBER($G195),1,IF(N($W195)&gt;0,MIN(1,SUMIFS($Y$5:$Y$1000,$U$5:$U$1000,ROW(),$V$5:$V$1000,"Sub")),$Y195))))</f>
        <v/>
      </c>
      <c r="N195" s="56">
        <f>IF(OR($M195="",$V195="Sub"),"",IF($M195&gt;=1,"Completado",IF($M195&gt;0,"En curso","Pendiente")))</f>
        <v/>
      </c>
      <c r="O195" s="56">
        <f>IF(NOT((COUNTA($B195:$D195)+COUNTA($G195:$H195)+COUNTA($Q195))&gt;0),"",IF(AND(AND($D195&lt;&gt;"",$V195="Macro"),N($AM195)&gt;0),CHOOSE(MATCH($D195,ListaPuestos,0),INDEX('Cronograma R. Operacional'!$O$5:$O$1000,$AM195),INDEX('Cronograma R. Normativo'!$O$5:$O$1000,$AM195),INDEX('Cronograma R. Financiero'!$O$5:$O$1000,$AM195),INDEX('Cronograma Asistente Técnico'!$O$5:$O$1000,$AM195))&amp;"",IF(ISNUMBER($G195),IF(AND(ISNUMBER($AS195),$G195&gt;$AS195),"Cumplida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f>IF(NOT((COUNTA($B195:$D195)+COUNTA($G195:$H195)+COUNTA($Q195))&gt;0),"",IF($D195="","Propia",IF($V195&lt;&gt;"Macro","Solo se delegan macroactividades",IF(N($AM195)&gt;0,"✔ Recibida por "&amp;$D195,"⚠ "&amp;$D195&amp;" aún no la agrega"))))</f>
        <v/>
      </c>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f>IF(NOT(AND($D195&lt;&gt;"",$V195="Macro")),"",IFERROR(CHOOSE(MATCH($D195,ListaPuestos,0),MATCH("[Jefatura] "&amp;$C195,'Cronograma R. Operacional'!$C$5:$C$1000,0),MATCH("[Jefatura] "&amp;$C195,'Cronograma R. Normativo'!$C$5:$C$1000,0),MATCH("[Jefatura] "&amp;$C195,'Cronograma R. Financiero'!$C$5:$C$1000,0),MATCH("[Jefatura] "&amp;$C195,'Cronograma Asistente Técnico'!$C$5:$C$1000,0)),0))</f>
        <v/>
      </c>
      <c r="AN195" s="62">
        <f>IF(AND(AND($D195&lt;&gt;"",$V195="Macro"),$S195=MesCiclo),COUNTIFS($D$5:$D195,$D195,$S$5:$S195,MesCiclo,$V$5:$V195,"Macro"),"")</f>
        <v/>
      </c>
      <c r="AO195" s="62">
        <f>IF($AN195="","",$D195&amp;"|"&amp;$AN195)</f>
        <v/>
      </c>
      <c r="AP195" s="62">
        <f>IF(AND($D195&lt;&gt;"",$V195="Macro"),$D195&amp;"|"&amp;$C195,"")</f>
        <v/>
      </c>
      <c r="AQ195" s="62">
        <f>""</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t="n"/>
      <c r="F196" s="59" t="n"/>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IF(NOT((COUNTA($B196:$D196)+COUNTA($G196:$H196)+COUNTA($Q196))&gt;0),"",IF(AND($D196&lt;&gt;"",$V196="Macro"),IF(N($AM196)&gt;0,N(CHOOSE(MATCH($D196,ListaPuestos,0),INDEX('Cronograma R. Operacional'!$M$5:$M$1000,$AM196),INDEX('Cronograma R. Normativo'!$M$5:$M$1000,$AM196),INDEX('Cronograma R. Financiero'!$M$5:$M$1000,$AM196),INDEX('Cronograma Asistente Técnico'!$M$5:$M$1000,$AM196))),0),IF(ISNUMBER($G196),1,IF(N($W196)&gt;0,MIN(1,SUMIFS($Y$5:$Y$1000,$U$5:$U$1000,ROW(),$V$5:$V$1000,"Sub")),$Y196))))</f>
        <v/>
      </c>
      <c r="N196" s="56">
        <f>IF(OR($M196="",$V196="Sub"),"",IF($M196&gt;=1,"Completado",IF($M196&gt;0,"En curso","Pendiente")))</f>
        <v/>
      </c>
      <c r="O196" s="56">
        <f>IF(NOT((COUNTA($B196:$D196)+COUNTA($G196:$H196)+COUNTA($Q196))&gt;0),"",IF(AND(AND($D196&lt;&gt;"",$V196="Macro"),N($AM196)&gt;0),CHOOSE(MATCH($D196,ListaPuestos,0),INDEX('Cronograma R. Operacional'!$O$5:$O$1000,$AM196),INDEX('Cronograma R. Normativo'!$O$5:$O$1000,$AM196),INDEX('Cronograma R. Financiero'!$O$5:$O$1000,$AM196),INDEX('Cronograma Asistente Técnico'!$O$5:$O$1000,$AM196))&amp;"",IF(ISNUMBER($G196),IF(AND(ISNUMBER($AS196),$G196&gt;$AS196),"Cumplida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f>IF(NOT((COUNTA($B196:$D196)+COUNTA($G196:$H196)+COUNTA($Q196))&gt;0),"",IF($D196="","Propia",IF($V196&lt;&gt;"Macro","Solo se delegan macroactividades",IF(N($AM196)&gt;0,"✔ Recibida por "&amp;$D196,"⚠ "&amp;$D196&amp;" aún no la agrega"))))</f>
        <v/>
      </c>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f>IF(NOT(AND($D196&lt;&gt;"",$V196="Macro")),"",IFERROR(CHOOSE(MATCH($D196,ListaPuestos,0),MATCH("[Jefatura] "&amp;$C196,'Cronograma R. Operacional'!$C$5:$C$1000,0),MATCH("[Jefatura] "&amp;$C196,'Cronograma R. Normativo'!$C$5:$C$1000,0),MATCH("[Jefatura] "&amp;$C196,'Cronograma R. Financiero'!$C$5:$C$1000,0),MATCH("[Jefatura] "&amp;$C196,'Cronograma Asistente Técnico'!$C$5:$C$1000,0)),0))</f>
        <v/>
      </c>
      <c r="AN196" s="62">
        <f>IF(AND(AND($D196&lt;&gt;"",$V196="Macro"),$S196=MesCiclo),COUNTIFS($D$5:$D196,$D196,$S$5:$S196,MesCiclo,$V$5:$V196,"Macro"),"")</f>
        <v/>
      </c>
      <c r="AO196" s="62">
        <f>IF($AN196="","",$D196&amp;"|"&amp;$AN196)</f>
        <v/>
      </c>
      <c r="AP196" s="62">
        <f>IF(AND($D196&lt;&gt;"",$V196="Macro"),$D196&amp;"|"&amp;$C196,"")</f>
        <v/>
      </c>
      <c r="AQ196" s="62">
        <f>""</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t="n"/>
      <c r="F197" s="59" t="n"/>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IF(NOT((COUNTA($B197:$D197)+COUNTA($G197:$H197)+COUNTA($Q197))&gt;0),"",IF(AND($D197&lt;&gt;"",$V197="Macro"),IF(N($AM197)&gt;0,N(CHOOSE(MATCH($D197,ListaPuestos,0),INDEX('Cronograma R. Operacional'!$M$5:$M$1000,$AM197),INDEX('Cronograma R. Normativo'!$M$5:$M$1000,$AM197),INDEX('Cronograma R. Financiero'!$M$5:$M$1000,$AM197),INDEX('Cronograma Asistente Técnico'!$M$5:$M$1000,$AM197))),0),IF(ISNUMBER($G197),1,IF(N($W197)&gt;0,MIN(1,SUMIFS($Y$5:$Y$1000,$U$5:$U$1000,ROW(),$V$5:$V$1000,"Sub")),$Y197))))</f>
        <v/>
      </c>
      <c r="N197" s="56">
        <f>IF(OR($M197="",$V197="Sub"),"",IF($M197&gt;=1,"Completado",IF($M197&gt;0,"En curso","Pendiente")))</f>
        <v/>
      </c>
      <c r="O197" s="56">
        <f>IF(NOT((COUNTA($B197:$D197)+COUNTA($G197:$H197)+COUNTA($Q197))&gt;0),"",IF(AND(AND($D197&lt;&gt;"",$V197="Macro"),N($AM197)&gt;0),CHOOSE(MATCH($D197,ListaPuestos,0),INDEX('Cronograma R. Operacional'!$O$5:$O$1000,$AM197),INDEX('Cronograma R. Normativo'!$O$5:$O$1000,$AM197),INDEX('Cronograma R. Financiero'!$O$5:$O$1000,$AM197),INDEX('Cronograma Asistente Técnico'!$O$5:$O$1000,$AM197))&amp;"",IF(ISNUMBER($G197),IF(AND(ISNUMBER($AS197),$G197&gt;$AS197),"Cumplida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f>IF(NOT((COUNTA($B197:$D197)+COUNTA($G197:$H197)+COUNTA($Q197))&gt;0),"",IF($D197="","Propia",IF($V197&lt;&gt;"Macro","Solo se delegan macroactividades",IF(N($AM197)&gt;0,"✔ Recibida por "&amp;$D197,"⚠ "&amp;$D197&amp;" aún no la agrega"))))</f>
        <v/>
      </c>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f>IF(NOT(AND($D197&lt;&gt;"",$V197="Macro")),"",IFERROR(CHOOSE(MATCH($D197,ListaPuestos,0),MATCH("[Jefatura] "&amp;$C197,'Cronograma R. Operacional'!$C$5:$C$1000,0),MATCH("[Jefatura] "&amp;$C197,'Cronograma R. Normativo'!$C$5:$C$1000,0),MATCH("[Jefatura] "&amp;$C197,'Cronograma R. Financiero'!$C$5:$C$1000,0),MATCH("[Jefatura] "&amp;$C197,'Cronograma Asistente Técnico'!$C$5:$C$1000,0)),0))</f>
        <v/>
      </c>
      <c r="AN197" s="62">
        <f>IF(AND(AND($D197&lt;&gt;"",$V197="Macro"),$S197=MesCiclo),COUNTIFS($D$5:$D197,$D197,$S$5:$S197,MesCiclo,$V$5:$V197,"Macro"),"")</f>
        <v/>
      </c>
      <c r="AO197" s="62">
        <f>IF($AN197="","",$D197&amp;"|"&amp;$AN197)</f>
        <v/>
      </c>
      <c r="AP197" s="62">
        <f>IF(AND($D197&lt;&gt;"",$V197="Macro"),$D197&amp;"|"&amp;$C197,"")</f>
        <v/>
      </c>
      <c r="AQ197" s="62">
        <f>""</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t="n"/>
      <c r="F198" s="59" t="n"/>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IF(NOT((COUNTA($B198:$D198)+COUNTA($G198:$H198)+COUNTA($Q198))&gt;0),"",IF(AND($D198&lt;&gt;"",$V198="Macro"),IF(N($AM198)&gt;0,N(CHOOSE(MATCH($D198,ListaPuestos,0),INDEX('Cronograma R. Operacional'!$M$5:$M$1000,$AM198),INDEX('Cronograma R. Normativo'!$M$5:$M$1000,$AM198),INDEX('Cronograma R. Financiero'!$M$5:$M$1000,$AM198),INDEX('Cronograma Asistente Técnico'!$M$5:$M$1000,$AM198))),0),IF(ISNUMBER($G198),1,IF(N($W198)&gt;0,MIN(1,SUMIFS($Y$5:$Y$1000,$U$5:$U$1000,ROW(),$V$5:$V$1000,"Sub")),$Y198))))</f>
        <v/>
      </c>
      <c r="N198" s="56">
        <f>IF(OR($M198="",$V198="Sub"),"",IF($M198&gt;=1,"Completado",IF($M198&gt;0,"En curso","Pendiente")))</f>
        <v/>
      </c>
      <c r="O198" s="56">
        <f>IF(NOT((COUNTA($B198:$D198)+COUNTA($G198:$H198)+COUNTA($Q198))&gt;0),"",IF(AND(AND($D198&lt;&gt;"",$V198="Macro"),N($AM198)&gt;0),CHOOSE(MATCH($D198,ListaPuestos,0),INDEX('Cronograma R. Operacional'!$O$5:$O$1000,$AM198),INDEX('Cronograma R. Normativo'!$O$5:$O$1000,$AM198),INDEX('Cronograma R. Financiero'!$O$5:$O$1000,$AM198),INDEX('Cronograma Asistente Técnico'!$O$5:$O$1000,$AM198))&amp;"",IF(ISNUMBER($G198),IF(AND(ISNUMBER($AS198),$G198&gt;$AS198),"Cumplida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f>IF(NOT((COUNTA($B198:$D198)+COUNTA($G198:$H198)+COUNTA($Q198))&gt;0),"",IF($D198="","Propia",IF($V198&lt;&gt;"Macro","Solo se delegan macroactividades",IF(N($AM198)&gt;0,"✔ Recibida por "&amp;$D198,"⚠ "&amp;$D198&amp;" aún no la agrega"))))</f>
        <v/>
      </c>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f>IF(NOT(AND($D198&lt;&gt;"",$V198="Macro")),"",IFERROR(CHOOSE(MATCH($D198,ListaPuestos,0),MATCH("[Jefatura] "&amp;$C198,'Cronograma R. Operacional'!$C$5:$C$1000,0),MATCH("[Jefatura] "&amp;$C198,'Cronograma R. Normativo'!$C$5:$C$1000,0),MATCH("[Jefatura] "&amp;$C198,'Cronograma R. Financiero'!$C$5:$C$1000,0),MATCH("[Jefatura] "&amp;$C198,'Cronograma Asistente Técnico'!$C$5:$C$1000,0)),0))</f>
        <v/>
      </c>
      <c r="AN198" s="62">
        <f>IF(AND(AND($D198&lt;&gt;"",$V198="Macro"),$S198=MesCiclo),COUNTIFS($D$5:$D198,$D198,$S$5:$S198,MesCiclo,$V$5:$V198,"Macro"),"")</f>
        <v/>
      </c>
      <c r="AO198" s="62">
        <f>IF($AN198="","",$D198&amp;"|"&amp;$AN198)</f>
        <v/>
      </c>
      <c r="AP198" s="62">
        <f>IF(AND($D198&lt;&gt;"",$V198="Macro"),$D198&amp;"|"&amp;$C198,"")</f>
        <v/>
      </c>
      <c r="AQ198" s="62">
        <f>""</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t="n"/>
      <c r="F199" s="59" t="n"/>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IF(NOT((COUNTA($B199:$D199)+COUNTA($G199:$H199)+COUNTA($Q199))&gt;0),"",IF(AND($D199&lt;&gt;"",$V199="Macro"),IF(N($AM199)&gt;0,N(CHOOSE(MATCH($D199,ListaPuestos,0),INDEX('Cronograma R. Operacional'!$M$5:$M$1000,$AM199),INDEX('Cronograma R. Normativo'!$M$5:$M$1000,$AM199),INDEX('Cronograma R. Financiero'!$M$5:$M$1000,$AM199),INDEX('Cronograma Asistente Técnico'!$M$5:$M$1000,$AM199))),0),IF(ISNUMBER($G199),1,IF(N($W199)&gt;0,MIN(1,SUMIFS($Y$5:$Y$1000,$U$5:$U$1000,ROW(),$V$5:$V$1000,"Sub")),$Y199))))</f>
        <v/>
      </c>
      <c r="N199" s="56">
        <f>IF(OR($M199="",$V199="Sub"),"",IF($M199&gt;=1,"Completado",IF($M199&gt;0,"En curso","Pendiente")))</f>
        <v/>
      </c>
      <c r="O199" s="56">
        <f>IF(NOT((COUNTA($B199:$D199)+COUNTA($G199:$H199)+COUNTA($Q199))&gt;0),"",IF(AND(AND($D199&lt;&gt;"",$V199="Macro"),N($AM199)&gt;0),CHOOSE(MATCH($D199,ListaPuestos,0),INDEX('Cronograma R. Operacional'!$O$5:$O$1000,$AM199),INDEX('Cronograma R. Normativo'!$O$5:$O$1000,$AM199),INDEX('Cronograma R. Financiero'!$O$5:$O$1000,$AM199),INDEX('Cronograma Asistente Técnico'!$O$5:$O$1000,$AM199))&amp;"",IF(ISNUMBER($G199),IF(AND(ISNUMBER($AS199),$G199&gt;$AS199),"Cumplida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f>IF(NOT((COUNTA($B199:$D199)+COUNTA($G199:$H199)+COUNTA($Q199))&gt;0),"",IF($D199="","Propia",IF($V199&lt;&gt;"Macro","Solo se delegan macroactividades",IF(N($AM199)&gt;0,"✔ Recibida por "&amp;$D199,"⚠ "&amp;$D199&amp;" aún no la agrega"))))</f>
        <v/>
      </c>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f>IF(NOT(AND($D199&lt;&gt;"",$V199="Macro")),"",IFERROR(CHOOSE(MATCH($D199,ListaPuestos,0),MATCH("[Jefatura] "&amp;$C199,'Cronograma R. Operacional'!$C$5:$C$1000,0),MATCH("[Jefatura] "&amp;$C199,'Cronograma R. Normativo'!$C$5:$C$1000,0),MATCH("[Jefatura] "&amp;$C199,'Cronograma R. Financiero'!$C$5:$C$1000,0),MATCH("[Jefatura] "&amp;$C199,'Cronograma Asistente Técnico'!$C$5:$C$1000,0)),0))</f>
        <v/>
      </c>
      <c r="AN199" s="62">
        <f>IF(AND(AND($D199&lt;&gt;"",$V199="Macro"),$S199=MesCiclo),COUNTIFS($D$5:$D199,$D199,$S$5:$S199,MesCiclo,$V$5:$V199,"Macro"),"")</f>
        <v/>
      </c>
      <c r="AO199" s="62">
        <f>IF($AN199="","",$D199&amp;"|"&amp;$AN199)</f>
        <v/>
      </c>
      <c r="AP199" s="62">
        <f>IF(AND($D199&lt;&gt;"",$V199="Macro"),$D199&amp;"|"&amp;$C199,"")</f>
        <v/>
      </c>
      <c r="AQ199" s="62">
        <f>""</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t="n"/>
      <c r="F200" s="59" t="n"/>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IF(NOT((COUNTA($B200:$D200)+COUNTA($G200:$H200)+COUNTA($Q200))&gt;0),"",IF(AND($D200&lt;&gt;"",$V200="Macro"),IF(N($AM200)&gt;0,N(CHOOSE(MATCH($D200,ListaPuestos,0),INDEX('Cronograma R. Operacional'!$M$5:$M$1000,$AM200),INDEX('Cronograma R. Normativo'!$M$5:$M$1000,$AM200),INDEX('Cronograma R. Financiero'!$M$5:$M$1000,$AM200),INDEX('Cronograma Asistente Técnico'!$M$5:$M$1000,$AM200))),0),IF(ISNUMBER($G200),1,IF(N($W200)&gt;0,MIN(1,SUMIFS($Y$5:$Y$1000,$U$5:$U$1000,ROW(),$V$5:$V$1000,"Sub")),$Y200))))</f>
        <v/>
      </c>
      <c r="N200" s="56">
        <f>IF(OR($M200="",$V200="Sub"),"",IF($M200&gt;=1,"Completado",IF($M200&gt;0,"En curso","Pendiente")))</f>
        <v/>
      </c>
      <c r="O200" s="56">
        <f>IF(NOT((COUNTA($B200:$D200)+COUNTA($G200:$H200)+COUNTA($Q200))&gt;0),"",IF(AND(AND($D200&lt;&gt;"",$V200="Macro"),N($AM200)&gt;0),CHOOSE(MATCH($D200,ListaPuestos,0),INDEX('Cronograma R. Operacional'!$O$5:$O$1000,$AM200),INDEX('Cronograma R. Normativo'!$O$5:$O$1000,$AM200),INDEX('Cronograma R. Financiero'!$O$5:$O$1000,$AM200),INDEX('Cronograma Asistente Técnico'!$O$5:$O$1000,$AM200))&amp;"",IF(ISNUMBER($G200),IF(AND(ISNUMBER($AS200),$G200&gt;$AS200),"Cumplida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f>IF(NOT((COUNTA($B200:$D200)+COUNTA($G200:$H200)+COUNTA($Q200))&gt;0),"",IF($D200="","Propia",IF($V200&lt;&gt;"Macro","Solo se delegan macroactividades",IF(N($AM200)&gt;0,"✔ Recibida por "&amp;$D200,"⚠ "&amp;$D200&amp;" aún no la agrega"))))</f>
        <v/>
      </c>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f>IF(NOT(AND($D200&lt;&gt;"",$V200="Macro")),"",IFERROR(CHOOSE(MATCH($D200,ListaPuestos,0),MATCH("[Jefatura] "&amp;$C200,'Cronograma R. Operacional'!$C$5:$C$1000,0),MATCH("[Jefatura] "&amp;$C200,'Cronograma R. Normativo'!$C$5:$C$1000,0),MATCH("[Jefatura] "&amp;$C200,'Cronograma R. Financiero'!$C$5:$C$1000,0),MATCH("[Jefatura] "&amp;$C200,'Cronograma Asistente Técnico'!$C$5:$C$1000,0)),0))</f>
        <v/>
      </c>
      <c r="AN200" s="62">
        <f>IF(AND(AND($D200&lt;&gt;"",$V200="Macro"),$S200=MesCiclo),COUNTIFS($D$5:$D200,$D200,$S$5:$S200,MesCiclo,$V$5:$V200,"Macro"),"")</f>
        <v/>
      </c>
      <c r="AO200" s="62">
        <f>IF($AN200="","",$D200&amp;"|"&amp;$AN200)</f>
        <v/>
      </c>
      <c r="AP200" s="62">
        <f>IF(AND($D200&lt;&gt;"",$V200="Macro"),$D200&amp;"|"&amp;$C200,"")</f>
        <v/>
      </c>
      <c r="AQ200" s="62">
        <f>""</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t="n"/>
      <c r="F201" s="59" t="n"/>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IF(NOT((COUNTA($B201:$D201)+COUNTA($G201:$H201)+COUNTA($Q201))&gt;0),"",IF(AND($D201&lt;&gt;"",$V201="Macro"),IF(N($AM201)&gt;0,N(CHOOSE(MATCH($D201,ListaPuestos,0),INDEX('Cronograma R. Operacional'!$M$5:$M$1000,$AM201),INDEX('Cronograma R. Normativo'!$M$5:$M$1000,$AM201),INDEX('Cronograma R. Financiero'!$M$5:$M$1000,$AM201),INDEX('Cronograma Asistente Técnico'!$M$5:$M$1000,$AM201))),0),IF(ISNUMBER($G201),1,IF(N($W201)&gt;0,MIN(1,SUMIFS($Y$5:$Y$1000,$U$5:$U$1000,ROW(),$V$5:$V$1000,"Sub")),$Y201))))</f>
        <v/>
      </c>
      <c r="N201" s="56">
        <f>IF(OR($M201="",$V201="Sub"),"",IF($M201&gt;=1,"Completado",IF($M201&gt;0,"En curso","Pendiente")))</f>
        <v/>
      </c>
      <c r="O201" s="56">
        <f>IF(NOT((COUNTA($B201:$D201)+COUNTA($G201:$H201)+COUNTA($Q201))&gt;0),"",IF(AND(AND($D201&lt;&gt;"",$V201="Macro"),N($AM201)&gt;0),CHOOSE(MATCH($D201,ListaPuestos,0),INDEX('Cronograma R. Operacional'!$O$5:$O$1000,$AM201),INDEX('Cronograma R. Normativo'!$O$5:$O$1000,$AM201),INDEX('Cronograma R. Financiero'!$O$5:$O$1000,$AM201),INDEX('Cronograma Asistente Técnico'!$O$5:$O$1000,$AM201))&amp;"",IF(ISNUMBER($G201),IF(AND(ISNUMBER($AS201),$G201&gt;$AS201),"Cumplida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f>IF(NOT((COUNTA($B201:$D201)+COUNTA($G201:$H201)+COUNTA($Q201))&gt;0),"",IF($D201="","Propia",IF($V201&lt;&gt;"Macro","Solo se delegan macroactividades",IF(N($AM201)&gt;0,"✔ Recibida por "&amp;$D201,"⚠ "&amp;$D201&amp;" aún no la agrega"))))</f>
        <v/>
      </c>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f>IF(NOT(AND($D201&lt;&gt;"",$V201="Macro")),"",IFERROR(CHOOSE(MATCH($D201,ListaPuestos,0),MATCH("[Jefatura] "&amp;$C201,'Cronograma R. Operacional'!$C$5:$C$1000,0),MATCH("[Jefatura] "&amp;$C201,'Cronograma R. Normativo'!$C$5:$C$1000,0),MATCH("[Jefatura] "&amp;$C201,'Cronograma R. Financiero'!$C$5:$C$1000,0),MATCH("[Jefatura] "&amp;$C201,'Cronograma Asistente Técnico'!$C$5:$C$1000,0)),0))</f>
        <v/>
      </c>
      <c r="AN201" s="62">
        <f>IF(AND(AND($D201&lt;&gt;"",$V201="Macro"),$S201=MesCiclo),COUNTIFS($D$5:$D201,$D201,$S$5:$S201,MesCiclo,$V$5:$V201,"Macro"),"")</f>
        <v/>
      </c>
      <c r="AO201" s="62">
        <f>IF($AN201="","",$D201&amp;"|"&amp;$AN201)</f>
        <v/>
      </c>
      <c r="AP201" s="62">
        <f>IF(AND($D201&lt;&gt;"",$V201="Macro"),$D201&amp;"|"&amp;$C201,"")</f>
        <v/>
      </c>
      <c r="AQ201" s="62">
        <f>""</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t="n"/>
      <c r="F202" s="59" t="n"/>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IF(NOT((COUNTA($B202:$D202)+COUNTA($G202:$H202)+COUNTA($Q202))&gt;0),"",IF(AND($D202&lt;&gt;"",$V202="Macro"),IF(N($AM202)&gt;0,N(CHOOSE(MATCH($D202,ListaPuestos,0),INDEX('Cronograma R. Operacional'!$M$5:$M$1000,$AM202),INDEX('Cronograma R. Normativo'!$M$5:$M$1000,$AM202),INDEX('Cronograma R. Financiero'!$M$5:$M$1000,$AM202),INDEX('Cronograma Asistente Técnico'!$M$5:$M$1000,$AM202))),0),IF(ISNUMBER($G202),1,IF(N($W202)&gt;0,MIN(1,SUMIFS($Y$5:$Y$1000,$U$5:$U$1000,ROW(),$V$5:$V$1000,"Sub")),$Y202))))</f>
        <v/>
      </c>
      <c r="N202" s="56">
        <f>IF(OR($M202="",$V202="Sub"),"",IF($M202&gt;=1,"Completado",IF($M202&gt;0,"En curso","Pendiente")))</f>
        <v/>
      </c>
      <c r="O202" s="56">
        <f>IF(NOT((COUNTA($B202:$D202)+COUNTA($G202:$H202)+COUNTA($Q202))&gt;0),"",IF(AND(AND($D202&lt;&gt;"",$V202="Macro"),N($AM202)&gt;0),CHOOSE(MATCH($D202,ListaPuestos,0),INDEX('Cronograma R. Operacional'!$O$5:$O$1000,$AM202),INDEX('Cronograma R. Normativo'!$O$5:$O$1000,$AM202),INDEX('Cronograma R. Financiero'!$O$5:$O$1000,$AM202),INDEX('Cronograma Asistente Técnico'!$O$5:$O$1000,$AM202))&amp;"",IF(ISNUMBER($G202),IF(AND(ISNUMBER($AS202),$G202&gt;$AS202),"Cumplida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f>IF(NOT((COUNTA($B202:$D202)+COUNTA($G202:$H202)+COUNTA($Q202))&gt;0),"",IF($D202="","Propia",IF($V202&lt;&gt;"Macro","Solo se delegan macroactividades",IF(N($AM202)&gt;0,"✔ Recibida por "&amp;$D202,"⚠ "&amp;$D202&amp;" aún no la agrega"))))</f>
        <v/>
      </c>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f>IF(NOT(AND($D202&lt;&gt;"",$V202="Macro")),"",IFERROR(CHOOSE(MATCH($D202,ListaPuestos,0),MATCH("[Jefatura] "&amp;$C202,'Cronograma R. Operacional'!$C$5:$C$1000,0),MATCH("[Jefatura] "&amp;$C202,'Cronograma R. Normativo'!$C$5:$C$1000,0),MATCH("[Jefatura] "&amp;$C202,'Cronograma R. Financiero'!$C$5:$C$1000,0),MATCH("[Jefatura] "&amp;$C202,'Cronograma Asistente Técnico'!$C$5:$C$1000,0)),0))</f>
        <v/>
      </c>
      <c r="AN202" s="62">
        <f>IF(AND(AND($D202&lt;&gt;"",$V202="Macro"),$S202=MesCiclo),COUNTIFS($D$5:$D202,$D202,$S$5:$S202,MesCiclo,$V$5:$V202,"Macro"),"")</f>
        <v/>
      </c>
      <c r="AO202" s="62">
        <f>IF($AN202="","",$D202&amp;"|"&amp;$AN202)</f>
        <v/>
      </c>
      <c r="AP202" s="62">
        <f>IF(AND($D202&lt;&gt;"",$V202="Macro"),$D202&amp;"|"&amp;$C202,"")</f>
        <v/>
      </c>
      <c r="AQ202" s="62">
        <f>""</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t="n"/>
      <c r="F203" s="59" t="n"/>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IF(NOT((COUNTA($B203:$D203)+COUNTA($G203:$H203)+COUNTA($Q203))&gt;0),"",IF(AND($D203&lt;&gt;"",$V203="Macro"),IF(N($AM203)&gt;0,N(CHOOSE(MATCH($D203,ListaPuestos,0),INDEX('Cronograma R. Operacional'!$M$5:$M$1000,$AM203),INDEX('Cronograma R. Normativo'!$M$5:$M$1000,$AM203),INDEX('Cronograma R. Financiero'!$M$5:$M$1000,$AM203),INDEX('Cronograma Asistente Técnico'!$M$5:$M$1000,$AM203))),0),IF(ISNUMBER($G203),1,IF(N($W203)&gt;0,MIN(1,SUMIFS($Y$5:$Y$1000,$U$5:$U$1000,ROW(),$V$5:$V$1000,"Sub")),$Y203))))</f>
        <v/>
      </c>
      <c r="N203" s="56">
        <f>IF(OR($M203="",$V203="Sub"),"",IF($M203&gt;=1,"Completado",IF($M203&gt;0,"En curso","Pendiente")))</f>
        <v/>
      </c>
      <c r="O203" s="56">
        <f>IF(NOT((COUNTA($B203:$D203)+COUNTA($G203:$H203)+COUNTA($Q203))&gt;0),"",IF(AND(AND($D203&lt;&gt;"",$V203="Macro"),N($AM203)&gt;0),CHOOSE(MATCH($D203,ListaPuestos,0),INDEX('Cronograma R. Operacional'!$O$5:$O$1000,$AM203),INDEX('Cronograma R. Normativo'!$O$5:$O$1000,$AM203),INDEX('Cronograma R. Financiero'!$O$5:$O$1000,$AM203),INDEX('Cronograma Asistente Técnico'!$O$5:$O$1000,$AM203))&amp;"",IF(ISNUMBER($G203),IF(AND(ISNUMBER($AS203),$G203&gt;$AS203),"Cumplida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f>IF(NOT((COUNTA($B203:$D203)+COUNTA($G203:$H203)+COUNTA($Q203))&gt;0),"",IF($D203="","Propia",IF($V203&lt;&gt;"Macro","Solo se delegan macroactividades",IF(N($AM203)&gt;0,"✔ Recibida por "&amp;$D203,"⚠ "&amp;$D203&amp;" aún no la agrega"))))</f>
        <v/>
      </c>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f>IF(NOT(AND($D203&lt;&gt;"",$V203="Macro")),"",IFERROR(CHOOSE(MATCH($D203,ListaPuestos,0),MATCH("[Jefatura] "&amp;$C203,'Cronograma R. Operacional'!$C$5:$C$1000,0),MATCH("[Jefatura] "&amp;$C203,'Cronograma R. Normativo'!$C$5:$C$1000,0),MATCH("[Jefatura] "&amp;$C203,'Cronograma R. Financiero'!$C$5:$C$1000,0),MATCH("[Jefatura] "&amp;$C203,'Cronograma Asistente Técnico'!$C$5:$C$1000,0)),0))</f>
        <v/>
      </c>
      <c r="AN203" s="62">
        <f>IF(AND(AND($D203&lt;&gt;"",$V203="Macro"),$S203=MesCiclo),COUNTIFS($D$5:$D203,$D203,$S$5:$S203,MesCiclo,$V$5:$V203,"Macro"),"")</f>
        <v/>
      </c>
      <c r="AO203" s="62">
        <f>IF($AN203="","",$D203&amp;"|"&amp;$AN203)</f>
        <v/>
      </c>
      <c r="AP203" s="62">
        <f>IF(AND($D203&lt;&gt;"",$V203="Macro"),$D203&amp;"|"&amp;$C203,"")</f>
        <v/>
      </c>
      <c r="AQ203" s="62">
        <f>""</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t="n"/>
      <c r="F204" s="59" t="n"/>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IF(NOT((COUNTA($B204:$D204)+COUNTA($G204:$H204)+COUNTA($Q204))&gt;0),"",IF(AND($D204&lt;&gt;"",$V204="Macro"),IF(N($AM204)&gt;0,N(CHOOSE(MATCH($D204,ListaPuestos,0),INDEX('Cronograma R. Operacional'!$M$5:$M$1000,$AM204),INDEX('Cronograma R. Normativo'!$M$5:$M$1000,$AM204),INDEX('Cronograma R. Financiero'!$M$5:$M$1000,$AM204),INDEX('Cronograma Asistente Técnico'!$M$5:$M$1000,$AM204))),0),IF(ISNUMBER($G204),1,IF(N($W204)&gt;0,MIN(1,SUMIFS($Y$5:$Y$1000,$U$5:$U$1000,ROW(),$V$5:$V$1000,"Sub")),$Y204))))</f>
        <v/>
      </c>
      <c r="N204" s="56">
        <f>IF(OR($M204="",$V204="Sub"),"",IF($M204&gt;=1,"Completado",IF($M204&gt;0,"En curso","Pendiente")))</f>
        <v/>
      </c>
      <c r="O204" s="56">
        <f>IF(NOT((COUNTA($B204:$D204)+COUNTA($G204:$H204)+COUNTA($Q204))&gt;0),"",IF(AND(AND($D204&lt;&gt;"",$V204="Macro"),N($AM204)&gt;0),CHOOSE(MATCH($D204,ListaPuestos,0),INDEX('Cronograma R. Operacional'!$O$5:$O$1000,$AM204),INDEX('Cronograma R. Normativo'!$O$5:$O$1000,$AM204),INDEX('Cronograma R. Financiero'!$O$5:$O$1000,$AM204),INDEX('Cronograma Asistente Técnico'!$O$5:$O$1000,$AM204))&amp;"",IF(ISNUMBER($G204),IF(AND(ISNUMBER($AS204),$G204&gt;$AS204),"Cumplida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f>IF(NOT((COUNTA($B204:$D204)+COUNTA($G204:$H204)+COUNTA($Q204))&gt;0),"",IF($D204="","Propia",IF($V204&lt;&gt;"Macro","Solo se delegan macroactividades",IF(N($AM204)&gt;0,"✔ Recibida por "&amp;$D204,"⚠ "&amp;$D204&amp;" aún no la agrega"))))</f>
        <v/>
      </c>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f>IF(NOT(AND($D204&lt;&gt;"",$V204="Macro")),"",IFERROR(CHOOSE(MATCH($D204,ListaPuestos,0),MATCH("[Jefatura] "&amp;$C204,'Cronograma R. Operacional'!$C$5:$C$1000,0),MATCH("[Jefatura] "&amp;$C204,'Cronograma R. Normativo'!$C$5:$C$1000,0),MATCH("[Jefatura] "&amp;$C204,'Cronograma R. Financiero'!$C$5:$C$1000,0),MATCH("[Jefatura] "&amp;$C204,'Cronograma Asistente Técnico'!$C$5:$C$1000,0)),0))</f>
        <v/>
      </c>
      <c r="AN204" s="62">
        <f>IF(AND(AND($D204&lt;&gt;"",$V204="Macro"),$S204=MesCiclo),COUNTIFS($D$5:$D204,$D204,$S$5:$S204,MesCiclo,$V$5:$V204,"Macro"),"")</f>
        <v/>
      </c>
      <c r="AO204" s="62">
        <f>IF($AN204="","",$D204&amp;"|"&amp;$AN204)</f>
        <v/>
      </c>
      <c r="AP204" s="62">
        <f>IF(AND($D204&lt;&gt;"",$V204="Macro"),$D204&amp;"|"&amp;$C204,"")</f>
        <v/>
      </c>
      <c r="AQ204" s="62">
        <f>""</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t="n"/>
      <c r="F205" s="59" t="n"/>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IF(NOT((COUNTA($B205:$D205)+COUNTA($G205:$H205)+COUNTA($Q205))&gt;0),"",IF(AND($D205&lt;&gt;"",$V205="Macro"),IF(N($AM205)&gt;0,N(CHOOSE(MATCH($D205,ListaPuestos,0),INDEX('Cronograma R. Operacional'!$M$5:$M$1000,$AM205),INDEX('Cronograma R. Normativo'!$M$5:$M$1000,$AM205),INDEX('Cronograma R. Financiero'!$M$5:$M$1000,$AM205),INDEX('Cronograma Asistente Técnico'!$M$5:$M$1000,$AM205))),0),IF(ISNUMBER($G205),1,IF(N($W205)&gt;0,MIN(1,SUMIFS($Y$5:$Y$1000,$U$5:$U$1000,ROW(),$V$5:$V$1000,"Sub")),$Y205))))</f>
        <v/>
      </c>
      <c r="N205" s="56">
        <f>IF(OR($M205="",$V205="Sub"),"",IF($M205&gt;=1,"Completado",IF($M205&gt;0,"En curso","Pendiente")))</f>
        <v/>
      </c>
      <c r="O205" s="56">
        <f>IF(NOT((COUNTA($B205:$D205)+COUNTA($G205:$H205)+COUNTA($Q205))&gt;0),"",IF(AND(AND($D205&lt;&gt;"",$V205="Macro"),N($AM205)&gt;0),CHOOSE(MATCH($D205,ListaPuestos,0),INDEX('Cronograma R. Operacional'!$O$5:$O$1000,$AM205),INDEX('Cronograma R. Normativo'!$O$5:$O$1000,$AM205),INDEX('Cronograma R. Financiero'!$O$5:$O$1000,$AM205),INDEX('Cronograma Asistente Técnico'!$O$5:$O$1000,$AM205))&amp;"",IF(ISNUMBER($G205),IF(AND(ISNUMBER($AS205),$G205&gt;$AS205),"Cumplida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f>IF(NOT((COUNTA($B205:$D205)+COUNTA($G205:$H205)+COUNTA($Q205))&gt;0),"",IF($D205="","Propia",IF($V205&lt;&gt;"Macro","Solo se delegan macroactividades",IF(N($AM205)&gt;0,"✔ Recibida por "&amp;$D205,"⚠ "&amp;$D205&amp;" aún no la agrega"))))</f>
        <v/>
      </c>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f>IF(NOT(AND($D205&lt;&gt;"",$V205="Macro")),"",IFERROR(CHOOSE(MATCH($D205,ListaPuestos,0),MATCH("[Jefatura] "&amp;$C205,'Cronograma R. Operacional'!$C$5:$C$1000,0),MATCH("[Jefatura] "&amp;$C205,'Cronograma R. Normativo'!$C$5:$C$1000,0),MATCH("[Jefatura] "&amp;$C205,'Cronograma R. Financiero'!$C$5:$C$1000,0),MATCH("[Jefatura] "&amp;$C205,'Cronograma Asistente Técnico'!$C$5:$C$1000,0)),0))</f>
        <v/>
      </c>
      <c r="AN205" s="62">
        <f>IF(AND(AND($D205&lt;&gt;"",$V205="Macro"),$S205=MesCiclo),COUNTIFS($D$5:$D205,$D205,$S$5:$S205,MesCiclo,$V$5:$V205,"Macro"),"")</f>
        <v/>
      </c>
      <c r="AO205" s="62">
        <f>IF($AN205="","",$D205&amp;"|"&amp;$AN205)</f>
        <v/>
      </c>
      <c r="AP205" s="62">
        <f>IF(AND($D205&lt;&gt;"",$V205="Macro"),$D205&amp;"|"&amp;$C205,"")</f>
        <v/>
      </c>
      <c r="AQ205" s="62">
        <f>""</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t="n"/>
      <c r="F206" s="59" t="n"/>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IF(NOT((COUNTA($B206:$D206)+COUNTA($G206:$H206)+COUNTA($Q206))&gt;0),"",IF(AND($D206&lt;&gt;"",$V206="Macro"),IF(N($AM206)&gt;0,N(CHOOSE(MATCH($D206,ListaPuestos,0),INDEX('Cronograma R. Operacional'!$M$5:$M$1000,$AM206),INDEX('Cronograma R. Normativo'!$M$5:$M$1000,$AM206),INDEX('Cronograma R. Financiero'!$M$5:$M$1000,$AM206),INDEX('Cronograma Asistente Técnico'!$M$5:$M$1000,$AM206))),0),IF(ISNUMBER($G206),1,IF(N($W206)&gt;0,MIN(1,SUMIFS($Y$5:$Y$1000,$U$5:$U$1000,ROW(),$V$5:$V$1000,"Sub")),$Y206))))</f>
        <v/>
      </c>
      <c r="N206" s="56">
        <f>IF(OR($M206="",$V206="Sub"),"",IF($M206&gt;=1,"Completado",IF($M206&gt;0,"En curso","Pendiente")))</f>
        <v/>
      </c>
      <c r="O206" s="56">
        <f>IF(NOT((COUNTA($B206:$D206)+COUNTA($G206:$H206)+COUNTA($Q206))&gt;0),"",IF(AND(AND($D206&lt;&gt;"",$V206="Macro"),N($AM206)&gt;0),CHOOSE(MATCH($D206,ListaPuestos,0),INDEX('Cronograma R. Operacional'!$O$5:$O$1000,$AM206),INDEX('Cronograma R. Normativo'!$O$5:$O$1000,$AM206),INDEX('Cronograma R. Financiero'!$O$5:$O$1000,$AM206),INDEX('Cronograma Asistente Técnico'!$O$5:$O$1000,$AM206))&amp;"",IF(ISNUMBER($G206),IF(AND(ISNUMBER($AS206),$G206&gt;$AS206),"Cumplida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f>IF(NOT((COUNTA($B206:$D206)+COUNTA($G206:$H206)+COUNTA($Q206))&gt;0),"",IF($D206="","Propia",IF($V206&lt;&gt;"Macro","Solo se delegan macroactividades",IF(N($AM206)&gt;0,"✔ Recibida por "&amp;$D206,"⚠ "&amp;$D206&amp;" aún no la agrega"))))</f>
        <v/>
      </c>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f>IF(NOT(AND($D206&lt;&gt;"",$V206="Macro")),"",IFERROR(CHOOSE(MATCH($D206,ListaPuestos,0),MATCH("[Jefatura] "&amp;$C206,'Cronograma R. Operacional'!$C$5:$C$1000,0),MATCH("[Jefatura] "&amp;$C206,'Cronograma R. Normativo'!$C$5:$C$1000,0),MATCH("[Jefatura] "&amp;$C206,'Cronograma R. Financiero'!$C$5:$C$1000,0),MATCH("[Jefatura] "&amp;$C206,'Cronograma Asistente Técnico'!$C$5:$C$1000,0)),0))</f>
        <v/>
      </c>
      <c r="AN206" s="62">
        <f>IF(AND(AND($D206&lt;&gt;"",$V206="Macro"),$S206=MesCiclo),COUNTIFS($D$5:$D206,$D206,$S$5:$S206,MesCiclo,$V$5:$V206,"Macro"),"")</f>
        <v/>
      </c>
      <c r="AO206" s="62">
        <f>IF($AN206="","",$D206&amp;"|"&amp;$AN206)</f>
        <v/>
      </c>
      <c r="AP206" s="62">
        <f>IF(AND($D206&lt;&gt;"",$V206="Macro"),$D206&amp;"|"&amp;$C206,"")</f>
        <v/>
      </c>
      <c r="AQ206" s="62">
        <f>""</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t="n"/>
      <c r="F207" s="59" t="n"/>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IF(NOT((COUNTA($B207:$D207)+COUNTA($G207:$H207)+COUNTA($Q207))&gt;0),"",IF(AND($D207&lt;&gt;"",$V207="Macro"),IF(N($AM207)&gt;0,N(CHOOSE(MATCH($D207,ListaPuestos,0),INDEX('Cronograma R. Operacional'!$M$5:$M$1000,$AM207),INDEX('Cronograma R. Normativo'!$M$5:$M$1000,$AM207),INDEX('Cronograma R. Financiero'!$M$5:$M$1000,$AM207),INDEX('Cronograma Asistente Técnico'!$M$5:$M$1000,$AM207))),0),IF(ISNUMBER($G207),1,IF(N($W207)&gt;0,MIN(1,SUMIFS($Y$5:$Y$1000,$U$5:$U$1000,ROW(),$V$5:$V$1000,"Sub")),$Y207))))</f>
        <v/>
      </c>
      <c r="N207" s="56">
        <f>IF(OR($M207="",$V207="Sub"),"",IF($M207&gt;=1,"Completado",IF($M207&gt;0,"En curso","Pendiente")))</f>
        <v/>
      </c>
      <c r="O207" s="56">
        <f>IF(NOT((COUNTA($B207:$D207)+COUNTA($G207:$H207)+COUNTA($Q207))&gt;0),"",IF(AND(AND($D207&lt;&gt;"",$V207="Macro"),N($AM207)&gt;0),CHOOSE(MATCH($D207,ListaPuestos,0),INDEX('Cronograma R. Operacional'!$O$5:$O$1000,$AM207),INDEX('Cronograma R. Normativo'!$O$5:$O$1000,$AM207),INDEX('Cronograma R. Financiero'!$O$5:$O$1000,$AM207),INDEX('Cronograma Asistente Técnico'!$O$5:$O$1000,$AM207))&amp;"",IF(ISNUMBER($G207),IF(AND(ISNUMBER($AS207),$G207&gt;$AS207),"Cumplida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f>IF(NOT((COUNTA($B207:$D207)+COUNTA($G207:$H207)+COUNTA($Q207))&gt;0),"",IF($D207="","Propia",IF($V207&lt;&gt;"Macro","Solo se delegan macroactividades",IF(N($AM207)&gt;0,"✔ Recibida por "&amp;$D207,"⚠ "&amp;$D207&amp;" aún no la agrega"))))</f>
        <v/>
      </c>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f>IF(NOT(AND($D207&lt;&gt;"",$V207="Macro")),"",IFERROR(CHOOSE(MATCH($D207,ListaPuestos,0),MATCH("[Jefatura] "&amp;$C207,'Cronograma R. Operacional'!$C$5:$C$1000,0),MATCH("[Jefatura] "&amp;$C207,'Cronograma R. Normativo'!$C$5:$C$1000,0),MATCH("[Jefatura] "&amp;$C207,'Cronograma R. Financiero'!$C$5:$C$1000,0),MATCH("[Jefatura] "&amp;$C207,'Cronograma Asistente Técnico'!$C$5:$C$1000,0)),0))</f>
        <v/>
      </c>
      <c r="AN207" s="62">
        <f>IF(AND(AND($D207&lt;&gt;"",$V207="Macro"),$S207=MesCiclo),COUNTIFS($D$5:$D207,$D207,$S$5:$S207,MesCiclo,$V$5:$V207,"Macro"),"")</f>
        <v/>
      </c>
      <c r="AO207" s="62">
        <f>IF($AN207="","",$D207&amp;"|"&amp;$AN207)</f>
        <v/>
      </c>
      <c r="AP207" s="62">
        <f>IF(AND($D207&lt;&gt;"",$V207="Macro"),$D207&amp;"|"&amp;$C207,"")</f>
        <v/>
      </c>
      <c r="AQ207" s="62">
        <f>""</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t="n"/>
      <c r="F208" s="59" t="n"/>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IF(NOT((COUNTA($B208:$D208)+COUNTA($G208:$H208)+COUNTA($Q208))&gt;0),"",IF(AND($D208&lt;&gt;"",$V208="Macro"),IF(N($AM208)&gt;0,N(CHOOSE(MATCH($D208,ListaPuestos,0),INDEX('Cronograma R. Operacional'!$M$5:$M$1000,$AM208),INDEX('Cronograma R. Normativo'!$M$5:$M$1000,$AM208),INDEX('Cronograma R. Financiero'!$M$5:$M$1000,$AM208),INDEX('Cronograma Asistente Técnico'!$M$5:$M$1000,$AM208))),0),IF(ISNUMBER($G208),1,IF(N($W208)&gt;0,MIN(1,SUMIFS($Y$5:$Y$1000,$U$5:$U$1000,ROW(),$V$5:$V$1000,"Sub")),$Y208))))</f>
        <v/>
      </c>
      <c r="N208" s="56">
        <f>IF(OR($M208="",$V208="Sub"),"",IF($M208&gt;=1,"Completado",IF($M208&gt;0,"En curso","Pendiente")))</f>
        <v/>
      </c>
      <c r="O208" s="56">
        <f>IF(NOT((COUNTA($B208:$D208)+COUNTA($G208:$H208)+COUNTA($Q208))&gt;0),"",IF(AND(AND($D208&lt;&gt;"",$V208="Macro"),N($AM208)&gt;0),CHOOSE(MATCH($D208,ListaPuestos,0),INDEX('Cronograma R. Operacional'!$O$5:$O$1000,$AM208),INDEX('Cronograma R. Normativo'!$O$5:$O$1000,$AM208),INDEX('Cronograma R. Financiero'!$O$5:$O$1000,$AM208),INDEX('Cronograma Asistente Técnico'!$O$5:$O$1000,$AM208))&amp;"",IF(ISNUMBER($G208),IF(AND(ISNUMBER($AS208),$G208&gt;$AS208),"Cumplida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f>IF(NOT((COUNTA($B208:$D208)+COUNTA($G208:$H208)+COUNTA($Q208))&gt;0),"",IF($D208="","Propia",IF($V208&lt;&gt;"Macro","Solo se delegan macroactividades",IF(N($AM208)&gt;0,"✔ Recibida por "&amp;$D208,"⚠ "&amp;$D208&amp;" aún no la agrega"))))</f>
        <v/>
      </c>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f>IF(NOT(AND($D208&lt;&gt;"",$V208="Macro")),"",IFERROR(CHOOSE(MATCH($D208,ListaPuestos,0),MATCH("[Jefatura] "&amp;$C208,'Cronograma R. Operacional'!$C$5:$C$1000,0),MATCH("[Jefatura] "&amp;$C208,'Cronograma R. Normativo'!$C$5:$C$1000,0),MATCH("[Jefatura] "&amp;$C208,'Cronograma R. Financiero'!$C$5:$C$1000,0),MATCH("[Jefatura] "&amp;$C208,'Cronograma Asistente Técnico'!$C$5:$C$1000,0)),0))</f>
        <v/>
      </c>
      <c r="AN208" s="62">
        <f>IF(AND(AND($D208&lt;&gt;"",$V208="Macro"),$S208=MesCiclo),COUNTIFS($D$5:$D208,$D208,$S$5:$S208,MesCiclo,$V$5:$V208,"Macro"),"")</f>
        <v/>
      </c>
      <c r="AO208" s="62">
        <f>IF($AN208="","",$D208&amp;"|"&amp;$AN208)</f>
        <v/>
      </c>
      <c r="AP208" s="62">
        <f>IF(AND($D208&lt;&gt;"",$V208="Macro"),$D208&amp;"|"&amp;$C208,"")</f>
        <v/>
      </c>
      <c r="AQ208" s="62">
        <f>""</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t="n"/>
      <c r="F209" s="59" t="n"/>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IF(NOT((COUNTA($B209:$D209)+COUNTA($G209:$H209)+COUNTA($Q209))&gt;0),"",IF(AND($D209&lt;&gt;"",$V209="Macro"),IF(N($AM209)&gt;0,N(CHOOSE(MATCH($D209,ListaPuestos,0),INDEX('Cronograma R. Operacional'!$M$5:$M$1000,$AM209),INDEX('Cronograma R. Normativo'!$M$5:$M$1000,$AM209),INDEX('Cronograma R. Financiero'!$M$5:$M$1000,$AM209),INDEX('Cronograma Asistente Técnico'!$M$5:$M$1000,$AM209))),0),IF(ISNUMBER($G209),1,IF(N($W209)&gt;0,MIN(1,SUMIFS($Y$5:$Y$1000,$U$5:$U$1000,ROW(),$V$5:$V$1000,"Sub")),$Y209))))</f>
        <v/>
      </c>
      <c r="N209" s="56">
        <f>IF(OR($M209="",$V209="Sub"),"",IF($M209&gt;=1,"Completado",IF($M209&gt;0,"En curso","Pendiente")))</f>
        <v/>
      </c>
      <c r="O209" s="56">
        <f>IF(NOT((COUNTA($B209:$D209)+COUNTA($G209:$H209)+COUNTA($Q209))&gt;0),"",IF(AND(AND($D209&lt;&gt;"",$V209="Macro"),N($AM209)&gt;0),CHOOSE(MATCH($D209,ListaPuestos,0),INDEX('Cronograma R. Operacional'!$O$5:$O$1000,$AM209),INDEX('Cronograma R. Normativo'!$O$5:$O$1000,$AM209),INDEX('Cronograma R. Financiero'!$O$5:$O$1000,$AM209),INDEX('Cronograma Asistente Técnico'!$O$5:$O$1000,$AM209))&amp;"",IF(ISNUMBER($G209),IF(AND(ISNUMBER($AS209),$G209&gt;$AS209),"Cumplida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f>IF(NOT((COUNTA($B209:$D209)+COUNTA($G209:$H209)+COUNTA($Q209))&gt;0),"",IF($D209="","Propia",IF($V209&lt;&gt;"Macro","Solo se delegan macroactividades",IF(N($AM209)&gt;0,"✔ Recibida por "&amp;$D209,"⚠ "&amp;$D209&amp;" aún no la agrega"))))</f>
        <v/>
      </c>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f>IF(NOT(AND($D209&lt;&gt;"",$V209="Macro")),"",IFERROR(CHOOSE(MATCH($D209,ListaPuestos,0),MATCH("[Jefatura] "&amp;$C209,'Cronograma R. Operacional'!$C$5:$C$1000,0),MATCH("[Jefatura] "&amp;$C209,'Cronograma R. Normativo'!$C$5:$C$1000,0),MATCH("[Jefatura] "&amp;$C209,'Cronograma R. Financiero'!$C$5:$C$1000,0),MATCH("[Jefatura] "&amp;$C209,'Cronograma Asistente Técnico'!$C$5:$C$1000,0)),0))</f>
        <v/>
      </c>
      <c r="AN209" s="62">
        <f>IF(AND(AND($D209&lt;&gt;"",$V209="Macro"),$S209=MesCiclo),COUNTIFS($D$5:$D209,$D209,$S$5:$S209,MesCiclo,$V$5:$V209,"Macro"),"")</f>
        <v/>
      </c>
      <c r="AO209" s="62">
        <f>IF($AN209="","",$D209&amp;"|"&amp;$AN209)</f>
        <v/>
      </c>
      <c r="AP209" s="62">
        <f>IF(AND($D209&lt;&gt;"",$V209="Macro"),$D209&amp;"|"&amp;$C209,"")</f>
        <v/>
      </c>
      <c r="AQ209" s="62">
        <f>""</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t="n"/>
      <c r="F210" s="59" t="n"/>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IF(NOT((COUNTA($B210:$D210)+COUNTA($G210:$H210)+COUNTA($Q210))&gt;0),"",IF(AND($D210&lt;&gt;"",$V210="Macro"),IF(N($AM210)&gt;0,N(CHOOSE(MATCH($D210,ListaPuestos,0),INDEX('Cronograma R. Operacional'!$M$5:$M$1000,$AM210),INDEX('Cronograma R. Normativo'!$M$5:$M$1000,$AM210),INDEX('Cronograma R. Financiero'!$M$5:$M$1000,$AM210),INDEX('Cronograma Asistente Técnico'!$M$5:$M$1000,$AM210))),0),IF(ISNUMBER($G210),1,IF(N($W210)&gt;0,MIN(1,SUMIFS($Y$5:$Y$1000,$U$5:$U$1000,ROW(),$V$5:$V$1000,"Sub")),$Y210))))</f>
        <v/>
      </c>
      <c r="N210" s="56">
        <f>IF(OR($M210="",$V210="Sub"),"",IF($M210&gt;=1,"Completado",IF($M210&gt;0,"En curso","Pendiente")))</f>
        <v/>
      </c>
      <c r="O210" s="56">
        <f>IF(NOT((COUNTA($B210:$D210)+COUNTA($G210:$H210)+COUNTA($Q210))&gt;0),"",IF(AND(AND($D210&lt;&gt;"",$V210="Macro"),N($AM210)&gt;0),CHOOSE(MATCH($D210,ListaPuestos,0),INDEX('Cronograma R. Operacional'!$O$5:$O$1000,$AM210),INDEX('Cronograma R. Normativo'!$O$5:$O$1000,$AM210),INDEX('Cronograma R. Financiero'!$O$5:$O$1000,$AM210),INDEX('Cronograma Asistente Técnico'!$O$5:$O$1000,$AM210))&amp;"",IF(ISNUMBER($G210),IF(AND(ISNUMBER($AS210),$G210&gt;$AS210),"Cumplida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f>IF(NOT((COUNTA($B210:$D210)+COUNTA($G210:$H210)+COUNTA($Q210))&gt;0),"",IF($D210="","Propia",IF($V210&lt;&gt;"Macro","Solo se delegan macroactividades",IF(N($AM210)&gt;0,"✔ Recibida por "&amp;$D210,"⚠ "&amp;$D210&amp;" aún no la agrega"))))</f>
        <v/>
      </c>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f>IF(NOT(AND($D210&lt;&gt;"",$V210="Macro")),"",IFERROR(CHOOSE(MATCH($D210,ListaPuestos,0),MATCH("[Jefatura] "&amp;$C210,'Cronograma R. Operacional'!$C$5:$C$1000,0),MATCH("[Jefatura] "&amp;$C210,'Cronograma R. Normativo'!$C$5:$C$1000,0),MATCH("[Jefatura] "&amp;$C210,'Cronograma R. Financiero'!$C$5:$C$1000,0),MATCH("[Jefatura] "&amp;$C210,'Cronograma Asistente Técnico'!$C$5:$C$1000,0)),0))</f>
        <v/>
      </c>
      <c r="AN210" s="62">
        <f>IF(AND(AND($D210&lt;&gt;"",$V210="Macro"),$S210=MesCiclo),COUNTIFS($D$5:$D210,$D210,$S$5:$S210,MesCiclo,$V$5:$V210,"Macro"),"")</f>
        <v/>
      </c>
      <c r="AO210" s="62">
        <f>IF($AN210="","",$D210&amp;"|"&amp;$AN210)</f>
        <v/>
      </c>
      <c r="AP210" s="62">
        <f>IF(AND($D210&lt;&gt;"",$V210="Macro"),$D210&amp;"|"&amp;$C210,"")</f>
        <v/>
      </c>
      <c r="AQ210" s="62">
        <f>""</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t="n"/>
      <c r="F211" s="59" t="n"/>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IF(NOT((COUNTA($B211:$D211)+COUNTA($G211:$H211)+COUNTA($Q211))&gt;0),"",IF(AND($D211&lt;&gt;"",$V211="Macro"),IF(N($AM211)&gt;0,N(CHOOSE(MATCH($D211,ListaPuestos,0),INDEX('Cronograma R. Operacional'!$M$5:$M$1000,$AM211),INDEX('Cronograma R. Normativo'!$M$5:$M$1000,$AM211),INDEX('Cronograma R. Financiero'!$M$5:$M$1000,$AM211),INDEX('Cronograma Asistente Técnico'!$M$5:$M$1000,$AM211))),0),IF(ISNUMBER($G211),1,IF(N($W211)&gt;0,MIN(1,SUMIFS($Y$5:$Y$1000,$U$5:$U$1000,ROW(),$V$5:$V$1000,"Sub")),$Y211))))</f>
        <v/>
      </c>
      <c r="N211" s="56">
        <f>IF(OR($M211="",$V211="Sub"),"",IF($M211&gt;=1,"Completado",IF($M211&gt;0,"En curso","Pendiente")))</f>
        <v/>
      </c>
      <c r="O211" s="56">
        <f>IF(NOT((COUNTA($B211:$D211)+COUNTA($G211:$H211)+COUNTA($Q211))&gt;0),"",IF(AND(AND($D211&lt;&gt;"",$V211="Macro"),N($AM211)&gt;0),CHOOSE(MATCH($D211,ListaPuestos,0),INDEX('Cronograma R. Operacional'!$O$5:$O$1000,$AM211),INDEX('Cronograma R. Normativo'!$O$5:$O$1000,$AM211),INDEX('Cronograma R. Financiero'!$O$5:$O$1000,$AM211),INDEX('Cronograma Asistente Técnico'!$O$5:$O$1000,$AM211))&amp;"",IF(ISNUMBER($G211),IF(AND(ISNUMBER($AS211),$G211&gt;$AS211),"Cumplida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f>IF(NOT((COUNTA($B211:$D211)+COUNTA($G211:$H211)+COUNTA($Q211))&gt;0),"",IF($D211="","Propia",IF($V211&lt;&gt;"Macro","Solo se delegan macroactividades",IF(N($AM211)&gt;0,"✔ Recibida por "&amp;$D211,"⚠ "&amp;$D211&amp;" aún no la agrega"))))</f>
        <v/>
      </c>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f>IF(NOT(AND($D211&lt;&gt;"",$V211="Macro")),"",IFERROR(CHOOSE(MATCH($D211,ListaPuestos,0),MATCH("[Jefatura] "&amp;$C211,'Cronograma R. Operacional'!$C$5:$C$1000,0),MATCH("[Jefatura] "&amp;$C211,'Cronograma R. Normativo'!$C$5:$C$1000,0),MATCH("[Jefatura] "&amp;$C211,'Cronograma R. Financiero'!$C$5:$C$1000,0),MATCH("[Jefatura] "&amp;$C211,'Cronograma Asistente Técnico'!$C$5:$C$1000,0)),0))</f>
        <v/>
      </c>
      <c r="AN211" s="62">
        <f>IF(AND(AND($D211&lt;&gt;"",$V211="Macro"),$S211=MesCiclo),COUNTIFS($D$5:$D211,$D211,$S$5:$S211,MesCiclo,$V$5:$V211,"Macro"),"")</f>
        <v/>
      </c>
      <c r="AO211" s="62">
        <f>IF($AN211="","",$D211&amp;"|"&amp;$AN211)</f>
        <v/>
      </c>
      <c r="AP211" s="62">
        <f>IF(AND($D211&lt;&gt;"",$V211="Macro"),$D211&amp;"|"&amp;$C211,"")</f>
        <v/>
      </c>
      <c r="AQ211" s="62">
        <f>""</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t="n"/>
      <c r="F212" s="59" t="n"/>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IF(NOT((COUNTA($B212:$D212)+COUNTA($G212:$H212)+COUNTA($Q212))&gt;0),"",IF(AND($D212&lt;&gt;"",$V212="Macro"),IF(N($AM212)&gt;0,N(CHOOSE(MATCH($D212,ListaPuestos,0),INDEX('Cronograma R. Operacional'!$M$5:$M$1000,$AM212),INDEX('Cronograma R. Normativo'!$M$5:$M$1000,$AM212),INDEX('Cronograma R. Financiero'!$M$5:$M$1000,$AM212),INDEX('Cronograma Asistente Técnico'!$M$5:$M$1000,$AM212))),0),IF(ISNUMBER($G212),1,IF(N($W212)&gt;0,MIN(1,SUMIFS($Y$5:$Y$1000,$U$5:$U$1000,ROW(),$V$5:$V$1000,"Sub")),$Y212))))</f>
        <v/>
      </c>
      <c r="N212" s="56">
        <f>IF(OR($M212="",$V212="Sub"),"",IF($M212&gt;=1,"Completado",IF($M212&gt;0,"En curso","Pendiente")))</f>
        <v/>
      </c>
      <c r="O212" s="56">
        <f>IF(NOT((COUNTA($B212:$D212)+COUNTA($G212:$H212)+COUNTA($Q212))&gt;0),"",IF(AND(AND($D212&lt;&gt;"",$V212="Macro"),N($AM212)&gt;0),CHOOSE(MATCH($D212,ListaPuestos,0),INDEX('Cronograma R. Operacional'!$O$5:$O$1000,$AM212),INDEX('Cronograma R. Normativo'!$O$5:$O$1000,$AM212),INDEX('Cronograma R. Financiero'!$O$5:$O$1000,$AM212),INDEX('Cronograma Asistente Técnico'!$O$5:$O$1000,$AM212))&amp;"",IF(ISNUMBER($G212),IF(AND(ISNUMBER($AS212),$G212&gt;$AS212),"Cumplida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f>IF(NOT((COUNTA($B212:$D212)+COUNTA($G212:$H212)+COUNTA($Q212))&gt;0),"",IF($D212="","Propia",IF($V212&lt;&gt;"Macro","Solo se delegan macroactividades",IF(N($AM212)&gt;0,"✔ Recibida por "&amp;$D212,"⚠ "&amp;$D212&amp;" aún no la agrega"))))</f>
        <v/>
      </c>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f>IF(NOT(AND($D212&lt;&gt;"",$V212="Macro")),"",IFERROR(CHOOSE(MATCH($D212,ListaPuestos,0),MATCH("[Jefatura] "&amp;$C212,'Cronograma R. Operacional'!$C$5:$C$1000,0),MATCH("[Jefatura] "&amp;$C212,'Cronograma R. Normativo'!$C$5:$C$1000,0),MATCH("[Jefatura] "&amp;$C212,'Cronograma R. Financiero'!$C$5:$C$1000,0),MATCH("[Jefatura] "&amp;$C212,'Cronograma Asistente Técnico'!$C$5:$C$1000,0)),0))</f>
        <v/>
      </c>
      <c r="AN212" s="62">
        <f>IF(AND(AND($D212&lt;&gt;"",$V212="Macro"),$S212=MesCiclo),COUNTIFS($D$5:$D212,$D212,$S$5:$S212,MesCiclo,$V$5:$V212,"Macro"),"")</f>
        <v/>
      </c>
      <c r="AO212" s="62">
        <f>IF($AN212="","",$D212&amp;"|"&amp;$AN212)</f>
        <v/>
      </c>
      <c r="AP212" s="62">
        <f>IF(AND($D212&lt;&gt;"",$V212="Macro"),$D212&amp;"|"&amp;$C212,"")</f>
        <v/>
      </c>
      <c r="AQ212" s="62">
        <f>""</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t="n"/>
      <c r="F213" s="59" t="n"/>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IF(NOT((COUNTA($B213:$D213)+COUNTA($G213:$H213)+COUNTA($Q213))&gt;0),"",IF(AND($D213&lt;&gt;"",$V213="Macro"),IF(N($AM213)&gt;0,N(CHOOSE(MATCH($D213,ListaPuestos,0),INDEX('Cronograma R. Operacional'!$M$5:$M$1000,$AM213),INDEX('Cronograma R. Normativo'!$M$5:$M$1000,$AM213),INDEX('Cronograma R. Financiero'!$M$5:$M$1000,$AM213),INDEX('Cronograma Asistente Técnico'!$M$5:$M$1000,$AM213))),0),IF(ISNUMBER($G213),1,IF(N($W213)&gt;0,MIN(1,SUMIFS($Y$5:$Y$1000,$U$5:$U$1000,ROW(),$V$5:$V$1000,"Sub")),$Y213))))</f>
        <v/>
      </c>
      <c r="N213" s="56">
        <f>IF(OR($M213="",$V213="Sub"),"",IF($M213&gt;=1,"Completado",IF($M213&gt;0,"En curso","Pendiente")))</f>
        <v/>
      </c>
      <c r="O213" s="56">
        <f>IF(NOT((COUNTA($B213:$D213)+COUNTA($G213:$H213)+COUNTA($Q213))&gt;0),"",IF(AND(AND($D213&lt;&gt;"",$V213="Macro"),N($AM213)&gt;0),CHOOSE(MATCH($D213,ListaPuestos,0),INDEX('Cronograma R. Operacional'!$O$5:$O$1000,$AM213),INDEX('Cronograma R. Normativo'!$O$5:$O$1000,$AM213),INDEX('Cronograma R. Financiero'!$O$5:$O$1000,$AM213),INDEX('Cronograma Asistente Técnico'!$O$5:$O$1000,$AM213))&amp;"",IF(ISNUMBER($G213),IF(AND(ISNUMBER($AS213),$G213&gt;$AS213),"Cumplida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f>IF(NOT((COUNTA($B213:$D213)+COUNTA($G213:$H213)+COUNTA($Q213))&gt;0),"",IF($D213="","Propia",IF($V213&lt;&gt;"Macro","Solo se delegan macroactividades",IF(N($AM213)&gt;0,"✔ Recibida por "&amp;$D213,"⚠ "&amp;$D213&amp;" aún no la agrega"))))</f>
        <v/>
      </c>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f>IF(NOT(AND($D213&lt;&gt;"",$V213="Macro")),"",IFERROR(CHOOSE(MATCH($D213,ListaPuestos,0),MATCH("[Jefatura] "&amp;$C213,'Cronograma R. Operacional'!$C$5:$C$1000,0),MATCH("[Jefatura] "&amp;$C213,'Cronograma R. Normativo'!$C$5:$C$1000,0),MATCH("[Jefatura] "&amp;$C213,'Cronograma R. Financiero'!$C$5:$C$1000,0),MATCH("[Jefatura] "&amp;$C213,'Cronograma Asistente Técnico'!$C$5:$C$1000,0)),0))</f>
        <v/>
      </c>
      <c r="AN213" s="62">
        <f>IF(AND(AND($D213&lt;&gt;"",$V213="Macro"),$S213=MesCiclo),COUNTIFS($D$5:$D213,$D213,$S$5:$S213,MesCiclo,$V$5:$V213,"Macro"),"")</f>
        <v/>
      </c>
      <c r="AO213" s="62">
        <f>IF($AN213="","",$D213&amp;"|"&amp;$AN213)</f>
        <v/>
      </c>
      <c r="AP213" s="62">
        <f>IF(AND($D213&lt;&gt;"",$V213="Macro"),$D213&amp;"|"&amp;$C213,"")</f>
        <v/>
      </c>
      <c r="AQ213" s="62">
        <f>""</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t="n"/>
      <c r="F214" s="59" t="n"/>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IF(NOT((COUNTA($B214:$D214)+COUNTA($G214:$H214)+COUNTA($Q214))&gt;0),"",IF(AND($D214&lt;&gt;"",$V214="Macro"),IF(N($AM214)&gt;0,N(CHOOSE(MATCH($D214,ListaPuestos,0),INDEX('Cronograma R. Operacional'!$M$5:$M$1000,$AM214),INDEX('Cronograma R. Normativo'!$M$5:$M$1000,$AM214),INDEX('Cronograma R. Financiero'!$M$5:$M$1000,$AM214),INDEX('Cronograma Asistente Técnico'!$M$5:$M$1000,$AM214))),0),IF(ISNUMBER($G214),1,IF(N($W214)&gt;0,MIN(1,SUMIFS($Y$5:$Y$1000,$U$5:$U$1000,ROW(),$V$5:$V$1000,"Sub")),$Y214))))</f>
        <v/>
      </c>
      <c r="N214" s="56">
        <f>IF(OR($M214="",$V214="Sub"),"",IF($M214&gt;=1,"Completado",IF($M214&gt;0,"En curso","Pendiente")))</f>
        <v/>
      </c>
      <c r="O214" s="56">
        <f>IF(NOT((COUNTA($B214:$D214)+COUNTA($G214:$H214)+COUNTA($Q214))&gt;0),"",IF(AND(AND($D214&lt;&gt;"",$V214="Macro"),N($AM214)&gt;0),CHOOSE(MATCH($D214,ListaPuestos,0),INDEX('Cronograma R. Operacional'!$O$5:$O$1000,$AM214),INDEX('Cronograma R. Normativo'!$O$5:$O$1000,$AM214),INDEX('Cronograma R. Financiero'!$O$5:$O$1000,$AM214),INDEX('Cronograma Asistente Técnico'!$O$5:$O$1000,$AM214))&amp;"",IF(ISNUMBER($G214),IF(AND(ISNUMBER($AS214),$G214&gt;$AS214),"Cumplida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f>IF(NOT((COUNTA($B214:$D214)+COUNTA($G214:$H214)+COUNTA($Q214))&gt;0),"",IF($D214="","Propia",IF($V214&lt;&gt;"Macro","Solo se delegan macroactividades",IF(N($AM214)&gt;0,"✔ Recibida por "&amp;$D214,"⚠ "&amp;$D214&amp;" aún no la agrega"))))</f>
        <v/>
      </c>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f>IF(NOT(AND($D214&lt;&gt;"",$V214="Macro")),"",IFERROR(CHOOSE(MATCH($D214,ListaPuestos,0),MATCH("[Jefatura] "&amp;$C214,'Cronograma R. Operacional'!$C$5:$C$1000,0),MATCH("[Jefatura] "&amp;$C214,'Cronograma R. Normativo'!$C$5:$C$1000,0),MATCH("[Jefatura] "&amp;$C214,'Cronograma R. Financiero'!$C$5:$C$1000,0),MATCH("[Jefatura] "&amp;$C214,'Cronograma Asistente Técnico'!$C$5:$C$1000,0)),0))</f>
        <v/>
      </c>
      <c r="AN214" s="62">
        <f>IF(AND(AND($D214&lt;&gt;"",$V214="Macro"),$S214=MesCiclo),COUNTIFS($D$5:$D214,$D214,$S$5:$S214,MesCiclo,$V$5:$V214,"Macro"),"")</f>
        <v/>
      </c>
      <c r="AO214" s="62">
        <f>IF($AN214="","",$D214&amp;"|"&amp;$AN214)</f>
        <v/>
      </c>
      <c r="AP214" s="62">
        <f>IF(AND($D214&lt;&gt;"",$V214="Macro"),$D214&amp;"|"&amp;$C214,"")</f>
        <v/>
      </c>
      <c r="AQ214" s="62">
        <f>""</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t="n"/>
      <c r="F215" s="59" t="n"/>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IF(NOT((COUNTA($B215:$D215)+COUNTA($G215:$H215)+COUNTA($Q215))&gt;0),"",IF(AND($D215&lt;&gt;"",$V215="Macro"),IF(N($AM215)&gt;0,N(CHOOSE(MATCH($D215,ListaPuestos,0),INDEX('Cronograma R. Operacional'!$M$5:$M$1000,$AM215),INDEX('Cronograma R. Normativo'!$M$5:$M$1000,$AM215),INDEX('Cronograma R. Financiero'!$M$5:$M$1000,$AM215),INDEX('Cronograma Asistente Técnico'!$M$5:$M$1000,$AM215))),0),IF(ISNUMBER($G215),1,IF(N($W215)&gt;0,MIN(1,SUMIFS($Y$5:$Y$1000,$U$5:$U$1000,ROW(),$V$5:$V$1000,"Sub")),$Y215))))</f>
        <v/>
      </c>
      <c r="N215" s="56">
        <f>IF(OR($M215="",$V215="Sub"),"",IF($M215&gt;=1,"Completado",IF($M215&gt;0,"En curso","Pendiente")))</f>
        <v/>
      </c>
      <c r="O215" s="56">
        <f>IF(NOT((COUNTA($B215:$D215)+COUNTA($G215:$H215)+COUNTA($Q215))&gt;0),"",IF(AND(AND($D215&lt;&gt;"",$V215="Macro"),N($AM215)&gt;0),CHOOSE(MATCH($D215,ListaPuestos,0),INDEX('Cronograma R. Operacional'!$O$5:$O$1000,$AM215),INDEX('Cronograma R. Normativo'!$O$5:$O$1000,$AM215),INDEX('Cronograma R. Financiero'!$O$5:$O$1000,$AM215),INDEX('Cronograma Asistente Técnico'!$O$5:$O$1000,$AM215))&amp;"",IF(ISNUMBER($G215),IF(AND(ISNUMBER($AS215),$G215&gt;$AS215),"Cumplida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f>IF(NOT((COUNTA($B215:$D215)+COUNTA($G215:$H215)+COUNTA($Q215))&gt;0),"",IF($D215="","Propia",IF($V215&lt;&gt;"Macro","Solo se delegan macroactividades",IF(N($AM215)&gt;0,"✔ Recibida por "&amp;$D215,"⚠ "&amp;$D215&amp;" aún no la agrega"))))</f>
        <v/>
      </c>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f>IF(NOT(AND($D215&lt;&gt;"",$V215="Macro")),"",IFERROR(CHOOSE(MATCH($D215,ListaPuestos,0),MATCH("[Jefatura] "&amp;$C215,'Cronograma R. Operacional'!$C$5:$C$1000,0),MATCH("[Jefatura] "&amp;$C215,'Cronograma R. Normativo'!$C$5:$C$1000,0),MATCH("[Jefatura] "&amp;$C215,'Cronograma R. Financiero'!$C$5:$C$1000,0),MATCH("[Jefatura] "&amp;$C215,'Cronograma Asistente Técnico'!$C$5:$C$1000,0)),0))</f>
        <v/>
      </c>
      <c r="AN215" s="62">
        <f>IF(AND(AND($D215&lt;&gt;"",$V215="Macro"),$S215=MesCiclo),COUNTIFS($D$5:$D215,$D215,$S$5:$S215,MesCiclo,$V$5:$V215,"Macro"),"")</f>
        <v/>
      </c>
      <c r="AO215" s="62">
        <f>IF($AN215="","",$D215&amp;"|"&amp;$AN215)</f>
        <v/>
      </c>
      <c r="AP215" s="62">
        <f>IF(AND($D215&lt;&gt;"",$V215="Macro"),$D215&amp;"|"&amp;$C215,"")</f>
        <v/>
      </c>
      <c r="AQ215" s="62">
        <f>""</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t="n"/>
      <c r="F216" s="59" t="n"/>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IF(NOT((COUNTA($B216:$D216)+COUNTA($G216:$H216)+COUNTA($Q216))&gt;0),"",IF(AND($D216&lt;&gt;"",$V216="Macro"),IF(N($AM216)&gt;0,N(CHOOSE(MATCH($D216,ListaPuestos,0),INDEX('Cronograma R. Operacional'!$M$5:$M$1000,$AM216),INDEX('Cronograma R. Normativo'!$M$5:$M$1000,$AM216),INDEX('Cronograma R. Financiero'!$M$5:$M$1000,$AM216),INDEX('Cronograma Asistente Técnico'!$M$5:$M$1000,$AM216))),0),IF(ISNUMBER($G216),1,IF(N($W216)&gt;0,MIN(1,SUMIFS($Y$5:$Y$1000,$U$5:$U$1000,ROW(),$V$5:$V$1000,"Sub")),$Y216))))</f>
        <v/>
      </c>
      <c r="N216" s="56">
        <f>IF(OR($M216="",$V216="Sub"),"",IF($M216&gt;=1,"Completado",IF($M216&gt;0,"En curso","Pendiente")))</f>
        <v/>
      </c>
      <c r="O216" s="56">
        <f>IF(NOT((COUNTA($B216:$D216)+COUNTA($G216:$H216)+COUNTA($Q216))&gt;0),"",IF(AND(AND($D216&lt;&gt;"",$V216="Macro"),N($AM216)&gt;0),CHOOSE(MATCH($D216,ListaPuestos,0),INDEX('Cronograma R. Operacional'!$O$5:$O$1000,$AM216),INDEX('Cronograma R. Normativo'!$O$5:$O$1000,$AM216),INDEX('Cronograma R. Financiero'!$O$5:$O$1000,$AM216),INDEX('Cronograma Asistente Técnico'!$O$5:$O$1000,$AM216))&amp;"",IF(ISNUMBER($G216),IF(AND(ISNUMBER($AS216),$G216&gt;$AS216),"Cumplida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f>IF(NOT((COUNTA($B216:$D216)+COUNTA($G216:$H216)+COUNTA($Q216))&gt;0),"",IF($D216="","Propia",IF($V216&lt;&gt;"Macro","Solo se delegan macroactividades",IF(N($AM216)&gt;0,"✔ Recibida por "&amp;$D216,"⚠ "&amp;$D216&amp;" aún no la agrega"))))</f>
        <v/>
      </c>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f>IF(NOT(AND($D216&lt;&gt;"",$V216="Macro")),"",IFERROR(CHOOSE(MATCH($D216,ListaPuestos,0),MATCH("[Jefatura] "&amp;$C216,'Cronograma R. Operacional'!$C$5:$C$1000,0),MATCH("[Jefatura] "&amp;$C216,'Cronograma R. Normativo'!$C$5:$C$1000,0),MATCH("[Jefatura] "&amp;$C216,'Cronograma R. Financiero'!$C$5:$C$1000,0),MATCH("[Jefatura] "&amp;$C216,'Cronograma Asistente Técnico'!$C$5:$C$1000,0)),0))</f>
        <v/>
      </c>
      <c r="AN216" s="62">
        <f>IF(AND(AND($D216&lt;&gt;"",$V216="Macro"),$S216=MesCiclo),COUNTIFS($D$5:$D216,$D216,$S$5:$S216,MesCiclo,$V$5:$V216,"Macro"),"")</f>
        <v/>
      </c>
      <c r="AO216" s="62">
        <f>IF($AN216="","",$D216&amp;"|"&amp;$AN216)</f>
        <v/>
      </c>
      <c r="AP216" s="62">
        <f>IF(AND($D216&lt;&gt;"",$V216="Macro"),$D216&amp;"|"&amp;$C216,"")</f>
        <v/>
      </c>
      <c r="AQ216" s="62">
        <f>""</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t="n"/>
      <c r="F217" s="59" t="n"/>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IF(NOT((COUNTA($B217:$D217)+COUNTA($G217:$H217)+COUNTA($Q217))&gt;0),"",IF(AND($D217&lt;&gt;"",$V217="Macro"),IF(N($AM217)&gt;0,N(CHOOSE(MATCH($D217,ListaPuestos,0),INDEX('Cronograma R. Operacional'!$M$5:$M$1000,$AM217),INDEX('Cronograma R. Normativo'!$M$5:$M$1000,$AM217),INDEX('Cronograma R. Financiero'!$M$5:$M$1000,$AM217),INDEX('Cronograma Asistente Técnico'!$M$5:$M$1000,$AM217))),0),IF(ISNUMBER($G217),1,IF(N($W217)&gt;0,MIN(1,SUMIFS($Y$5:$Y$1000,$U$5:$U$1000,ROW(),$V$5:$V$1000,"Sub")),$Y217))))</f>
        <v/>
      </c>
      <c r="N217" s="56">
        <f>IF(OR($M217="",$V217="Sub"),"",IF($M217&gt;=1,"Completado",IF($M217&gt;0,"En curso","Pendiente")))</f>
        <v/>
      </c>
      <c r="O217" s="56">
        <f>IF(NOT((COUNTA($B217:$D217)+COUNTA($G217:$H217)+COUNTA($Q217))&gt;0),"",IF(AND(AND($D217&lt;&gt;"",$V217="Macro"),N($AM217)&gt;0),CHOOSE(MATCH($D217,ListaPuestos,0),INDEX('Cronograma R. Operacional'!$O$5:$O$1000,$AM217),INDEX('Cronograma R. Normativo'!$O$5:$O$1000,$AM217),INDEX('Cronograma R. Financiero'!$O$5:$O$1000,$AM217),INDEX('Cronograma Asistente Técnico'!$O$5:$O$1000,$AM217))&amp;"",IF(ISNUMBER($G217),IF(AND(ISNUMBER($AS217),$G217&gt;$AS217),"Cumplida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f>IF(NOT((COUNTA($B217:$D217)+COUNTA($G217:$H217)+COUNTA($Q217))&gt;0),"",IF($D217="","Propia",IF($V217&lt;&gt;"Macro","Solo se delegan macroactividades",IF(N($AM217)&gt;0,"✔ Recibida por "&amp;$D217,"⚠ "&amp;$D217&amp;" aún no la agrega"))))</f>
        <v/>
      </c>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f>IF(NOT(AND($D217&lt;&gt;"",$V217="Macro")),"",IFERROR(CHOOSE(MATCH($D217,ListaPuestos,0),MATCH("[Jefatura] "&amp;$C217,'Cronograma R. Operacional'!$C$5:$C$1000,0),MATCH("[Jefatura] "&amp;$C217,'Cronograma R. Normativo'!$C$5:$C$1000,0),MATCH("[Jefatura] "&amp;$C217,'Cronograma R. Financiero'!$C$5:$C$1000,0),MATCH("[Jefatura] "&amp;$C217,'Cronograma Asistente Técnico'!$C$5:$C$1000,0)),0))</f>
        <v/>
      </c>
      <c r="AN217" s="62">
        <f>IF(AND(AND($D217&lt;&gt;"",$V217="Macro"),$S217=MesCiclo),COUNTIFS($D$5:$D217,$D217,$S$5:$S217,MesCiclo,$V$5:$V217,"Macro"),"")</f>
        <v/>
      </c>
      <c r="AO217" s="62">
        <f>IF($AN217="","",$D217&amp;"|"&amp;$AN217)</f>
        <v/>
      </c>
      <c r="AP217" s="62">
        <f>IF(AND($D217&lt;&gt;"",$V217="Macro"),$D217&amp;"|"&amp;$C217,"")</f>
        <v/>
      </c>
      <c r="AQ217" s="62">
        <f>""</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t="n"/>
      <c r="F218" s="59" t="n"/>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IF(NOT((COUNTA($B218:$D218)+COUNTA($G218:$H218)+COUNTA($Q218))&gt;0),"",IF(AND($D218&lt;&gt;"",$V218="Macro"),IF(N($AM218)&gt;0,N(CHOOSE(MATCH($D218,ListaPuestos,0),INDEX('Cronograma R. Operacional'!$M$5:$M$1000,$AM218),INDEX('Cronograma R. Normativo'!$M$5:$M$1000,$AM218),INDEX('Cronograma R. Financiero'!$M$5:$M$1000,$AM218),INDEX('Cronograma Asistente Técnico'!$M$5:$M$1000,$AM218))),0),IF(ISNUMBER($G218),1,IF(N($W218)&gt;0,MIN(1,SUMIFS($Y$5:$Y$1000,$U$5:$U$1000,ROW(),$V$5:$V$1000,"Sub")),$Y218))))</f>
        <v/>
      </c>
      <c r="N218" s="56">
        <f>IF(OR($M218="",$V218="Sub"),"",IF($M218&gt;=1,"Completado",IF($M218&gt;0,"En curso","Pendiente")))</f>
        <v/>
      </c>
      <c r="O218" s="56">
        <f>IF(NOT((COUNTA($B218:$D218)+COUNTA($G218:$H218)+COUNTA($Q218))&gt;0),"",IF(AND(AND($D218&lt;&gt;"",$V218="Macro"),N($AM218)&gt;0),CHOOSE(MATCH($D218,ListaPuestos,0),INDEX('Cronograma R. Operacional'!$O$5:$O$1000,$AM218),INDEX('Cronograma R. Normativo'!$O$5:$O$1000,$AM218),INDEX('Cronograma R. Financiero'!$O$5:$O$1000,$AM218),INDEX('Cronograma Asistente Técnico'!$O$5:$O$1000,$AM218))&amp;"",IF(ISNUMBER($G218),IF(AND(ISNUMBER($AS218),$G218&gt;$AS218),"Cumplida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f>IF(NOT((COUNTA($B218:$D218)+COUNTA($G218:$H218)+COUNTA($Q218))&gt;0),"",IF($D218="","Propia",IF($V218&lt;&gt;"Macro","Solo se delegan macroactividades",IF(N($AM218)&gt;0,"✔ Recibida por "&amp;$D218,"⚠ "&amp;$D218&amp;" aún no la agrega"))))</f>
        <v/>
      </c>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f>IF(NOT(AND($D218&lt;&gt;"",$V218="Macro")),"",IFERROR(CHOOSE(MATCH($D218,ListaPuestos,0),MATCH("[Jefatura] "&amp;$C218,'Cronograma R. Operacional'!$C$5:$C$1000,0),MATCH("[Jefatura] "&amp;$C218,'Cronograma R. Normativo'!$C$5:$C$1000,0),MATCH("[Jefatura] "&amp;$C218,'Cronograma R. Financiero'!$C$5:$C$1000,0),MATCH("[Jefatura] "&amp;$C218,'Cronograma Asistente Técnico'!$C$5:$C$1000,0)),0))</f>
        <v/>
      </c>
      <c r="AN218" s="62">
        <f>IF(AND(AND($D218&lt;&gt;"",$V218="Macro"),$S218=MesCiclo),COUNTIFS($D$5:$D218,$D218,$S$5:$S218,MesCiclo,$V$5:$V218,"Macro"),"")</f>
        <v/>
      </c>
      <c r="AO218" s="62">
        <f>IF($AN218="","",$D218&amp;"|"&amp;$AN218)</f>
        <v/>
      </c>
      <c r="AP218" s="62">
        <f>IF(AND($D218&lt;&gt;"",$V218="Macro"),$D218&amp;"|"&amp;$C218,"")</f>
        <v/>
      </c>
      <c r="AQ218" s="62">
        <f>""</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t="n"/>
      <c r="F219" s="59" t="n"/>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IF(NOT((COUNTA($B219:$D219)+COUNTA($G219:$H219)+COUNTA($Q219))&gt;0),"",IF(AND($D219&lt;&gt;"",$V219="Macro"),IF(N($AM219)&gt;0,N(CHOOSE(MATCH($D219,ListaPuestos,0),INDEX('Cronograma R. Operacional'!$M$5:$M$1000,$AM219),INDEX('Cronograma R. Normativo'!$M$5:$M$1000,$AM219),INDEX('Cronograma R. Financiero'!$M$5:$M$1000,$AM219),INDEX('Cronograma Asistente Técnico'!$M$5:$M$1000,$AM219))),0),IF(ISNUMBER($G219),1,IF(N($W219)&gt;0,MIN(1,SUMIFS($Y$5:$Y$1000,$U$5:$U$1000,ROW(),$V$5:$V$1000,"Sub")),$Y219))))</f>
        <v/>
      </c>
      <c r="N219" s="56">
        <f>IF(OR($M219="",$V219="Sub"),"",IF($M219&gt;=1,"Completado",IF($M219&gt;0,"En curso","Pendiente")))</f>
        <v/>
      </c>
      <c r="O219" s="56">
        <f>IF(NOT((COUNTA($B219:$D219)+COUNTA($G219:$H219)+COUNTA($Q219))&gt;0),"",IF(AND(AND($D219&lt;&gt;"",$V219="Macro"),N($AM219)&gt;0),CHOOSE(MATCH($D219,ListaPuestos,0),INDEX('Cronograma R. Operacional'!$O$5:$O$1000,$AM219),INDEX('Cronograma R. Normativo'!$O$5:$O$1000,$AM219),INDEX('Cronograma R. Financiero'!$O$5:$O$1000,$AM219),INDEX('Cronograma Asistente Técnico'!$O$5:$O$1000,$AM219))&amp;"",IF(ISNUMBER($G219),IF(AND(ISNUMBER($AS219),$G219&gt;$AS219),"Cumplida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f>IF(NOT((COUNTA($B219:$D219)+COUNTA($G219:$H219)+COUNTA($Q219))&gt;0),"",IF($D219="","Propia",IF($V219&lt;&gt;"Macro","Solo se delegan macroactividades",IF(N($AM219)&gt;0,"✔ Recibida por "&amp;$D219,"⚠ "&amp;$D219&amp;" aún no la agrega"))))</f>
        <v/>
      </c>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f>IF(NOT(AND($D219&lt;&gt;"",$V219="Macro")),"",IFERROR(CHOOSE(MATCH($D219,ListaPuestos,0),MATCH("[Jefatura] "&amp;$C219,'Cronograma R. Operacional'!$C$5:$C$1000,0),MATCH("[Jefatura] "&amp;$C219,'Cronograma R. Normativo'!$C$5:$C$1000,0),MATCH("[Jefatura] "&amp;$C219,'Cronograma R. Financiero'!$C$5:$C$1000,0),MATCH("[Jefatura] "&amp;$C219,'Cronograma Asistente Técnico'!$C$5:$C$1000,0)),0))</f>
        <v/>
      </c>
      <c r="AN219" s="62">
        <f>IF(AND(AND($D219&lt;&gt;"",$V219="Macro"),$S219=MesCiclo),COUNTIFS($D$5:$D219,$D219,$S$5:$S219,MesCiclo,$V$5:$V219,"Macro"),"")</f>
        <v/>
      </c>
      <c r="AO219" s="62">
        <f>IF($AN219="","",$D219&amp;"|"&amp;$AN219)</f>
        <v/>
      </c>
      <c r="AP219" s="62">
        <f>IF(AND($D219&lt;&gt;"",$V219="Macro"),$D219&amp;"|"&amp;$C219,"")</f>
        <v/>
      </c>
      <c r="AQ219" s="62">
        <f>""</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t="n"/>
      <c r="F220" s="59" t="n"/>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IF(NOT((COUNTA($B220:$D220)+COUNTA($G220:$H220)+COUNTA($Q220))&gt;0),"",IF(AND($D220&lt;&gt;"",$V220="Macro"),IF(N($AM220)&gt;0,N(CHOOSE(MATCH($D220,ListaPuestos,0),INDEX('Cronograma R. Operacional'!$M$5:$M$1000,$AM220),INDEX('Cronograma R. Normativo'!$M$5:$M$1000,$AM220),INDEX('Cronograma R. Financiero'!$M$5:$M$1000,$AM220),INDEX('Cronograma Asistente Técnico'!$M$5:$M$1000,$AM220))),0),IF(ISNUMBER($G220),1,IF(N($W220)&gt;0,MIN(1,SUMIFS($Y$5:$Y$1000,$U$5:$U$1000,ROW(),$V$5:$V$1000,"Sub")),$Y220))))</f>
        <v/>
      </c>
      <c r="N220" s="56">
        <f>IF(OR($M220="",$V220="Sub"),"",IF($M220&gt;=1,"Completado",IF($M220&gt;0,"En curso","Pendiente")))</f>
        <v/>
      </c>
      <c r="O220" s="56">
        <f>IF(NOT((COUNTA($B220:$D220)+COUNTA($G220:$H220)+COUNTA($Q220))&gt;0),"",IF(AND(AND($D220&lt;&gt;"",$V220="Macro"),N($AM220)&gt;0),CHOOSE(MATCH($D220,ListaPuestos,0),INDEX('Cronograma R. Operacional'!$O$5:$O$1000,$AM220),INDEX('Cronograma R. Normativo'!$O$5:$O$1000,$AM220),INDEX('Cronograma R. Financiero'!$O$5:$O$1000,$AM220),INDEX('Cronograma Asistente Técnico'!$O$5:$O$1000,$AM220))&amp;"",IF(ISNUMBER($G220),IF(AND(ISNUMBER($AS220),$G220&gt;$AS220),"Cumplida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f>IF(NOT((COUNTA($B220:$D220)+COUNTA($G220:$H220)+COUNTA($Q220))&gt;0),"",IF($D220="","Propia",IF($V220&lt;&gt;"Macro","Solo se delegan macroactividades",IF(N($AM220)&gt;0,"✔ Recibida por "&amp;$D220,"⚠ "&amp;$D220&amp;" aún no la agrega"))))</f>
        <v/>
      </c>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f>IF(NOT(AND($D220&lt;&gt;"",$V220="Macro")),"",IFERROR(CHOOSE(MATCH($D220,ListaPuestos,0),MATCH("[Jefatura] "&amp;$C220,'Cronograma R. Operacional'!$C$5:$C$1000,0),MATCH("[Jefatura] "&amp;$C220,'Cronograma R. Normativo'!$C$5:$C$1000,0),MATCH("[Jefatura] "&amp;$C220,'Cronograma R. Financiero'!$C$5:$C$1000,0),MATCH("[Jefatura] "&amp;$C220,'Cronograma Asistente Técnico'!$C$5:$C$1000,0)),0))</f>
        <v/>
      </c>
      <c r="AN220" s="62">
        <f>IF(AND(AND($D220&lt;&gt;"",$V220="Macro"),$S220=MesCiclo),COUNTIFS($D$5:$D220,$D220,$S$5:$S220,MesCiclo,$V$5:$V220,"Macro"),"")</f>
        <v/>
      </c>
      <c r="AO220" s="62">
        <f>IF($AN220="","",$D220&amp;"|"&amp;$AN220)</f>
        <v/>
      </c>
      <c r="AP220" s="62">
        <f>IF(AND($D220&lt;&gt;"",$V220="Macro"),$D220&amp;"|"&amp;$C220,"")</f>
        <v/>
      </c>
      <c r="AQ220" s="62">
        <f>""</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t="n"/>
      <c r="F221" s="59" t="n"/>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IF(NOT((COUNTA($B221:$D221)+COUNTA($G221:$H221)+COUNTA($Q221))&gt;0),"",IF(AND($D221&lt;&gt;"",$V221="Macro"),IF(N($AM221)&gt;0,N(CHOOSE(MATCH($D221,ListaPuestos,0),INDEX('Cronograma R. Operacional'!$M$5:$M$1000,$AM221),INDEX('Cronograma R. Normativo'!$M$5:$M$1000,$AM221),INDEX('Cronograma R. Financiero'!$M$5:$M$1000,$AM221),INDEX('Cronograma Asistente Técnico'!$M$5:$M$1000,$AM221))),0),IF(ISNUMBER($G221),1,IF(N($W221)&gt;0,MIN(1,SUMIFS($Y$5:$Y$1000,$U$5:$U$1000,ROW(),$V$5:$V$1000,"Sub")),$Y221))))</f>
        <v/>
      </c>
      <c r="N221" s="56">
        <f>IF(OR($M221="",$V221="Sub"),"",IF($M221&gt;=1,"Completado",IF($M221&gt;0,"En curso","Pendiente")))</f>
        <v/>
      </c>
      <c r="O221" s="56">
        <f>IF(NOT((COUNTA($B221:$D221)+COUNTA($G221:$H221)+COUNTA($Q221))&gt;0),"",IF(AND(AND($D221&lt;&gt;"",$V221="Macro"),N($AM221)&gt;0),CHOOSE(MATCH($D221,ListaPuestos,0),INDEX('Cronograma R. Operacional'!$O$5:$O$1000,$AM221),INDEX('Cronograma R. Normativo'!$O$5:$O$1000,$AM221),INDEX('Cronograma R. Financiero'!$O$5:$O$1000,$AM221),INDEX('Cronograma Asistente Técnico'!$O$5:$O$1000,$AM221))&amp;"",IF(ISNUMBER($G221),IF(AND(ISNUMBER($AS221),$G221&gt;$AS221),"Cumplida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f>IF(NOT((COUNTA($B221:$D221)+COUNTA($G221:$H221)+COUNTA($Q221))&gt;0),"",IF($D221="","Propia",IF($V221&lt;&gt;"Macro","Solo se delegan macroactividades",IF(N($AM221)&gt;0,"✔ Recibida por "&amp;$D221,"⚠ "&amp;$D221&amp;" aún no la agrega"))))</f>
        <v/>
      </c>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f>IF(NOT(AND($D221&lt;&gt;"",$V221="Macro")),"",IFERROR(CHOOSE(MATCH($D221,ListaPuestos,0),MATCH("[Jefatura] "&amp;$C221,'Cronograma R. Operacional'!$C$5:$C$1000,0),MATCH("[Jefatura] "&amp;$C221,'Cronograma R. Normativo'!$C$5:$C$1000,0),MATCH("[Jefatura] "&amp;$C221,'Cronograma R. Financiero'!$C$5:$C$1000,0),MATCH("[Jefatura] "&amp;$C221,'Cronograma Asistente Técnico'!$C$5:$C$1000,0)),0))</f>
        <v/>
      </c>
      <c r="AN221" s="62">
        <f>IF(AND(AND($D221&lt;&gt;"",$V221="Macro"),$S221=MesCiclo),COUNTIFS($D$5:$D221,$D221,$S$5:$S221,MesCiclo,$V$5:$V221,"Macro"),"")</f>
        <v/>
      </c>
      <c r="AO221" s="62">
        <f>IF($AN221="","",$D221&amp;"|"&amp;$AN221)</f>
        <v/>
      </c>
      <c r="AP221" s="62">
        <f>IF(AND($D221&lt;&gt;"",$V221="Macro"),$D221&amp;"|"&amp;$C221,"")</f>
        <v/>
      </c>
      <c r="AQ221" s="62">
        <f>""</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t="n"/>
      <c r="F222" s="59" t="n"/>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IF(NOT((COUNTA($B222:$D222)+COUNTA($G222:$H222)+COUNTA($Q222))&gt;0),"",IF(AND($D222&lt;&gt;"",$V222="Macro"),IF(N($AM222)&gt;0,N(CHOOSE(MATCH($D222,ListaPuestos,0),INDEX('Cronograma R. Operacional'!$M$5:$M$1000,$AM222),INDEX('Cronograma R. Normativo'!$M$5:$M$1000,$AM222),INDEX('Cronograma R. Financiero'!$M$5:$M$1000,$AM222),INDEX('Cronograma Asistente Técnico'!$M$5:$M$1000,$AM222))),0),IF(ISNUMBER($G222),1,IF(N($W222)&gt;0,MIN(1,SUMIFS($Y$5:$Y$1000,$U$5:$U$1000,ROW(),$V$5:$V$1000,"Sub")),$Y222))))</f>
        <v/>
      </c>
      <c r="N222" s="56">
        <f>IF(OR($M222="",$V222="Sub"),"",IF($M222&gt;=1,"Completado",IF($M222&gt;0,"En curso","Pendiente")))</f>
        <v/>
      </c>
      <c r="O222" s="56">
        <f>IF(NOT((COUNTA($B222:$D222)+COUNTA($G222:$H222)+COUNTA($Q222))&gt;0),"",IF(AND(AND($D222&lt;&gt;"",$V222="Macro"),N($AM222)&gt;0),CHOOSE(MATCH($D222,ListaPuestos,0),INDEX('Cronograma R. Operacional'!$O$5:$O$1000,$AM222),INDEX('Cronograma R. Normativo'!$O$5:$O$1000,$AM222),INDEX('Cronograma R. Financiero'!$O$5:$O$1000,$AM222),INDEX('Cronograma Asistente Técnico'!$O$5:$O$1000,$AM222))&amp;"",IF(ISNUMBER($G222),IF(AND(ISNUMBER($AS222),$G222&gt;$AS222),"Cumplida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f>IF(NOT((COUNTA($B222:$D222)+COUNTA($G222:$H222)+COUNTA($Q222))&gt;0),"",IF($D222="","Propia",IF($V222&lt;&gt;"Macro","Solo se delegan macroactividades",IF(N($AM222)&gt;0,"✔ Recibida por "&amp;$D222,"⚠ "&amp;$D222&amp;" aún no la agrega"))))</f>
        <v/>
      </c>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f>IF(NOT(AND($D222&lt;&gt;"",$V222="Macro")),"",IFERROR(CHOOSE(MATCH($D222,ListaPuestos,0),MATCH("[Jefatura] "&amp;$C222,'Cronograma R. Operacional'!$C$5:$C$1000,0),MATCH("[Jefatura] "&amp;$C222,'Cronograma R. Normativo'!$C$5:$C$1000,0),MATCH("[Jefatura] "&amp;$C222,'Cronograma R. Financiero'!$C$5:$C$1000,0),MATCH("[Jefatura] "&amp;$C222,'Cronograma Asistente Técnico'!$C$5:$C$1000,0)),0))</f>
        <v/>
      </c>
      <c r="AN222" s="62">
        <f>IF(AND(AND($D222&lt;&gt;"",$V222="Macro"),$S222=MesCiclo),COUNTIFS($D$5:$D222,$D222,$S$5:$S222,MesCiclo,$V$5:$V222,"Macro"),"")</f>
        <v/>
      </c>
      <c r="AO222" s="62">
        <f>IF($AN222="","",$D222&amp;"|"&amp;$AN222)</f>
        <v/>
      </c>
      <c r="AP222" s="62">
        <f>IF(AND($D222&lt;&gt;"",$V222="Macro"),$D222&amp;"|"&amp;$C222,"")</f>
        <v/>
      </c>
      <c r="AQ222" s="62">
        <f>""</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t="n"/>
      <c r="F223" s="59" t="n"/>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IF(NOT((COUNTA($B223:$D223)+COUNTA($G223:$H223)+COUNTA($Q223))&gt;0),"",IF(AND($D223&lt;&gt;"",$V223="Macro"),IF(N($AM223)&gt;0,N(CHOOSE(MATCH($D223,ListaPuestos,0),INDEX('Cronograma R. Operacional'!$M$5:$M$1000,$AM223),INDEX('Cronograma R. Normativo'!$M$5:$M$1000,$AM223),INDEX('Cronograma R. Financiero'!$M$5:$M$1000,$AM223),INDEX('Cronograma Asistente Técnico'!$M$5:$M$1000,$AM223))),0),IF(ISNUMBER($G223),1,IF(N($W223)&gt;0,MIN(1,SUMIFS($Y$5:$Y$1000,$U$5:$U$1000,ROW(),$V$5:$V$1000,"Sub")),$Y223))))</f>
        <v/>
      </c>
      <c r="N223" s="56">
        <f>IF(OR($M223="",$V223="Sub"),"",IF($M223&gt;=1,"Completado",IF($M223&gt;0,"En curso","Pendiente")))</f>
        <v/>
      </c>
      <c r="O223" s="56">
        <f>IF(NOT((COUNTA($B223:$D223)+COUNTA($G223:$H223)+COUNTA($Q223))&gt;0),"",IF(AND(AND($D223&lt;&gt;"",$V223="Macro"),N($AM223)&gt;0),CHOOSE(MATCH($D223,ListaPuestos,0),INDEX('Cronograma R. Operacional'!$O$5:$O$1000,$AM223),INDEX('Cronograma R. Normativo'!$O$5:$O$1000,$AM223),INDEX('Cronograma R. Financiero'!$O$5:$O$1000,$AM223),INDEX('Cronograma Asistente Técnico'!$O$5:$O$1000,$AM223))&amp;"",IF(ISNUMBER($G223),IF(AND(ISNUMBER($AS223),$G223&gt;$AS223),"Cumplida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f>IF(NOT((COUNTA($B223:$D223)+COUNTA($G223:$H223)+COUNTA($Q223))&gt;0),"",IF($D223="","Propia",IF($V223&lt;&gt;"Macro","Solo se delegan macroactividades",IF(N($AM223)&gt;0,"✔ Recibida por "&amp;$D223,"⚠ "&amp;$D223&amp;" aún no la agrega"))))</f>
        <v/>
      </c>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f>IF(NOT(AND($D223&lt;&gt;"",$V223="Macro")),"",IFERROR(CHOOSE(MATCH($D223,ListaPuestos,0),MATCH("[Jefatura] "&amp;$C223,'Cronograma R. Operacional'!$C$5:$C$1000,0),MATCH("[Jefatura] "&amp;$C223,'Cronograma R. Normativo'!$C$5:$C$1000,0),MATCH("[Jefatura] "&amp;$C223,'Cronograma R. Financiero'!$C$5:$C$1000,0),MATCH("[Jefatura] "&amp;$C223,'Cronograma Asistente Técnico'!$C$5:$C$1000,0)),0))</f>
        <v/>
      </c>
      <c r="AN223" s="62">
        <f>IF(AND(AND($D223&lt;&gt;"",$V223="Macro"),$S223=MesCiclo),COUNTIFS($D$5:$D223,$D223,$S$5:$S223,MesCiclo,$V$5:$V223,"Macro"),"")</f>
        <v/>
      </c>
      <c r="AO223" s="62">
        <f>IF($AN223="","",$D223&amp;"|"&amp;$AN223)</f>
        <v/>
      </c>
      <c r="AP223" s="62">
        <f>IF(AND($D223&lt;&gt;"",$V223="Macro"),$D223&amp;"|"&amp;$C223,"")</f>
        <v/>
      </c>
      <c r="AQ223" s="62">
        <f>""</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t="n"/>
      <c r="F224" s="59" t="n"/>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IF(NOT((COUNTA($B224:$D224)+COUNTA($G224:$H224)+COUNTA($Q224))&gt;0),"",IF(AND($D224&lt;&gt;"",$V224="Macro"),IF(N($AM224)&gt;0,N(CHOOSE(MATCH($D224,ListaPuestos,0),INDEX('Cronograma R. Operacional'!$M$5:$M$1000,$AM224),INDEX('Cronograma R. Normativo'!$M$5:$M$1000,$AM224),INDEX('Cronograma R. Financiero'!$M$5:$M$1000,$AM224),INDEX('Cronograma Asistente Técnico'!$M$5:$M$1000,$AM224))),0),IF(ISNUMBER($G224),1,IF(N($W224)&gt;0,MIN(1,SUMIFS($Y$5:$Y$1000,$U$5:$U$1000,ROW(),$V$5:$V$1000,"Sub")),$Y224))))</f>
        <v/>
      </c>
      <c r="N224" s="56">
        <f>IF(OR($M224="",$V224="Sub"),"",IF($M224&gt;=1,"Completado",IF($M224&gt;0,"En curso","Pendiente")))</f>
        <v/>
      </c>
      <c r="O224" s="56">
        <f>IF(NOT((COUNTA($B224:$D224)+COUNTA($G224:$H224)+COUNTA($Q224))&gt;0),"",IF(AND(AND($D224&lt;&gt;"",$V224="Macro"),N($AM224)&gt;0),CHOOSE(MATCH($D224,ListaPuestos,0),INDEX('Cronograma R. Operacional'!$O$5:$O$1000,$AM224),INDEX('Cronograma R. Normativo'!$O$5:$O$1000,$AM224),INDEX('Cronograma R. Financiero'!$O$5:$O$1000,$AM224),INDEX('Cronograma Asistente Técnico'!$O$5:$O$1000,$AM224))&amp;"",IF(ISNUMBER($G224),IF(AND(ISNUMBER($AS224),$G224&gt;$AS224),"Cumplida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f>IF(NOT((COUNTA($B224:$D224)+COUNTA($G224:$H224)+COUNTA($Q224))&gt;0),"",IF($D224="","Propia",IF($V224&lt;&gt;"Macro","Solo se delegan macroactividades",IF(N($AM224)&gt;0,"✔ Recibida por "&amp;$D224,"⚠ "&amp;$D224&amp;" aún no la agrega"))))</f>
        <v/>
      </c>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f>IF(NOT(AND($D224&lt;&gt;"",$V224="Macro")),"",IFERROR(CHOOSE(MATCH($D224,ListaPuestos,0),MATCH("[Jefatura] "&amp;$C224,'Cronograma R. Operacional'!$C$5:$C$1000,0),MATCH("[Jefatura] "&amp;$C224,'Cronograma R. Normativo'!$C$5:$C$1000,0),MATCH("[Jefatura] "&amp;$C224,'Cronograma R. Financiero'!$C$5:$C$1000,0),MATCH("[Jefatura] "&amp;$C224,'Cronograma Asistente Técnico'!$C$5:$C$1000,0)),0))</f>
        <v/>
      </c>
      <c r="AN224" s="62">
        <f>IF(AND(AND($D224&lt;&gt;"",$V224="Macro"),$S224=MesCiclo),COUNTIFS($D$5:$D224,$D224,$S$5:$S224,MesCiclo,$V$5:$V224,"Macro"),"")</f>
        <v/>
      </c>
      <c r="AO224" s="62">
        <f>IF($AN224="","",$D224&amp;"|"&amp;$AN224)</f>
        <v/>
      </c>
      <c r="AP224" s="62">
        <f>IF(AND($D224&lt;&gt;"",$V224="Macro"),$D224&amp;"|"&amp;$C224,"")</f>
        <v/>
      </c>
      <c r="AQ224" s="62">
        <f>""</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t="n"/>
      <c r="F225" s="59" t="n"/>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IF(NOT((COUNTA($B225:$D225)+COUNTA($G225:$H225)+COUNTA($Q225))&gt;0),"",IF(AND($D225&lt;&gt;"",$V225="Macro"),IF(N($AM225)&gt;0,N(CHOOSE(MATCH($D225,ListaPuestos,0),INDEX('Cronograma R. Operacional'!$M$5:$M$1000,$AM225),INDEX('Cronograma R. Normativo'!$M$5:$M$1000,$AM225),INDEX('Cronograma R. Financiero'!$M$5:$M$1000,$AM225),INDEX('Cronograma Asistente Técnico'!$M$5:$M$1000,$AM225))),0),IF(ISNUMBER($G225),1,IF(N($W225)&gt;0,MIN(1,SUMIFS($Y$5:$Y$1000,$U$5:$U$1000,ROW(),$V$5:$V$1000,"Sub")),$Y225))))</f>
        <v/>
      </c>
      <c r="N225" s="56">
        <f>IF(OR($M225="",$V225="Sub"),"",IF($M225&gt;=1,"Completado",IF($M225&gt;0,"En curso","Pendiente")))</f>
        <v/>
      </c>
      <c r="O225" s="56">
        <f>IF(NOT((COUNTA($B225:$D225)+COUNTA($G225:$H225)+COUNTA($Q225))&gt;0),"",IF(AND(AND($D225&lt;&gt;"",$V225="Macro"),N($AM225)&gt;0),CHOOSE(MATCH($D225,ListaPuestos,0),INDEX('Cronograma R. Operacional'!$O$5:$O$1000,$AM225),INDEX('Cronograma R. Normativo'!$O$5:$O$1000,$AM225),INDEX('Cronograma R. Financiero'!$O$5:$O$1000,$AM225),INDEX('Cronograma Asistente Técnico'!$O$5:$O$1000,$AM225))&amp;"",IF(ISNUMBER($G225),IF(AND(ISNUMBER($AS225),$G225&gt;$AS225),"Cumplida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f>IF(NOT((COUNTA($B225:$D225)+COUNTA($G225:$H225)+COUNTA($Q225))&gt;0),"",IF($D225="","Propia",IF($V225&lt;&gt;"Macro","Solo se delegan macroactividades",IF(N($AM225)&gt;0,"✔ Recibida por "&amp;$D225,"⚠ "&amp;$D225&amp;" aún no la agrega"))))</f>
        <v/>
      </c>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f>IF(NOT(AND($D225&lt;&gt;"",$V225="Macro")),"",IFERROR(CHOOSE(MATCH($D225,ListaPuestos,0),MATCH("[Jefatura] "&amp;$C225,'Cronograma R. Operacional'!$C$5:$C$1000,0),MATCH("[Jefatura] "&amp;$C225,'Cronograma R. Normativo'!$C$5:$C$1000,0),MATCH("[Jefatura] "&amp;$C225,'Cronograma R. Financiero'!$C$5:$C$1000,0),MATCH("[Jefatura] "&amp;$C225,'Cronograma Asistente Técnico'!$C$5:$C$1000,0)),0))</f>
        <v/>
      </c>
      <c r="AN225" s="62">
        <f>IF(AND(AND($D225&lt;&gt;"",$V225="Macro"),$S225=MesCiclo),COUNTIFS($D$5:$D225,$D225,$S$5:$S225,MesCiclo,$V$5:$V225,"Macro"),"")</f>
        <v/>
      </c>
      <c r="AO225" s="62">
        <f>IF($AN225="","",$D225&amp;"|"&amp;$AN225)</f>
        <v/>
      </c>
      <c r="AP225" s="62">
        <f>IF(AND($D225&lt;&gt;"",$V225="Macro"),$D225&amp;"|"&amp;$C225,"")</f>
        <v/>
      </c>
      <c r="AQ225" s="62">
        <f>""</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t="n"/>
      <c r="F226" s="59" t="n"/>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IF(NOT((COUNTA($B226:$D226)+COUNTA($G226:$H226)+COUNTA($Q226))&gt;0),"",IF(AND($D226&lt;&gt;"",$V226="Macro"),IF(N($AM226)&gt;0,N(CHOOSE(MATCH($D226,ListaPuestos,0),INDEX('Cronograma R. Operacional'!$M$5:$M$1000,$AM226),INDEX('Cronograma R. Normativo'!$M$5:$M$1000,$AM226),INDEX('Cronograma R. Financiero'!$M$5:$M$1000,$AM226),INDEX('Cronograma Asistente Técnico'!$M$5:$M$1000,$AM226))),0),IF(ISNUMBER($G226),1,IF(N($W226)&gt;0,MIN(1,SUMIFS($Y$5:$Y$1000,$U$5:$U$1000,ROW(),$V$5:$V$1000,"Sub")),$Y226))))</f>
        <v/>
      </c>
      <c r="N226" s="56">
        <f>IF(OR($M226="",$V226="Sub"),"",IF($M226&gt;=1,"Completado",IF($M226&gt;0,"En curso","Pendiente")))</f>
        <v/>
      </c>
      <c r="O226" s="56">
        <f>IF(NOT((COUNTA($B226:$D226)+COUNTA($G226:$H226)+COUNTA($Q226))&gt;0),"",IF(AND(AND($D226&lt;&gt;"",$V226="Macro"),N($AM226)&gt;0),CHOOSE(MATCH($D226,ListaPuestos,0),INDEX('Cronograma R. Operacional'!$O$5:$O$1000,$AM226),INDEX('Cronograma R. Normativo'!$O$5:$O$1000,$AM226),INDEX('Cronograma R. Financiero'!$O$5:$O$1000,$AM226),INDEX('Cronograma Asistente Técnico'!$O$5:$O$1000,$AM226))&amp;"",IF(ISNUMBER($G226),IF(AND(ISNUMBER($AS226),$G226&gt;$AS226),"Cumplida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f>IF(NOT((COUNTA($B226:$D226)+COUNTA($G226:$H226)+COUNTA($Q226))&gt;0),"",IF($D226="","Propia",IF($V226&lt;&gt;"Macro","Solo se delegan macroactividades",IF(N($AM226)&gt;0,"✔ Recibida por "&amp;$D226,"⚠ "&amp;$D226&amp;" aún no la agrega"))))</f>
        <v/>
      </c>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f>IF(NOT(AND($D226&lt;&gt;"",$V226="Macro")),"",IFERROR(CHOOSE(MATCH($D226,ListaPuestos,0),MATCH("[Jefatura] "&amp;$C226,'Cronograma R. Operacional'!$C$5:$C$1000,0),MATCH("[Jefatura] "&amp;$C226,'Cronograma R. Normativo'!$C$5:$C$1000,0),MATCH("[Jefatura] "&amp;$C226,'Cronograma R. Financiero'!$C$5:$C$1000,0),MATCH("[Jefatura] "&amp;$C226,'Cronograma Asistente Técnico'!$C$5:$C$1000,0)),0))</f>
        <v/>
      </c>
      <c r="AN226" s="62">
        <f>IF(AND(AND($D226&lt;&gt;"",$V226="Macro"),$S226=MesCiclo),COUNTIFS($D$5:$D226,$D226,$S$5:$S226,MesCiclo,$V$5:$V226,"Macro"),"")</f>
        <v/>
      </c>
      <c r="AO226" s="62">
        <f>IF($AN226="","",$D226&amp;"|"&amp;$AN226)</f>
        <v/>
      </c>
      <c r="AP226" s="62">
        <f>IF(AND($D226&lt;&gt;"",$V226="Macro"),$D226&amp;"|"&amp;$C226,"")</f>
        <v/>
      </c>
      <c r="AQ226" s="62">
        <f>""</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t="n"/>
      <c r="F227" s="59" t="n"/>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IF(NOT((COUNTA($B227:$D227)+COUNTA($G227:$H227)+COUNTA($Q227))&gt;0),"",IF(AND($D227&lt;&gt;"",$V227="Macro"),IF(N($AM227)&gt;0,N(CHOOSE(MATCH($D227,ListaPuestos,0),INDEX('Cronograma R. Operacional'!$M$5:$M$1000,$AM227),INDEX('Cronograma R. Normativo'!$M$5:$M$1000,$AM227),INDEX('Cronograma R. Financiero'!$M$5:$M$1000,$AM227),INDEX('Cronograma Asistente Técnico'!$M$5:$M$1000,$AM227))),0),IF(ISNUMBER($G227),1,IF(N($W227)&gt;0,MIN(1,SUMIFS($Y$5:$Y$1000,$U$5:$U$1000,ROW(),$V$5:$V$1000,"Sub")),$Y227))))</f>
        <v/>
      </c>
      <c r="N227" s="56">
        <f>IF(OR($M227="",$V227="Sub"),"",IF($M227&gt;=1,"Completado",IF($M227&gt;0,"En curso","Pendiente")))</f>
        <v/>
      </c>
      <c r="O227" s="56">
        <f>IF(NOT((COUNTA($B227:$D227)+COUNTA($G227:$H227)+COUNTA($Q227))&gt;0),"",IF(AND(AND($D227&lt;&gt;"",$V227="Macro"),N($AM227)&gt;0),CHOOSE(MATCH($D227,ListaPuestos,0),INDEX('Cronograma R. Operacional'!$O$5:$O$1000,$AM227),INDEX('Cronograma R. Normativo'!$O$5:$O$1000,$AM227),INDEX('Cronograma R. Financiero'!$O$5:$O$1000,$AM227),INDEX('Cronograma Asistente Técnico'!$O$5:$O$1000,$AM227))&amp;"",IF(ISNUMBER($G227),IF(AND(ISNUMBER($AS227),$G227&gt;$AS227),"Cumplida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f>IF(NOT((COUNTA($B227:$D227)+COUNTA($G227:$H227)+COUNTA($Q227))&gt;0),"",IF($D227="","Propia",IF($V227&lt;&gt;"Macro","Solo se delegan macroactividades",IF(N($AM227)&gt;0,"✔ Recibida por "&amp;$D227,"⚠ "&amp;$D227&amp;" aún no la agrega"))))</f>
        <v/>
      </c>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f>IF(NOT(AND($D227&lt;&gt;"",$V227="Macro")),"",IFERROR(CHOOSE(MATCH($D227,ListaPuestos,0),MATCH("[Jefatura] "&amp;$C227,'Cronograma R. Operacional'!$C$5:$C$1000,0),MATCH("[Jefatura] "&amp;$C227,'Cronograma R. Normativo'!$C$5:$C$1000,0),MATCH("[Jefatura] "&amp;$C227,'Cronograma R. Financiero'!$C$5:$C$1000,0),MATCH("[Jefatura] "&amp;$C227,'Cronograma Asistente Técnico'!$C$5:$C$1000,0)),0))</f>
        <v/>
      </c>
      <c r="AN227" s="62">
        <f>IF(AND(AND($D227&lt;&gt;"",$V227="Macro"),$S227=MesCiclo),COUNTIFS($D$5:$D227,$D227,$S$5:$S227,MesCiclo,$V$5:$V227,"Macro"),"")</f>
        <v/>
      </c>
      <c r="AO227" s="62">
        <f>IF($AN227="","",$D227&amp;"|"&amp;$AN227)</f>
        <v/>
      </c>
      <c r="AP227" s="62">
        <f>IF(AND($D227&lt;&gt;"",$V227="Macro"),$D227&amp;"|"&amp;$C227,"")</f>
        <v/>
      </c>
      <c r="AQ227" s="62">
        <f>""</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t="n"/>
      <c r="F228" s="59" t="n"/>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IF(NOT((COUNTA($B228:$D228)+COUNTA($G228:$H228)+COUNTA($Q228))&gt;0),"",IF(AND($D228&lt;&gt;"",$V228="Macro"),IF(N($AM228)&gt;0,N(CHOOSE(MATCH($D228,ListaPuestos,0),INDEX('Cronograma R. Operacional'!$M$5:$M$1000,$AM228),INDEX('Cronograma R. Normativo'!$M$5:$M$1000,$AM228),INDEX('Cronograma R. Financiero'!$M$5:$M$1000,$AM228),INDEX('Cronograma Asistente Técnico'!$M$5:$M$1000,$AM228))),0),IF(ISNUMBER($G228),1,IF(N($W228)&gt;0,MIN(1,SUMIFS($Y$5:$Y$1000,$U$5:$U$1000,ROW(),$V$5:$V$1000,"Sub")),$Y228))))</f>
        <v/>
      </c>
      <c r="N228" s="56">
        <f>IF(OR($M228="",$V228="Sub"),"",IF($M228&gt;=1,"Completado",IF($M228&gt;0,"En curso","Pendiente")))</f>
        <v/>
      </c>
      <c r="O228" s="56">
        <f>IF(NOT((COUNTA($B228:$D228)+COUNTA($G228:$H228)+COUNTA($Q228))&gt;0),"",IF(AND(AND($D228&lt;&gt;"",$V228="Macro"),N($AM228)&gt;0),CHOOSE(MATCH($D228,ListaPuestos,0),INDEX('Cronograma R. Operacional'!$O$5:$O$1000,$AM228),INDEX('Cronograma R. Normativo'!$O$5:$O$1000,$AM228),INDEX('Cronograma R. Financiero'!$O$5:$O$1000,$AM228),INDEX('Cronograma Asistente Técnico'!$O$5:$O$1000,$AM228))&amp;"",IF(ISNUMBER($G228),IF(AND(ISNUMBER($AS228),$G228&gt;$AS228),"Cumplida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f>IF(NOT((COUNTA($B228:$D228)+COUNTA($G228:$H228)+COUNTA($Q228))&gt;0),"",IF($D228="","Propia",IF($V228&lt;&gt;"Macro","Solo se delegan macroactividades",IF(N($AM228)&gt;0,"✔ Recibida por "&amp;$D228,"⚠ "&amp;$D228&amp;" aún no la agrega"))))</f>
        <v/>
      </c>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f>IF(NOT(AND($D228&lt;&gt;"",$V228="Macro")),"",IFERROR(CHOOSE(MATCH($D228,ListaPuestos,0),MATCH("[Jefatura] "&amp;$C228,'Cronograma R. Operacional'!$C$5:$C$1000,0),MATCH("[Jefatura] "&amp;$C228,'Cronograma R. Normativo'!$C$5:$C$1000,0),MATCH("[Jefatura] "&amp;$C228,'Cronograma R. Financiero'!$C$5:$C$1000,0),MATCH("[Jefatura] "&amp;$C228,'Cronograma Asistente Técnico'!$C$5:$C$1000,0)),0))</f>
        <v/>
      </c>
      <c r="AN228" s="62">
        <f>IF(AND(AND($D228&lt;&gt;"",$V228="Macro"),$S228=MesCiclo),COUNTIFS($D$5:$D228,$D228,$S$5:$S228,MesCiclo,$V$5:$V228,"Macro"),"")</f>
        <v/>
      </c>
      <c r="AO228" s="62">
        <f>IF($AN228="","",$D228&amp;"|"&amp;$AN228)</f>
        <v/>
      </c>
      <c r="AP228" s="62">
        <f>IF(AND($D228&lt;&gt;"",$V228="Macro"),$D228&amp;"|"&amp;$C228,"")</f>
        <v/>
      </c>
      <c r="AQ228" s="62">
        <f>""</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t="n"/>
      <c r="F229" s="59" t="n"/>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IF(NOT((COUNTA($B229:$D229)+COUNTA($G229:$H229)+COUNTA($Q229))&gt;0),"",IF(AND($D229&lt;&gt;"",$V229="Macro"),IF(N($AM229)&gt;0,N(CHOOSE(MATCH($D229,ListaPuestos,0),INDEX('Cronograma R. Operacional'!$M$5:$M$1000,$AM229),INDEX('Cronograma R. Normativo'!$M$5:$M$1000,$AM229),INDEX('Cronograma R. Financiero'!$M$5:$M$1000,$AM229),INDEX('Cronograma Asistente Técnico'!$M$5:$M$1000,$AM229))),0),IF(ISNUMBER($G229),1,IF(N($W229)&gt;0,MIN(1,SUMIFS($Y$5:$Y$1000,$U$5:$U$1000,ROW(),$V$5:$V$1000,"Sub")),$Y229))))</f>
        <v/>
      </c>
      <c r="N229" s="56">
        <f>IF(OR($M229="",$V229="Sub"),"",IF($M229&gt;=1,"Completado",IF($M229&gt;0,"En curso","Pendiente")))</f>
        <v/>
      </c>
      <c r="O229" s="56">
        <f>IF(NOT((COUNTA($B229:$D229)+COUNTA($G229:$H229)+COUNTA($Q229))&gt;0),"",IF(AND(AND($D229&lt;&gt;"",$V229="Macro"),N($AM229)&gt;0),CHOOSE(MATCH($D229,ListaPuestos,0),INDEX('Cronograma R. Operacional'!$O$5:$O$1000,$AM229),INDEX('Cronograma R. Normativo'!$O$5:$O$1000,$AM229),INDEX('Cronograma R. Financiero'!$O$5:$O$1000,$AM229),INDEX('Cronograma Asistente Técnico'!$O$5:$O$1000,$AM229))&amp;"",IF(ISNUMBER($G229),IF(AND(ISNUMBER($AS229),$G229&gt;$AS229),"Cumplida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f>IF(NOT((COUNTA($B229:$D229)+COUNTA($G229:$H229)+COUNTA($Q229))&gt;0),"",IF($D229="","Propia",IF($V229&lt;&gt;"Macro","Solo se delegan macroactividades",IF(N($AM229)&gt;0,"✔ Recibida por "&amp;$D229,"⚠ "&amp;$D229&amp;" aún no la agrega"))))</f>
        <v/>
      </c>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f>IF(NOT(AND($D229&lt;&gt;"",$V229="Macro")),"",IFERROR(CHOOSE(MATCH($D229,ListaPuestos,0),MATCH("[Jefatura] "&amp;$C229,'Cronograma R. Operacional'!$C$5:$C$1000,0),MATCH("[Jefatura] "&amp;$C229,'Cronograma R. Normativo'!$C$5:$C$1000,0),MATCH("[Jefatura] "&amp;$C229,'Cronograma R. Financiero'!$C$5:$C$1000,0),MATCH("[Jefatura] "&amp;$C229,'Cronograma Asistente Técnico'!$C$5:$C$1000,0)),0))</f>
        <v/>
      </c>
      <c r="AN229" s="62">
        <f>IF(AND(AND($D229&lt;&gt;"",$V229="Macro"),$S229=MesCiclo),COUNTIFS($D$5:$D229,$D229,$S$5:$S229,MesCiclo,$V$5:$V229,"Macro"),"")</f>
        <v/>
      </c>
      <c r="AO229" s="62">
        <f>IF($AN229="","",$D229&amp;"|"&amp;$AN229)</f>
        <v/>
      </c>
      <c r="AP229" s="62">
        <f>IF(AND($D229&lt;&gt;"",$V229="Macro"),$D229&amp;"|"&amp;$C229,"")</f>
        <v/>
      </c>
      <c r="AQ229" s="62">
        <f>""</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t="n"/>
      <c r="F230" s="59" t="n"/>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IF(NOT((COUNTA($B230:$D230)+COUNTA($G230:$H230)+COUNTA($Q230))&gt;0),"",IF(AND($D230&lt;&gt;"",$V230="Macro"),IF(N($AM230)&gt;0,N(CHOOSE(MATCH($D230,ListaPuestos,0),INDEX('Cronograma R. Operacional'!$M$5:$M$1000,$AM230),INDEX('Cronograma R. Normativo'!$M$5:$M$1000,$AM230),INDEX('Cronograma R. Financiero'!$M$5:$M$1000,$AM230),INDEX('Cronograma Asistente Técnico'!$M$5:$M$1000,$AM230))),0),IF(ISNUMBER($G230),1,IF(N($W230)&gt;0,MIN(1,SUMIFS($Y$5:$Y$1000,$U$5:$U$1000,ROW(),$V$5:$V$1000,"Sub")),$Y230))))</f>
        <v/>
      </c>
      <c r="N230" s="56">
        <f>IF(OR($M230="",$V230="Sub"),"",IF($M230&gt;=1,"Completado",IF($M230&gt;0,"En curso","Pendiente")))</f>
        <v/>
      </c>
      <c r="O230" s="56">
        <f>IF(NOT((COUNTA($B230:$D230)+COUNTA($G230:$H230)+COUNTA($Q230))&gt;0),"",IF(AND(AND($D230&lt;&gt;"",$V230="Macro"),N($AM230)&gt;0),CHOOSE(MATCH($D230,ListaPuestos,0),INDEX('Cronograma R. Operacional'!$O$5:$O$1000,$AM230),INDEX('Cronograma R. Normativo'!$O$5:$O$1000,$AM230),INDEX('Cronograma R. Financiero'!$O$5:$O$1000,$AM230),INDEX('Cronograma Asistente Técnico'!$O$5:$O$1000,$AM230))&amp;"",IF(ISNUMBER($G230),IF(AND(ISNUMBER($AS230),$G230&gt;$AS230),"Cumplida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f>IF(NOT((COUNTA($B230:$D230)+COUNTA($G230:$H230)+COUNTA($Q230))&gt;0),"",IF($D230="","Propia",IF($V230&lt;&gt;"Macro","Solo se delegan macroactividades",IF(N($AM230)&gt;0,"✔ Recibida por "&amp;$D230,"⚠ "&amp;$D230&amp;" aún no la agrega"))))</f>
        <v/>
      </c>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f>IF(NOT(AND($D230&lt;&gt;"",$V230="Macro")),"",IFERROR(CHOOSE(MATCH($D230,ListaPuestos,0),MATCH("[Jefatura] "&amp;$C230,'Cronograma R. Operacional'!$C$5:$C$1000,0),MATCH("[Jefatura] "&amp;$C230,'Cronograma R. Normativo'!$C$5:$C$1000,0),MATCH("[Jefatura] "&amp;$C230,'Cronograma R. Financiero'!$C$5:$C$1000,0),MATCH("[Jefatura] "&amp;$C230,'Cronograma Asistente Técnico'!$C$5:$C$1000,0)),0))</f>
        <v/>
      </c>
      <c r="AN230" s="62">
        <f>IF(AND(AND($D230&lt;&gt;"",$V230="Macro"),$S230=MesCiclo),COUNTIFS($D$5:$D230,$D230,$S$5:$S230,MesCiclo,$V$5:$V230,"Macro"),"")</f>
        <v/>
      </c>
      <c r="AO230" s="62">
        <f>IF($AN230="","",$D230&amp;"|"&amp;$AN230)</f>
        <v/>
      </c>
      <c r="AP230" s="62">
        <f>IF(AND($D230&lt;&gt;"",$V230="Macro"),$D230&amp;"|"&amp;$C230,"")</f>
        <v/>
      </c>
      <c r="AQ230" s="62">
        <f>""</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t="n"/>
      <c r="F231" s="59" t="n"/>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IF(NOT((COUNTA($B231:$D231)+COUNTA($G231:$H231)+COUNTA($Q231))&gt;0),"",IF(AND($D231&lt;&gt;"",$V231="Macro"),IF(N($AM231)&gt;0,N(CHOOSE(MATCH($D231,ListaPuestos,0),INDEX('Cronograma R. Operacional'!$M$5:$M$1000,$AM231),INDEX('Cronograma R. Normativo'!$M$5:$M$1000,$AM231),INDEX('Cronograma R. Financiero'!$M$5:$M$1000,$AM231),INDEX('Cronograma Asistente Técnico'!$M$5:$M$1000,$AM231))),0),IF(ISNUMBER($G231),1,IF(N($W231)&gt;0,MIN(1,SUMIFS($Y$5:$Y$1000,$U$5:$U$1000,ROW(),$V$5:$V$1000,"Sub")),$Y231))))</f>
        <v/>
      </c>
      <c r="N231" s="56">
        <f>IF(OR($M231="",$V231="Sub"),"",IF($M231&gt;=1,"Completado",IF($M231&gt;0,"En curso","Pendiente")))</f>
        <v/>
      </c>
      <c r="O231" s="56">
        <f>IF(NOT((COUNTA($B231:$D231)+COUNTA($G231:$H231)+COUNTA($Q231))&gt;0),"",IF(AND(AND($D231&lt;&gt;"",$V231="Macro"),N($AM231)&gt;0),CHOOSE(MATCH($D231,ListaPuestos,0),INDEX('Cronograma R. Operacional'!$O$5:$O$1000,$AM231),INDEX('Cronograma R. Normativo'!$O$5:$O$1000,$AM231),INDEX('Cronograma R. Financiero'!$O$5:$O$1000,$AM231),INDEX('Cronograma Asistente Técnico'!$O$5:$O$1000,$AM231))&amp;"",IF(ISNUMBER($G231),IF(AND(ISNUMBER($AS231),$G231&gt;$AS231),"Cumplida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f>IF(NOT((COUNTA($B231:$D231)+COUNTA($G231:$H231)+COUNTA($Q231))&gt;0),"",IF($D231="","Propia",IF($V231&lt;&gt;"Macro","Solo se delegan macroactividades",IF(N($AM231)&gt;0,"✔ Recibida por "&amp;$D231,"⚠ "&amp;$D231&amp;" aún no la agrega"))))</f>
        <v/>
      </c>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f>IF(NOT(AND($D231&lt;&gt;"",$V231="Macro")),"",IFERROR(CHOOSE(MATCH($D231,ListaPuestos,0),MATCH("[Jefatura] "&amp;$C231,'Cronograma R. Operacional'!$C$5:$C$1000,0),MATCH("[Jefatura] "&amp;$C231,'Cronograma R. Normativo'!$C$5:$C$1000,0),MATCH("[Jefatura] "&amp;$C231,'Cronograma R. Financiero'!$C$5:$C$1000,0),MATCH("[Jefatura] "&amp;$C231,'Cronograma Asistente Técnico'!$C$5:$C$1000,0)),0))</f>
        <v/>
      </c>
      <c r="AN231" s="62">
        <f>IF(AND(AND($D231&lt;&gt;"",$V231="Macro"),$S231=MesCiclo),COUNTIFS($D$5:$D231,$D231,$S$5:$S231,MesCiclo,$V$5:$V231,"Macro"),"")</f>
        <v/>
      </c>
      <c r="AO231" s="62">
        <f>IF($AN231="","",$D231&amp;"|"&amp;$AN231)</f>
        <v/>
      </c>
      <c r="AP231" s="62">
        <f>IF(AND($D231&lt;&gt;"",$V231="Macro"),$D231&amp;"|"&amp;$C231,"")</f>
        <v/>
      </c>
      <c r="AQ231" s="62">
        <f>""</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t="n"/>
      <c r="F232" s="59" t="n"/>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IF(NOT((COUNTA($B232:$D232)+COUNTA($G232:$H232)+COUNTA($Q232))&gt;0),"",IF(AND($D232&lt;&gt;"",$V232="Macro"),IF(N($AM232)&gt;0,N(CHOOSE(MATCH($D232,ListaPuestos,0),INDEX('Cronograma R. Operacional'!$M$5:$M$1000,$AM232),INDEX('Cronograma R. Normativo'!$M$5:$M$1000,$AM232),INDEX('Cronograma R. Financiero'!$M$5:$M$1000,$AM232),INDEX('Cronograma Asistente Técnico'!$M$5:$M$1000,$AM232))),0),IF(ISNUMBER($G232),1,IF(N($W232)&gt;0,MIN(1,SUMIFS($Y$5:$Y$1000,$U$5:$U$1000,ROW(),$V$5:$V$1000,"Sub")),$Y232))))</f>
        <v/>
      </c>
      <c r="N232" s="56">
        <f>IF(OR($M232="",$V232="Sub"),"",IF($M232&gt;=1,"Completado",IF($M232&gt;0,"En curso","Pendiente")))</f>
        <v/>
      </c>
      <c r="O232" s="56">
        <f>IF(NOT((COUNTA($B232:$D232)+COUNTA($G232:$H232)+COUNTA($Q232))&gt;0),"",IF(AND(AND($D232&lt;&gt;"",$V232="Macro"),N($AM232)&gt;0),CHOOSE(MATCH($D232,ListaPuestos,0),INDEX('Cronograma R. Operacional'!$O$5:$O$1000,$AM232),INDEX('Cronograma R. Normativo'!$O$5:$O$1000,$AM232),INDEX('Cronograma R. Financiero'!$O$5:$O$1000,$AM232),INDEX('Cronograma Asistente Técnico'!$O$5:$O$1000,$AM232))&amp;"",IF(ISNUMBER($G232),IF(AND(ISNUMBER($AS232),$G232&gt;$AS232),"Cumplida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f>IF(NOT((COUNTA($B232:$D232)+COUNTA($G232:$H232)+COUNTA($Q232))&gt;0),"",IF($D232="","Propia",IF($V232&lt;&gt;"Macro","Solo se delegan macroactividades",IF(N($AM232)&gt;0,"✔ Recibida por "&amp;$D232,"⚠ "&amp;$D232&amp;" aún no la agrega"))))</f>
        <v/>
      </c>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f>IF(NOT(AND($D232&lt;&gt;"",$V232="Macro")),"",IFERROR(CHOOSE(MATCH($D232,ListaPuestos,0),MATCH("[Jefatura] "&amp;$C232,'Cronograma R. Operacional'!$C$5:$C$1000,0),MATCH("[Jefatura] "&amp;$C232,'Cronograma R. Normativo'!$C$5:$C$1000,0),MATCH("[Jefatura] "&amp;$C232,'Cronograma R. Financiero'!$C$5:$C$1000,0),MATCH("[Jefatura] "&amp;$C232,'Cronograma Asistente Técnico'!$C$5:$C$1000,0)),0))</f>
        <v/>
      </c>
      <c r="AN232" s="62">
        <f>IF(AND(AND($D232&lt;&gt;"",$V232="Macro"),$S232=MesCiclo),COUNTIFS($D$5:$D232,$D232,$S$5:$S232,MesCiclo,$V$5:$V232,"Macro"),"")</f>
        <v/>
      </c>
      <c r="AO232" s="62">
        <f>IF($AN232="","",$D232&amp;"|"&amp;$AN232)</f>
        <v/>
      </c>
      <c r="AP232" s="62">
        <f>IF(AND($D232&lt;&gt;"",$V232="Macro"),$D232&amp;"|"&amp;$C232,"")</f>
        <v/>
      </c>
      <c r="AQ232" s="62">
        <f>""</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t="n"/>
      <c r="F233" s="59" t="n"/>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IF(NOT((COUNTA($B233:$D233)+COUNTA($G233:$H233)+COUNTA($Q233))&gt;0),"",IF(AND($D233&lt;&gt;"",$V233="Macro"),IF(N($AM233)&gt;0,N(CHOOSE(MATCH($D233,ListaPuestos,0),INDEX('Cronograma R. Operacional'!$M$5:$M$1000,$AM233),INDEX('Cronograma R. Normativo'!$M$5:$M$1000,$AM233),INDEX('Cronograma R. Financiero'!$M$5:$M$1000,$AM233),INDEX('Cronograma Asistente Técnico'!$M$5:$M$1000,$AM233))),0),IF(ISNUMBER($G233),1,IF(N($W233)&gt;0,MIN(1,SUMIFS($Y$5:$Y$1000,$U$5:$U$1000,ROW(),$V$5:$V$1000,"Sub")),$Y233))))</f>
        <v/>
      </c>
      <c r="N233" s="56">
        <f>IF(OR($M233="",$V233="Sub"),"",IF($M233&gt;=1,"Completado",IF($M233&gt;0,"En curso","Pendiente")))</f>
        <v/>
      </c>
      <c r="O233" s="56">
        <f>IF(NOT((COUNTA($B233:$D233)+COUNTA($G233:$H233)+COUNTA($Q233))&gt;0),"",IF(AND(AND($D233&lt;&gt;"",$V233="Macro"),N($AM233)&gt;0),CHOOSE(MATCH($D233,ListaPuestos,0),INDEX('Cronograma R. Operacional'!$O$5:$O$1000,$AM233),INDEX('Cronograma R. Normativo'!$O$5:$O$1000,$AM233),INDEX('Cronograma R. Financiero'!$O$5:$O$1000,$AM233),INDEX('Cronograma Asistente Técnico'!$O$5:$O$1000,$AM233))&amp;"",IF(ISNUMBER($G233),IF(AND(ISNUMBER($AS233),$G233&gt;$AS233),"Cumplida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f>IF(NOT((COUNTA($B233:$D233)+COUNTA($G233:$H233)+COUNTA($Q233))&gt;0),"",IF($D233="","Propia",IF($V233&lt;&gt;"Macro","Solo se delegan macroactividades",IF(N($AM233)&gt;0,"✔ Recibida por "&amp;$D233,"⚠ "&amp;$D233&amp;" aún no la agrega"))))</f>
        <v/>
      </c>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f>IF(NOT(AND($D233&lt;&gt;"",$V233="Macro")),"",IFERROR(CHOOSE(MATCH($D233,ListaPuestos,0),MATCH("[Jefatura] "&amp;$C233,'Cronograma R. Operacional'!$C$5:$C$1000,0),MATCH("[Jefatura] "&amp;$C233,'Cronograma R. Normativo'!$C$5:$C$1000,0),MATCH("[Jefatura] "&amp;$C233,'Cronograma R. Financiero'!$C$5:$C$1000,0),MATCH("[Jefatura] "&amp;$C233,'Cronograma Asistente Técnico'!$C$5:$C$1000,0)),0))</f>
        <v/>
      </c>
      <c r="AN233" s="62">
        <f>IF(AND(AND($D233&lt;&gt;"",$V233="Macro"),$S233=MesCiclo),COUNTIFS($D$5:$D233,$D233,$S$5:$S233,MesCiclo,$V$5:$V233,"Macro"),"")</f>
        <v/>
      </c>
      <c r="AO233" s="62">
        <f>IF($AN233="","",$D233&amp;"|"&amp;$AN233)</f>
        <v/>
      </c>
      <c r="AP233" s="62">
        <f>IF(AND($D233&lt;&gt;"",$V233="Macro"),$D233&amp;"|"&amp;$C233,"")</f>
        <v/>
      </c>
      <c r="AQ233" s="62">
        <f>""</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t="n"/>
      <c r="F234" s="59" t="n"/>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IF(NOT((COUNTA($B234:$D234)+COUNTA($G234:$H234)+COUNTA($Q234))&gt;0),"",IF(AND($D234&lt;&gt;"",$V234="Macro"),IF(N($AM234)&gt;0,N(CHOOSE(MATCH($D234,ListaPuestos,0),INDEX('Cronograma R. Operacional'!$M$5:$M$1000,$AM234),INDEX('Cronograma R. Normativo'!$M$5:$M$1000,$AM234),INDEX('Cronograma R. Financiero'!$M$5:$M$1000,$AM234),INDEX('Cronograma Asistente Técnico'!$M$5:$M$1000,$AM234))),0),IF(ISNUMBER($G234),1,IF(N($W234)&gt;0,MIN(1,SUMIFS($Y$5:$Y$1000,$U$5:$U$1000,ROW(),$V$5:$V$1000,"Sub")),$Y234))))</f>
        <v/>
      </c>
      <c r="N234" s="56">
        <f>IF(OR($M234="",$V234="Sub"),"",IF($M234&gt;=1,"Completado",IF($M234&gt;0,"En curso","Pendiente")))</f>
        <v/>
      </c>
      <c r="O234" s="56">
        <f>IF(NOT((COUNTA($B234:$D234)+COUNTA($G234:$H234)+COUNTA($Q234))&gt;0),"",IF(AND(AND($D234&lt;&gt;"",$V234="Macro"),N($AM234)&gt;0),CHOOSE(MATCH($D234,ListaPuestos,0),INDEX('Cronograma R. Operacional'!$O$5:$O$1000,$AM234),INDEX('Cronograma R. Normativo'!$O$5:$O$1000,$AM234),INDEX('Cronograma R. Financiero'!$O$5:$O$1000,$AM234),INDEX('Cronograma Asistente Técnico'!$O$5:$O$1000,$AM234))&amp;"",IF(ISNUMBER($G234),IF(AND(ISNUMBER($AS234),$G234&gt;$AS234),"Cumplida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f>IF(NOT((COUNTA($B234:$D234)+COUNTA($G234:$H234)+COUNTA($Q234))&gt;0),"",IF($D234="","Propia",IF($V234&lt;&gt;"Macro","Solo se delegan macroactividades",IF(N($AM234)&gt;0,"✔ Recibida por "&amp;$D234,"⚠ "&amp;$D234&amp;" aún no la agrega"))))</f>
        <v/>
      </c>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f>IF(NOT(AND($D234&lt;&gt;"",$V234="Macro")),"",IFERROR(CHOOSE(MATCH($D234,ListaPuestos,0),MATCH("[Jefatura] "&amp;$C234,'Cronograma R. Operacional'!$C$5:$C$1000,0),MATCH("[Jefatura] "&amp;$C234,'Cronograma R. Normativo'!$C$5:$C$1000,0),MATCH("[Jefatura] "&amp;$C234,'Cronograma R. Financiero'!$C$5:$C$1000,0),MATCH("[Jefatura] "&amp;$C234,'Cronograma Asistente Técnico'!$C$5:$C$1000,0)),0))</f>
        <v/>
      </c>
      <c r="AN234" s="62">
        <f>IF(AND(AND($D234&lt;&gt;"",$V234="Macro"),$S234=MesCiclo),COUNTIFS($D$5:$D234,$D234,$S$5:$S234,MesCiclo,$V$5:$V234,"Macro"),"")</f>
        <v/>
      </c>
      <c r="AO234" s="62">
        <f>IF($AN234="","",$D234&amp;"|"&amp;$AN234)</f>
        <v/>
      </c>
      <c r="AP234" s="62">
        <f>IF(AND($D234&lt;&gt;"",$V234="Macro"),$D234&amp;"|"&amp;$C234,"")</f>
        <v/>
      </c>
      <c r="AQ234" s="62">
        <f>""</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t="n"/>
      <c r="F235" s="59" t="n"/>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IF(NOT((COUNTA($B235:$D235)+COUNTA($G235:$H235)+COUNTA($Q235))&gt;0),"",IF(AND($D235&lt;&gt;"",$V235="Macro"),IF(N($AM235)&gt;0,N(CHOOSE(MATCH($D235,ListaPuestos,0),INDEX('Cronograma R. Operacional'!$M$5:$M$1000,$AM235),INDEX('Cronograma R. Normativo'!$M$5:$M$1000,$AM235),INDEX('Cronograma R. Financiero'!$M$5:$M$1000,$AM235),INDEX('Cronograma Asistente Técnico'!$M$5:$M$1000,$AM235))),0),IF(ISNUMBER($G235),1,IF(N($W235)&gt;0,MIN(1,SUMIFS($Y$5:$Y$1000,$U$5:$U$1000,ROW(),$V$5:$V$1000,"Sub")),$Y235))))</f>
        <v/>
      </c>
      <c r="N235" s="56">
        <f>IF(OR($M235="",$V235="Sub"),"",IF($M235&gt;=1,"Completado",IF($M235&gt;0,"En curso","Pendiente")))</f>
        <v/>
      </c>
      <c r="O235" s="56">
        <f>IF(NOT((COUNTA($B235:$D235)+COUNTA($G235:$H235)+COUNTA($Q235))&gt;0),"",IF(AND(AND($D235&lt;&gt;"",$V235="Macro"),N($AM235)&gt;0),CHOOSE(MATCH($D235,ListaPuestos,0),INDEX('Cronograma R. Operacional'!$O$5:$O$1000,$AM235),INDEX('Cronograma R. Normativo'!$O$5:$O$1000,$AM235),INDEX('Cronograma R. Financiero'!$O$5:$O$1000,$AM235),INDEX('Cronograma Asistente Técnico'!$O$5:$O$1000,$AM235))&amp;"",IF(ISNUMBER($G235),IF(AND(ISNUMBER($AS235),$G235&gt;$AS235),"Cumplida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f>IF(NOT((COUNTA($B235:$D235)+COUNTA($G235:$H235)+COUNTA($Q235))&gt;0),"",IF($D235="","Propia",IF($V235&lt;&gt;"Macro","Solo se delegan macroactividades",IF(N($AM235)&gt;0,"✔ Recibida por "&amp;$D235,"⚠ "&amp;$D235&amp;" aún no la agrega"))))</f>
        <v/>
      </c>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f>IF(NOT(AND($D235&lt;&gt;"",$V235="Macro")),"",IFERROR(CHOOSE(MATCH($D235,ListaPuestos,0),MATCH("[Jefatura] "&amp;$C235,'Cronograma R. Operacional'!$C$5:$C$1000,0),MATCH("[Jefatura] "&amp;$C235,'Cronograma R. Normativo'!$C$5:$C$1000,0),MATCH("[Jefatura] "&amp;$C235,'Cronograma R. Financiero'!$C$5:$C$1000,0),MATCH("[Jefatura] "&amp;$C235,'Cronograma Asistente Técnico'!$C$5:$C$1000,0)),0))</f>
        <v/>
      </c>
      <c r="AN235" s="62">
        <f>IF(AND(AND($D235&lt;&gt;"",$V235="Macro"),$S235=MesCiclo),COUNTIFS($D$5:$D235,$D235,$S$5:$S235,MesCiclo,$V$5:$V235,"Macro"),"")</f>
        <v/>
      </c>
      <c r="AO235" s="62">
        <f>IF($AN235="","",$D235&amp;"|"&amp;$AN235)</f>
        <v/>
      </c>
      <c r="AP235" s="62">
        <f>IF(AND($D235&lt;&gt;"",$V235="Macro"),$D235&amp;"|"&amp;$C235,"")</f>
        <v/>
      </c>
      <c r="AQ235" s="62">
        <f>""</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t="n"/>
      <c r="F236" s="59" t="n"/>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IF(NOT((COUNTA($B236:$D236)+COUNTA($G236:$H236)+COUNTA($Q236))&gt;0),"",IF(AND($D236&lt;&gt;"",$V236="Macro"),IF(N($AM236)&gt;0,N(CHOOSE(MATCH($D236,ListaPuestos,0),INDEX('Cronograma R. Operacional'!$M$5:$M$1000,$AM236),INDEX('Cronograma R. Normativo'!$M$5:$M$1000,$AM236),INDEX('Cronograma R. Financiero'!$M$5:$M$1000,$AM236),INDEX('Cronograma Asistente Técnico'!$M$5:$M$1000,$AM236))),0),IF(ISNUMBER($G236),1,IF(N($W236)&gt;0,MIN(1,SUMIFS($Y$5:$Y$1000,$U$5:$U$1000,ROW(),$V$5:$V$1000,"Sub")),$Y236))))</f>
        <v/>
      </c>
      <c r="N236" s="56">
        <f>IF(OR($M236="",$V236="Sub"),"",IF($M236&gt;=1,"Completado",IF($M236&gt;0,"En curso","Pendiente")))</f>
        <v/>
      </c>
      <c r="O236" s="56">
        <f>IF(NOT((COUNTA($B236:$D236)+COUNTA($G236:$H236)+COUNTA($Q236))&gt;0),"",IF(AND(AND($D236&lt;&gt;"",$V236="Macro"),N($AM236)&gt;0),CHOOSE(MATCH($D236,ListaPuestos,0),INDEX('Cronograma R. Operacional'!$O$5:$O$1000,$AM236),INDEX('Cronograma R. Normativo'!$O$5:$O$1000,$AM236),INDEX('Cronograma R. Financiero'!$O$5:$O$1000,$AM236),INDEX('Cronograma Asistente Técnico'!$O$5:$O$1000,$AM236))&amp;"",IF(ISNUMBER($G236),IF(AND(ISNUMBER($AS236),$G236&gt;$AS236),"Cumplida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f>IF(NOT((COUNTA($B236:$D236)+COUNTA($G236:$H236)+COUNTA($Q236))&gt;0),"",IF($D236="","Propia",IF($V236&lt;&gt;"Macro","Solo se delegan macroactividades",IF(N($AM236)&gt;0,"✔ Recibida por "&amp;$D236,"⚠ "&amp;$D236&amp;" aún no la agrega"))))</f>
        <v/>
      </c>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f>IF(NOT(AND($D236&lt;&gt;"",$V236="Macro")),"",IFERROR(CHOOSE(MATCH($D236,ListaPuestos,0),MATCH("[Jefatura] "&amp;$C236,'Cronograma R. Operacional'!$C$5:$C$1000,0),MATCH("[Jefatura] "&amp;$C236,'Cronograma R. Normativo'!$C$5:$C$1000,0),MATCH("[Jefatura] "&amp;$C236,'Cronograma R. Financiero'!$C$5:$C$1000,0),MATCH("[Jefatura] "&amp;$C236,'Cronograma Asistente Técnico'!$C$5:$C$1000,0)),0))</f>
        <v/>
      </c>
      <c r="AN236" s="62">
        <f>IF(AND(AND($D236&lt;&gt;"",$V236="Macro"),$S236=MesCiclo),COUNTIFS($D$5:$D236,$D236,$S$5:$S236,MesCiclo,$V$5:$V236,"Macro"),"")</f>
        <v/>
      </c>
      <c r="AO236" s="62">
        <f>IF($AN236="","",$D236&amp;"|"&amp;$AN236)</f>
        <v/>
      </c>
      <c r="AP236" s="62">
        <f>IF(AND($D236&lt;&gt;"",$V236="Macro"),$D236&amp;"|"&amp;$C236,"")</f>
        <v/>
      </c>
      <c r="AQ236" s="62">
        <f>""</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t="n"/>
      <c r="F237" s="59" t="n"/>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IF(NOT((COUNTA($B237:$D237)+COUNTA($G237:$H237)+COUNTA($Q237))&gt;0),"",IF(AND($D237&lt;&gt;"",$V237="Macro"),IF(N($AM237)&gt;0,N(CHOOSE(MATCH($D237,ListaPuestos,0),INDEX('Cronograma R. Operacional'!$M$5:$M$1000,$AM237),INDEX('Cronograma R. Normativo'!$M$5:$M$1000,$AM237),INDEX('Cronograma R. Financiero'!$M$5:$M$1000,$AM237),INDEX('Cronograma Asistente Técnico'!$M$5:$M$1000,$AM237))),0),IF(ISNUMBER($G237),1,IF(N($W237)&gt;0,MIN(1,SUMIFS($Y$5:$Y$1000,$U$5:$U$1000,ROW(),$V$5:$V$1000,"Sub")),$Y237))))</f>
        <v/>
      </c>
      <c r="N237" s="56">
        <f>IF(OR($M237="",$V237="Sub"),"",IF($M237&gt;=1,"Completado",IF($M237&gt;0,"En curso","Pendiente")))</f>
        <v/>
      </c>
      <c r="O237" s="56">
        <f>IF(NOT((COUNTA($B237:$D237)+COUNTA($G237:$H237)+COUNTA($Q237))&gt;0),"",IF(AND(AND($D237&lt;&gt;"",$V237="Macro"),N($AM237)&gt;0),CHOOSE(MATCH($D237,ListaPuestos,0),INDEX('Cronograma R. Operacional'!$O$5:$O$1000,$AM237),INDEX('Cronograma R. Normativo'!$O$5:$O$1000,$AM237),INDEX('Cronograma R. Financiero'!$O$5:$O$1000,$AM237),INDEX('Cronograma Asistente Técnico'!$O$5:$O$1000,$AM237))&amp;"",IF(ISNUMBER($G237),IF(AND(ISNUMBER($AS237),$G237&gt;$AS237),"Cumplida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f>IF(NOT((COUNTA($B237:$D237)+COUNTA($G237:$H237)+COUNTA($Q237))&gt;0),"",IF($D237="","Propia",IF($V237&lt;&gt;"Macro","Solo se delegan macroactividades",IF(N($AM237)&gt;0,"✔ Recibida por "&amp;$D237,"⚠ "&amp;$D237&amp;" aún no la agrega"))))</f>
        <v/>
      </c>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f>IF(NOT(AND($D237&lt;&gt;"",$V237="Macro")),"",IFERROR(CHOOSE(MATCH($D237,ListaPuestos,0),MATCH("[Jefatura] "&amp;$C237,'Cronograma R. Operacional'!$C$5:$C$1000,0),MATCH("[Jefatura] "&amp;$C237,'Cronograma R. Normativo'!$C$5:$C$1000,0),MATCH("[Jefatura] "&amp;$C237,'Cronograma R. Financiero'!$C$5:$C$1000,0),MATCH("[Jefatura] "&amp;$C237,'Cronograma Asistente Técnico'!$C$5:$C$1000,0)),0))</f>
        <v/>
      </c>
      <c r="AN237" s="62">
        <f>IF(AND(AND($D237&lt;&gt;"",$V237="Macro"),$S237=MesCiclo),COUNTIFS($D$5:$D237,$D237,$S$5:$S237,MesCiclo,$V$5:$V237,"Macro"),"")</f>
        <v/>
      </c>
      <c r="AO237" s="62">
        <f>IF($AN237="","",$D237&amp;"|"&amp;$AN237)</f>
        <v/>
      </c>
      <c r="AP237" s="62">
        <f>IF(AND($D237&lt;&gt;"",$V237="Macro"),$D237&amp;"|"&amp;$C237,"")</f>
        <v/>
      </c>
      <c r="AQ237" s="62">
        <f>""</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t="n"/>
      <c r="F238" s="59" t="n"/>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IF(NOT((COUNTA($B238:$D238)+COUNTA($G238:$H238)+COUNTA($Q238))&gt;0),"",IF(AND($D238&lt;&gt;"",$V238="Macro"),IF(N($AM238)&gt;0,N(CHOOSE(MATCH($D238,ListaPuestos,0),INDEX('Cronograma R. Operacional'!$M$5:$M$1000,$AM238),INDEX('Cronograma R. Normativo'!$M$5:$M$1000,$AM238),INDEX('Cronograma R. Financiero'!$M$5:$M$1000,$AM238),INDEX('Cronograma Asistente Técnico'!$M$5:$M$1000,$AM238))),0),IF(ISNUMBER($G238),1,IF(N($W238)&gt;0,MIN(1,SUMIFS($Y$5:$Y$1000,$U$5:$U$1000,ROW(),$V$5:$V$1000,"Sub")),$Y238))))</f>
        <v/>
      </c>
      <c r="N238" s="56">
        <f>IF(OR($M238="",$V238="Sub"),"",IF($M238&gt;=1,"Completado",IF($M238&gt;0,"En curso","Pendiente")))</f>
        <v/>
      </c>
      <c r="O238" s="56">
        <f>IF(NOT((COUNTA($B238:$D238)+COUNTA($G238:$H238)+COUNTA($Q238))&gt;0),"",IF(AND(AND($D238&lt;&gt;"",$V238="Macro"),N($AM238)&gt;0),CHOOSE(MATCH($D238,ListaPuestos,0),INDEX('Cronograma R. Operacional'!$O$5:$O$1000,$AM238),INDEX('Cronograma R. Normativo'!$O$5:$O$1000,$AM238),INDEX('Cronograma R. Financiero'!$O$5:$O$1000,$AM238),INDEX('Cronograma Asistente Técnico'!$O$5:$O$1000,$AM238))&amp;"",IF(ISNUMBER($G238),IF(AND(ISNUMBER($AS238),$G238&gt;$AS238),"Cumplida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f>IF(NOT((COUNTA($B238:$D238)+COUNTA($G238:$H238)+COUNTA($Q238))&gt;0),"",IF($D238="","Propia",IF($V238&lt;&gt;"Macro","Solo se delegan macroactividades",IF(N($AM238)&gt;0,"✔ Recibida por "&amp;$D238,"⚠ "&amp;$D238&amp;" aún no la agrega"))))</f>
        <v/>
      </c>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f>IF(NOT(AND($D238&lt;&gt;"",$V238="Macro")),"",IFERROR(CHOOSE(MATCH($D238,ListaPuestos,0),MATCH("[Jefatura] "&amp;$C238,'Cronograma R. Operacional'!$C$5:$C$1000,0),MATCH("[Jefatura] "&amp;$C238,'Cronograma R. Normativo'!$C$5:$C$1000,0),MATCH("[Jefatura] "&amp;$C238,'Cronograma R. Financiero'!$C$5:$C$1000,0),MATCH("[Jefatura] "&amp;$C238,'Cronograma Asistente Técnico'!$C$5:$C$1000,0)),0))</f>
        <v/>
      </c>
      <c r="AN238" s="62">
        <f>IF(AND(AND($D238&lt;&gt;"",$V238="Macro"),$S238=MesCiclo),COUNTIFS($D$5:$D238,$D238,$S$5:$S238,MesCiclo,$V$5:$V238,"Macro"),"")</f>
        <v/>
      </c>
      <c r="AO238" s="62">
        <f>IF($AN238="","",$D238&amp;"|"&amp;$AN238)</f>
        <v/>
      </c>
      <c r="AP238" s="62">
        <f>IF(AND($D238&lt;&gt;"",$V238="Macro"),$D238&amp;"|"&amp;$C238,"")</f>
        <v/>
      </c>
      <c r="AQ238" s="62">
        <f>""</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t="n"/>
      <c r="F239" s="59" t="n"/>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IF(NOT((COUNTA($B239:$D239)+COUNTA($G239:$H239)+COUNTA($Q239))&gt;0),"",IF(AND($D239&lt;&gt;"",$V239="Macro"),IF(N($AM239)&gt;0,N(CHOOSE(MATCH($D239,ListaPuestos,0),INDEX('Cronograma R. Operacional'!$M$5:$M$1000,$AM239),INDEX('Cronograma R. Normativo'!$M$5:$M$1000,$AM239),INDEX('Cronograma R. Financiero'!$M$5:$M$1000,$AM239),INDEX('Cronograma Asistente Técnico'!$M$5:$M$1000,$AM239))),0),IF(ISNUMBER($G239),1,IF(N($W239)&gt;0,MIN(1,SUMIFS($Y$5:$Y$1000,$U$5:$U$1000,ROW(),$V$5:$V$1000,"Sub")),$Y239))))</f>
        <v/>
      </c>
      <c r="N239" s="56">
        <f>IF(OR($M239="",$V239="Sub"),"",IF($M239&gt;=1,"Completado",IF($M239&gt;0,"En curso","Pendiente")))</f>
        <v/>
      </c>
      <c r="O239" s="56">
        <f>IF(NOT((COUNTA($B239:$D239)+COUNTA($G239:$H239)+COUNTA($Q239))&gt;0),"",IF(AND(AND($D239&lt;&gt;"",$V239="Macro"),N($AM239)&gt;0),CHOOSE(MATCH($D239,ListaPuestos,0),INDEX('Cronograma R. Operacional'!$O$5:$O$1000,$AM239),INDEX('Cronograma R. Normativo'!$O$5:$O$1000,$AM239),INDEX('Cronograma R. Financiero'!$O$5:$O$1000,$AM239),INDEX('Cronograma Asistente Técnico'!$O$5:$O$1000,$AM239))&amp;"",IF(ISNUMBER($G239),IF(AND(ISNUMBER($AS239),$G239&gt;$AS239),"Cumplida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f>IF(NOT((COUNTA($B239:$D239)+COUNTA($G239:$H239)+COUNTA($Q239))&gt;0),"",IF($D239="","Propia",IF($V239&lt;&gt;"Macro","Solo se delegan macroactividades",IF(N($AM239)&gt;0,"✔ Recibida por "&amp;$D239,"⚠ "&amp;$D239&amp;" aún no la agrega"))))</f>
        <v/>
      </c>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f>IF(NOT(AND($D239&lt;&gt;"",$V239="Macro")),"",IFERROR(CHOOSE(MATCH($D239,ListaPuestos,0),MATCH("[Jefatura] "&amp;$C239,'Cronograma R. Operacional'!$C$5:$C$1000,0),MATCH("[Jefatura] "&amp;$C239,'Cronograma R. Normativo'!$C$5:$C$1000,0),MATCH("[Jefatura] "&amp;$C239,'Cronograma R. Financiero'!$C$5:$C$1000,0),MATCH("[Jefatura] "&amp;$C239,'Cronograma Asistente Técnico'!$C$5:$C$1000,0)),0))</f>
        <v/>
      </c>
      <c r="AN239" s="62">
        <f>IF(AND(AND($D239&lt;&gt;"",$V239="Macro"),$S239=MesCiclo),COUNTIFS($D$5:$D239,$D239,$S$5:$S239,MesCiclo,$V$5:$V239,"Macro"),"")</f>
        <v/>
      </c>
      <c r="AO239" s="62">
        <f>IF($AN239="","",$D239&amp;"|"&amp;$AN239)</f>
        <v/>
      </c>
      <c r="AP239" s="62">
        <f>IF(AND($D239&lt;&gt;"",$V239="Macro"),$D239&amp;"|"&amp;$C239,"")</f>
        <v/>
      </c>
      <c r="AQ239" s="62">
        <f>""</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t="n"/>
      <c r="F240" s="59" t="n"/>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IF(NOT((COUNTA($B240:$D240)+COUNTA($G240:$H240)+COUNTA($Q240))&gt;0),"",IF(AND($D240&lt;&gt;"",$V240="Macro"),IF(N($AM240)&gt;0,N(CHOOSE(MATCH($D240,ListaPuestos,0),INDEX('Cronograma R. Operacional'!$M$5:$M$1000,$AM240),INDEX('Cronograma R. Normativo'!$M$5:$M$1000,$AM240),INDEX('Cronograma R. Financiero'!$M$5:$M$1000,$AM240),INDEX('Cronograma Asistente Técnico'!$M$5:$M$1000,$AM240))),0),IF(ISNUMBER($G240),1,IF(N($W240)&gt;0,MIN(1,SUMIFS($Y$5:$Y$1000,$U$5:$U$1000,ROW(),$V$5:$V$1000,"Sub")),$Y240))))</f>
        <v/>
      </c>
      <c r="N240" s="56">
        <f>IF(OR($M240="",$V240="Sub"),"",IF($M240&gt;=1,"Completado",IF($M240&gt;0,"En curso","Pendiente")))</f>
        <v/>
      </c>
      <c r="O240" s="56">
        <f>IF(NOT((COUNTA($B240:$D240)+COUNTA($G240:$H240)+COUNTA($Q240))&gt;0),"",IF(AND(AND($D240&lt;&gt;"",$V240="Macro"),N($AM240)&gt;0),CHOOSE(MATCH($D240,ListaPuestos,0),INDEX('Cronograma R. Operacional'!$O$5:$O$1000,$AM240),INDEX('Cronograma R. Normativo'!$O$5:$O$1000,$AM240),INDEX('Cronograma R. Financiero'!$O$5:$O$1000,$AM240),INDEX('Cronograma Asistente Técnico'!$O$5:$O$1000,$AM240))&amp;"",IF(ISNUMBER($G240),IF(AND(ISNUMBER($AS240),$G240&gt;$AS240),"Cumplida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f>IF(NOT((COUNTA($B240:$D240)+COUNTA($G240:$H240)+COUNTA($Q240))&gt;0),"",IF($D240="","Propia",IF($V240&lt;&gt;"Macro","Solo se delegan macroactividades",IF(N($AM240)&gt;0,"✔ Recibida por "&amp;$D240,"⚠ "&amp;$D240&amp;" aún no la agrega"))))</f>
        <v/>
      </c>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f>IF(NOT(AND($D240&lt;&gt;"",$V240="Macro")),"",IFERROR(CHOOSE(MATCH($D240,ListaPuestos,0),MATCH("[Jefatura] "&amp;$C240,'Cronograma R. Operacional'!$C$5:$C$1000,0),MATCH("[Jefatura] "&amp;$C240,'Cronograma R. Normativo'!$C$5:$C$1000,0),MATCH("[Jefatura] "&amp;$C240,'Cronograma R. Financiero'!$C$5:$C$1000,0),MATCH("[Jefatura] "&amp;$C240,'Cronograma Asistente Técnico'!$C$5:$C$1000,0)),0))</f>
        <v/>
      </c>
      <c r="AN240" s="62">
        <f>IF(AND(AND($D240&lt;&gt;"",$V240="Macro"),$S240=MesCiclo),COUNTIFS($D$5:$D240,$D240,$S$5:$S240,MesCiclo,$V$5:$V240,"Macro"),"")</f>
        <v/>
      </c>
      <c r="AO240" s="62">
        <f>IF($AN240="","",$D240&amp;"|"&amp;$AN240)</f>
        <v/>
      </c>
      <c r="AP240" s="62">
        <f>IF(AND($D240&lt;&gt;"",$V240="Macro"),$D240&amp;"|"&amp;$C240,"")</f>
        <v/>
      </c>
      <c r="AQ240" s="62">
        <f>""</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t="n"/>
      <c r="F241" s="59" t="n"/>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IF(NOT((COUNTA($B241:$D241)+COUNTA($G241:$H241)+COUNTA($Q241))&gt;0),"",IF(AND($D241&lt;&gt;"",$V241="Macro"),IF(N($AM241)&gt;0,N(CHOOSE(MATCH($D241,ListaPuestos,0),INDEX('Cronograma R. Operacional'!$M$5:$M$1000,$AM241),INDEX('Cronograma R. Normativo'!$M$5:$M$1000,$AM241),INDEX('Cronograma R. Financiero'!$M$5:$M$1000,$AM241),INDEX('Cronograma Asistente Técnico'!$M$5:$M$1000,$AM241))),0),IF(ISNUMBER($G241),1,IF(N($W241)&gt;0,MIN(1,SUMIFS($Y$5:$Y$1000,$U$5:$U$1000,ROW(),$V$5:$V$1000,"Sub")),$Y241))))</f>
        <v/>
      </c>
      <c r="N241" s="56">
        <f>IF(OR($M241="",$V241="Sub"),"",IF($M241&gt;=1,"Completado",IF($M241&gt;0,"En curso","Pendiente")))</f>
        <v/>
      </c>
      <c r="O241" s="56">
        <f>IF(NOT((COUNTA($B241:$D241)+COUNTA($G241:$H241)+COUNTA($Q241))&gt;0),"",IF(AND(AND($D241&lt;&gt;"",$V241="Macro"),N($AM241)&gt;0),CHOOSE(MATCH($D241,ListaPuestos,0),INDEX('Cronograma R. Operacional'!$O$5:$O$1000,$AM241),INDEX('Cronograma R. Normativo'!$O$5:$O$1000,$AM241),INDEX('Cronograma R. Financiero'!$O$5:$O$1000,$AM241),INDEX('Cronograma Asistente Técnico'!$O$5:$O$1000,$AM241))&amp;"",IF(ISNUMBER($G241),IF(AND(ISNUMBER($AS241),$G241&gt;$AS241),"Cumplida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f>IF(NOT((COUNTA($B241:$D241)+COUNTA($G241:$H241)+COUNTA($Q241))&gt;0),"",IF($D241="","Propia",IF($V241&lt;&gt;"Macro","Solo se delegan macroactividades",IF(N($AM241)&gt;0,"✔ Recibida por "&amp;$D241,"⚠ "&amp;$D241&amp;" aún no la agrega"))))</f>
        <v/>
      </c>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f>IF(NOT(AND($D241&lt;&gt;"",$V241="Macro")),"",IFERROR(CHOOSE(MATCH($D241,ListaPuestos,0),MATCH("[Jefatura] "&amp;$C241,'Cronograma R. Operacional'!$C$5:$C$1000,0),MATCH("[Jefatura] "&amp;$C241,'Cronograma R. Normativo'!$C$5:$C$1000,0),MATCH("[Jefatura] "&amp;$C241,'Cronograma R. Financiero'!$C$5:$C$1000,0),MATCH("[Jefatura] "&amp;$C241,'Cronograma Asistente Técnico'!$C$5:$C$1000,0)),0))</f>
        <v/>
      </c>
      <c r="AN241" s="62">
        <f>IF(AND(AND($D241&lt;&gt;"",$V241="Macro"),$S241=MesCiclo),COUNTIFS($D$5:$D241,$D241,$S$5:$S241,MesCiclo,$V$5:$V241,"Macro"),"")</f>
        <v/>
      </c>
      <c r="AO241" s="62">
        <f>IF($AN241="","",$D241&amp;"|"&amp;$AN241)</f>
        <v/>
      </c>
      <c r="AP241" s="62">
        <f>IF(AND($D241&lt;&gt;"",$V241="Macro"),$D241&amp;"|"&amp;$C241,"")</f>
        <v/>
      </c>
      <c r="AQ241" s="62">
        <f>""</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t="n"/>
      <c r="F242" s="59" t="n"/>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IF(NOT((COUNTA($B242:$D242)+COUNTA($G242:$H242)+COUNTA($Q242))&gt;0),"",IF(AND($D242&lt;&gt;"",$V242="Macro"),IF(N($AM242)&gt;0,N(CHOOSE(MATCH($D242,ListaPuestos,0),INDEX('Cronograma R. Operacional'!$M$5:$M$1000,$AM242),INDEX('Cronograma R. Normativo'!$M$5:$M$1000,$AM242),INDEX('Cronograma R. Financiero'!$M$5:$M$1000,$AM242),INDEX('Cronograma Asistente Técnico'!$M$5:$M$1000,$AM242))),0),IF(ISNUMBER($G242),1,IF(N($W242)&gt;0,MIN(1,SUMIFS($Y$5:$Y$1000,$U$5:$U$1000,ROW(),$V$5:$V$1000,"Sub")),$Y242))))</f>
        <v/>
      </c>
      <c r="N242" s="56">
        <f>IF(OR($M242="",$V242="Sub"),"",IF($M242&gt;=1,"Completado",IF($M242&gt;0,"En curso","Pendiente")))</f>
        <v/>
      </c>
      <c r="O242" s="56">
        <f>IF(NOT((COUNTA($B242:$D242)+COUNTA($G242:$H242)+COUNTA($Q242))&gt;0),"",IF(AND(AND($D242&lt;&gt;"",$V242="Macro"),N($AM242)&gt;0),CHOOSE(MATCH($D242,ListaPuestos,0),INDEX('Cronograma R. Operacional'!$O$5:$O$1000,$AM242),INDEX('Cronograma R. Normativo'!$O$5:$O$1000,$AM242),INDEX('Cronograma R. Financiero'!$O$5:$O$1000,$AM242),INDEX('Cronograma Asistente Técnico'!$O$5:$O$1000,$AM242))&amp;"",IF(ISNUMBER($G242),IF(AND(ISNUMBER($AS242),$G242&gt;$AS242),"Cumplida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f>IF(NOT((COUNTA($B242:$D242)+COUNTA($G242:$H242)+COUNTA($Q242))&gt;0),"",IF($D242="","Propia",IF($V242&lt;&gt;"Macro","Solo se delegan macroactividades",IF(N($AM242)&gt;0,"✔ Recibida por "&amp;$D242,"⚠ "&amp;$D242&amp;" aún no la agrega"))))</f>
        <v/>
      </c>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f>IF(NOT(AND($D242&lt;&gt;"",$V242="Macro")),"",IFERROR(CHOOSE(MATCH($D242,ListaPuestos,0),MATCH("[Jefatura] "&amp;$C242,'Cronograma R. Operacional'!$C$5:$C$1000,0),MATCH("[Jefatura] "&amp;$C242,'Cronograma R. Normativo'!$C$5:$C$1000,0),MATCH("[Jefatura] "&amp;$C242,'Cronograma R. Financiero'!$C$5:$C$1000,0),MATCH("[Jefatura] "&amp;$C242,'Cronograma Asistente Técnico'!$C$5:$C$1000,0)),0))</f>
        <v/>
      </c>
      <c r="AN242" s="62">
        <f>IF(AND(AND($D242&lt;&gt;"",$V242="Macro"),$S242=MesCiclo),COUNTIFS($D$5:$D242,$D242,$S$5:$S242,MesCiclo,$V$5:$V242,"Macro"),"")</f>
        <v/>
      </c>
      <c r="AO242" s="62">
        <f>IF($AN242="","",$D242&amp;"|"&amp;$AN242)</f>
        <v/>
      </c>
      <c r="AP242" s="62">
        <f>IF(AND($D242&lt;&gt;"",$V242="Macro"),$D242&amp;"|"&amp;$C242,"")</f>
        <v/>
      </c>
      <c r="AQ242" s="62">
        <f>""</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t="n"/>
      <c r="F243" s="59" t="n"/>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IF(NOT((COUNTA($B243:$D243)+COUNTA($G243:$H243)+COUNTA($Q243))&gt;0),"",IF(AND($D243&lt;&gt;"",$V243="Macro"),IF(N($AM243)&gt;0,N(CHOOSE(MATCH($D243,ListaPuestos,0),INDEX('Cronograma R. Operacional'!$M$5:$M$1000,$AM243),INDEX('Cronograma R. Normativo'!$M$5:$M$1000,$AM243),INDEX('Cronograma R. Financiero'!$M$5:$M$1000,$AM243),INDEX('Cronograma Asistente Técnico'!$M$5:$M$1000,$AM243))),0),IF(ISNUMBER($G243),1,IF(N($W243)&gt;0,MIN(1,SUMIFS($Y$5:$Y$1000,$U$5:$U$1000,ROW(),$V$5:$V$1000,"Sub")),$Y243))))</f>
        <v/>
      </c>
      <c r="N243" s="56">
        <f>IF(OR($M243="",$V243="Sub"),"",IF($M243&gt;=1,"Completado",IF($M243&gt;0,"En curso","Pendiente")))</f>
        <v/>
      </c>
      <c r="O243" s="56">
        <f>IF(NOT((COUNTA($B243:$D243)+COUNTA($G243:$H243)+COUNTA($Q243))&gt;0),"",IF(AND(AND($D243&lt;&gt;"",$V243="Macro"),N($AM243)&gt;0),CHOOSE(MATCH($D243,ListaPuestos,0),INDEX('Cronograma R. Operacional'!$O$5:$O$1000,$AM243),INDEX('Cronograma R. Normativo'!$O$5:$O$1000,$AM243),INDEX('Cronograma R. Financiero'!$O$5:$O$1000,$AM243),INDEX('Cronograma Asistente Técnico'!$O$5:$O$1000,$AM243))&amp;"",IF(ISNUMBER($G243),IF(AND(ISNUMBER($AS243),$G243&gt;$AS243),"Cumplida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f>IF(NOT((COUNTA($B243:$D243)+COUNTA($G243:$H243)+COUNTA($Q243))&gt;0),"",IF($D243="","Propia",IF($V243&lt;&gt;"Macro","Solo se delegan macroactividades",IF(N($AM243)&gt;0,"✔ Recibida por "&amp;$D243,"⚠ "&amp;$D243&amp;" aún no la agrega"))))</f>
        <v/>
      </c>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f>IF(NOT(AND($D243&lt;&gt;"",$V243="Macro")),"",IFERROR(CHOOSE(MATCH($D243,ListaPuestos,0),MATCH("[Jefatura] "&amp;$C243,'Cronograma R. Operacional'!$C$5:$C$1000,0),MATCH("[Jefatura] "&amp;$C243,'Cronograma R. Normativo'!$C$5:$C$1000,0),MATCH("[Jefatura] "&amp;$C243,'Cronograma R. Financiero'!$C$5:$C$1000,0),MATCH("[Jefatura] "&amp;$C243,'Cronograma Asistente Técnico'!$C$5:$C$1000,0)),0))</f>
        <v/>
      </c>
      <c r="AN243" s="62">
        <f>IF(AND(AND($D243&lt;&gt;"",$V243="Macro"),$S243=MesCiclo),COUNTIFS($D$5:$D243,$D243,$S$5:$S243,MesCiclo,$V$5:$V243,"Macro"),"")</f>
        <v/>
      </c>
      <c r="AO243" s="62">
        <f>IF($AN243="","",$D243&amp;"|"&amp;$AN243)</f>
        <v/>
      </c>
      <c r="AP243" s="62">
        <f>IF(AND($D243&lt;&gt;"",$V243="Macro"),$D243&amp;"|"&amp;$C243,"")</f>
        <v/>
      </c>
      <c r="AQ243" s="62">
        <f>""</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t="n"/>
      <c r="F244" s="59" t="n"/>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IF(NOT((COUNTA($B244:$D244)+COUNTA($G244:$H244)+COUNTA($Q244))&gt;0),"",IF(AND($D244&lt;&gt;"",$V244="Macro"),IF(N($AM244)&gt;0,N(CHOOSE(MATCH($D244,ListaPuestos,0),INDEX('Cronograma R. Operacional'!$M$5:$M$1000,$AM244),INDEX('Cronograma R. Normativo'!$M$5:$M$1000,$AM244),INDEX('Cronograma R. Financiero'!$M$5:$M$1000,$AM244),INDEX('Cronograma Asistente Técnico'!$M$5:$M$1000,$AM244))),0),IF(ISNUMBER($G244),1,IF(N($W244)&gt;0,MIN(1,SUMIFS($Y$5:$Y$1000,$U$5:$U$1000,ROW(),$V$5:$V$1000,"Sub")),$Y244))))</f>
        <v/>
      </c>
      <c r="N244" s="56">
        <f>IF(OR($M244="",$V244="Sub"),"",IF($M244&gt;=1,"Completado",IF($M244&gt;0,"En curso","Pendiente")))</f>
        <v/>
      </c>
      <c r="O244" s="56">
        <f>IF(NOT((COUNTA($B244:$D244)+COUNTA($G244:$H244)+COUNTA($Q244))&gt;0),"",IF(AND(AND($D244&lt;&gt;"",$V244="Macro"),N($AM244)&gt;0),CHOOSE(MATCH($D244,ListaPuestos,0),INDEX('Cronograma R. Operacional'!$O$5:$O$1000,$AM244),INDEX('Cronograma R. Normativo'!$O$5:$O$1000,$AM244),INDEX('Cronograma R. Financiero'!$O$5:$O$1000,$AM244),INDEX('Cronograma Asistente Técnico'!$O$5:$O$1000,$AM244))&amp;"",IF(ISNUMBER($G244),IF(AND(ISNUMBER($AS244),$G244&gt;$AS244),"Cumplida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f>IF(NOT((COUNTA($B244:$D244)+COUNTA($G244:$H244)+COUNTA($Q244))&gt;0),"",IF($D244="","Propia",IF($V244&lt;&gt;"Macro","Solo se delegan macroactividades",IF(N($AM244)&gt;0,"✔ Recibida por "&amp;$D244,"⚠ "&amp;$D244&amp;" aún no la agrega"))))</f>
        <v/>
      </c>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f>IF(NOT(AND($D244&lt;&gt;"",$V244="Macro")),"",IFERROR(CHOOSE(MATCH($D244,ListaPuestos,0),MATCH("[Jefatura] "&amp;$C244,'Cronograma R. Operacional'!$C$5:$C$1000,0),MATCH("[Jefatura] "&amp;$C244,'Cronograma R. Normativo'!$C$5:$C$1000,0),MATCH("[Jefatura] "&amp;$C244,'Cronograma R. Financiero'!$C$5:$C$1000,0),MATCH("[Jefatura] "&amp;$C244,'Cronograma Asistente Técnico'!$C$5:$C$1000,0)),0))</f>
        <v/>
      </c>
      <c r="AN244" s="62">
        <f>IF(AND(AND($D244&lt;&gt;"",$V244="Macro"),$S244=MesCiclo),COUNTIFS($D$5:$D244,$D244,$S$5:$S244,MesCiclo,$V$5:$V244,"Macro"),"")</f>
        <v/>
      </c>
      <c r="AO244" s="62">
        <f>IF($AN244="","",$D244&amp;"|"&amp;$AN244)</f>
        <v/>
      </c>
      <c r="AP244" s="62">
        <f>IF(AND($D244&lt;&gt;"",$V244="Macro"),$D244&amp;"|"&amp;$C244,"")</f>
        <v/>
      </c>
      <c r="AQ244" s="62">
        <f>""</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t="n"/>
      <c r="F245" s="59" t="n"/>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IF(NOT((COUNTA($B245:$D245)+COUNTA($G245:$H245)+COUNTA($Q245))&gt;0),"",IF(AND($D245&lt;&gt;"",$V245="Macro"),IF(N($AM245)&gt;0,N(CHOOSE(MATCH($D245,ListaPuestos,0),INDEX('Cronograma R. Operacional'!$M$5:$M$1000,$AM245),INDEX('Cronograma R. Normativo'!$M$5:$M$1000,$AM245),INDEX('Cronograma R. Financiero'!$M$5:$M$1000,$AM245),INDEX('Cronograma Asistente Técnico'!$M$5:$M$1000,$AM245))),0),IF(ISNUMBER($G245),1,IF(N($W245)&gt;0,MIN(1,SUMIFS($Y$5:$Y$1000,$U$5:$U$1000,ROW(),$V$5:$V$1000,"Sub")),$Y245))))</f>
        <v/>
      </c>
      <c r="N245" s="56">
        <f>IF(OR($M245="",$V245="Sub"),"",IF($M245&gt;=1,"Completado",IF($M245&gt;0,"En curso","Pendiente")))</f>
        <v/>
      </c>
      <c r="O245" s="56">
        <f>IF(NOT((COUNTA($B245:$D245)+COUNTA($G245:$H245)+COUNTA($Q245))&gt;0),"",IF(AND(AND($D245&lt;&gt;"",$V245="Macro"),N($AM245)&gt;0),CHOOSE(MATCH($D245,ListaPuestos,0),INDEX('Cronograma R. Operacional'!$O$5:$O$1000,$AM245),INDEX('Cronograma R. Normativo'!$O$5:$O$1000,$AM245),INDEX('Cronograma R. Financiero'!$O$5:$O$1000,$AM245),INDEX('Cronograma Asistente Técnico'!$O$5:$O$1000,$AM245))&amp;"",IF(ISNUMBER($G245),IF(AND(ISNUMBER($AS245),$G245&gt;$AS245),"Cumplida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f>IF(NOT((COUNTA($B245:$D245)+COUNTA($G245:$H245)+COUNTA($Q245))&gt;0),"",IF($D245="","Propia",IF($V245&lt;&gt;"Macro","Solo se delegan macroactividades",IF(N($AM245)&gt;0,"✔ Recibida por "&amp;$D245,"⚠ "&amp;$D245&amp;" aún no la agrega"))))</f>
        <v/>
      </c>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f>IF(NOT(AND($D245&lt;&gt;"",$V245="Macro")),"",IFERROR(CHOOSE(MATCH($D245,ListaPuestos,0),MATCH("[Jefatura] "&amp;$C245,'Cronograma R. Operacional'!$C$5:$C$1000,0),MATCH("[Jefatura] "&amp;$C245,'Cronograma R. Normativo'!$C$5:$C$1000,0),MATCH("[Jefatura] "&amp;$C245,'Cronograma R. Financiero'!$C$5:$C$1000,0),MATCH("[Jefatura] "&amp;$C245,'Cronograma Asistente Técnico'!$C$5:$C$1000,0)),0))</f>
        <v/>
      </c>
      <c r="AN245" s="62">
        <f>IF(AND(AND($D245&lt;&gt;"",$V245="Macro"),$S245=MesCiclo),COUNTIFS($D$5:$D245,$D245,$S$5:$S245,MesCiclo,$V$5:$V245,"Macro"),"")</f>
        <v/>
      </c>
      <c r="AO245" s="62">
        <f>IF($AN245="","",$D245&amp;"|"&amp;$AN245)</f>
        <v/>
      </c>
      <c r="AP245" s="62">
        <f>IF(AND($D245&lt;&gt;"",$V245="Macro"),$D245&amp;"|"&amp;$C245,"")</f>
        <v/>
      </c>
      <c r="AQ245" s="62">
        <f>""</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t="n"/>
      <c r="F246" s="59" t="n"/>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IF(NOT((COUNTA($B246:$D246)+COUNTA($G246:$H246)+COUNTA($Q246))&gt;0),"",IF(AND($D246&lt;&gt;"",$V246="Macro"),IF(N($AM246)&gt;0,N(CHOOSE(MATCH($D246,ListaPuestos,0),INDEX('Cronograma R. Operacional'!$M$5:$M$1000,$AM246),INDEX('Cronograma R. Normativo'!$M$5:$M$1000,$AM246),INDEX('Cronograma R. Financiero'!$M$5:$M$1000,$AM246),INDEX('Cronograma Asistente Técnico'!$M$5:$M$1000,$AM246))),0),IF(ISNUMBER($G246),1,IF(N($W246)&gt;0,MIN(1,SUMIFS($Y$5:$Y$1000,$U$5:$U$1000,ROW(),$V$5:$V$1000,"Sub")),$Y246))))</f>
        <v/>
      </c>
      <c r="N246" s="56">
        <f>IF(OR($M246="",$V246="Sub"),"",IF($M246&gt;=1,"Completado",IF($M246&gt;0,"En curso","Pendiente")))</f>
        <v/>
      </c>
      <c r="O246" s="56">
        <f>IF(NOT((COUNTA($B246:$D246)+COUNTA($G246:$H246)+COUNTA($Q246))&gt;0),"",IF(AND(AND($D246&lt;&gt;"",$V246="Macro"),N($AM246)&gt;0),CHOOSE(MATCH($D246,ListaPuestos,0),INDEX('Cronograma R. Operacional'!$O$5:$O$1000,$AM246),INDEX('Cronograma R. Normativo'!$O$5:$O$1000,$AM246),INDEX('Cronograma R. Financiero'!$O$5:$O$1000,$AM246),INDEX('Cronograma Asistente Técnico'!$O$5:$O$1000,$AM246))&amp;"",IF(ISNUMBER($G246),IF(AND(ISNUMBER($AS246),$G246&gt;$AS246),"Cumplida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f>IF(NOT((COUNTA($B246:$D246)+COUNTA($G246:$H246)+COUNTA($Q246))&gt;0),"",IF($D246="","Propia",IF($V246&lt;&gt;"Macro","Solo se delegan macroactividades",IF(N($AM246)&gt;0,"✔ Recibida por "&amp;$D246,"⚠ "&amp;$D246&amp;" aún no la agrega"))))</f>
        <v/>
      </c>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f>IF(NOT(AND($D246&lt;&gt;"",$V246="Macro")),"",IFERROR(CHOOSE(MATCH($D246,ListaPuestos,0),MATCH("[Jefatura] "&amp;$C246,'Cronograma R. Operacional'!$C$5:$C$1000,0),MATCH("[Jefatura] "&amp;$C246,'Cronograma R. Normativo'!$C$5:$C$1000,0),MATCH("[Jefatura] "&amp;$C246,'Cronograma R. Financiero'!$C$5:$C$1000,0),MATCH("[Jefatura] "&amp;$C246,'Cronograma Asistente Técnico'!$C$5:$C$1000,0)),0))</f>
        <v/>
      </c>
      <c r="AN246" s="62">
        <f>IF(AND(AND($D246&lt;&gt;"",$V246="Macro"),$S246=MesCiclo),COUNTIFS($D$5:$D246,$D246,$S$5:$S246,MesCiclo,$V$5:$V246,"Macro"),"")</f>
        <v/>
      </c>
      <c r="AO246" s="62">
        <f>IF($AN246="","",$D246&amp;"|"&amp;$AN246)</f>
        <v/>
      </c>
      <c r="AP246" s="62">
        <f>IF(AND($D246&lt;&gt;"",$V246="Macro"),$D246&amp;"|"&amp;$C246,"")</f>
        <v/>
      </c>
      <c r="AQ246" s="62">
        <f>""</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t="n"/>
      <c r="F247" s="59" t="n"/>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IF(NOT((COUNTA($B247:$D247)+COUNTA($G247:$H247)+COUNTA($Q247))&gt;0),"",IF(AND($D247&lt;&gt;"",$V247="Macro"),IF(N($AM247)&gt;0,N(CHOOSE(MATCH($D247,ListaPuestos,0),INDEX('Cronograma R. Operacional'!$M$5:$M$1000,$AM247),INDEX('Cronograma R. Normativo'!$M$5:$M$1000,$AM247),INDEX('Cronograma R. Financiero'!$M$5:$M$1000,$AM247),INDEX('Cronograma Asistente Técnico'!$M$5:$M$1000,$AM247))),0),IF(ISNUMBER($G247),1,IF(N($W247)&gt;0,MIN(1,SUMIFS($Y$5:$Y$1000,$U$5:$U$1000,ROW(),$V$5:$V$1000,"Sub")),$Y247))))</f>
        <v/>
      </c>
      <c r="N247" s="56">
        <f>IF(OR($M247="",$V247="Sub"),"",IF($M247&gt;=1,"Completado",IF($M247&gt;0,"En curso","Pendiente")))</f>
        <v/>
      </c>
      <c r="O247" s="56">
        <f>IF(NOT((COUNTA($B247:$D247)+COUNTA($G247:$H247)+COUNTA($Q247))&gt;0),"",IF(AND(AND($D247&lt;&gt;"",$V247="Macro"),N($AM247)&gt;0),CHOOSE(MATCH($D247,ListaPuestos,0),INDEX('Cronograma R. Operacional'!$O$5:$O$1000,$AM247),INDEX('Cronograma R. Normativo'!$O$5:$O$1000,$AM247),INDEX('Cronograma R. Financiero'!$O$5:$O$1000,$AM247),INDEX('Cronograma Asistente Técnico'!$O$5:$O$1000,$AM247))&amp;"",IF(ISNUMBER($G247),IF(AND(ISNUMBER($AS247),$G247&gt;$AS247),"Cumplida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f>IF(NOT((COUNTA($B247:$D247)+COUNTA($G247:$H247)+COUNTA($Q247))&gt;0),"",IF($D247="","Propia",IF($V247&lt;&gt;"Macro","Solo se delegan macroactividades",IF(N($AM247)&gt;0,"✔ Recibida por "&amp;$D247,"⚠ "&amp;$D247&amp;" aún no la agrega"))))</f>
        <v/>
      </c>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f>IF(NOT(AND($D247&lt;&gt;"",$V247="Macro")),"",IFERROR(CHOOSE(MATCH($D247,ListaPuestos,0),MATCH("[Jefatura] "&amp;$C247,'Cronograma R. Operacional'!$C$5:$C$1000,0),MATCH("[Jefatura] "&amp;$C247,'Cronograma R. Normativo'!$C$5:$C$1000,0),MATCH("[Jefatura] "&amp;$C247,'Cronograma R. Financiero'!$C$5:$C$1000,0),MATCH("[Jefatura] "&amp;$C247,'Cronograma Asistente Técnico'!$C$5:$C$1000,0)),0))</f>
        <v/>
      </c>
      <c r="AN247" s="62">
        <f>IF(AND(AND($D247&lt;&gt;"",$V247="Macro"),$S247=MesCiclo),COUNTIFS($D$5:$D247,$D247,$S$5:$S247,MesCiclo,$V$5:$V247,"Macro"),"")</f>
        <v/>
      </c>
      <c r="AO247" s="62">
        <f>IF($AN247="","",$D247&amp;"|"&amp;$AN247)</f>
        <v/>
      </c>
      <c r="AP247" s="62">
        <f>IF(AND($D247&lt;&gt;"",$V247="Macro"),$D247&amp;"|"&amp;$C247,"")</f>
        <v/>
      </c>
      <c r="AQ247" s="62">
        <f>""</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t="n"/>
      <c r="F248" s="59" t="n"/>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IF(NOT((COUNTA($B248:$D248)+COUNTA($G248:$H248)+COUNTA($Q248))&gt;0),"",IF(AND($D248&lt;&gt;"",$V248="Macro"),IF(N($AM248)&gt;0,N(CHOOSE(MATCH($D248,ListaPuestos,0),INDEX('Cronograma R. Operacional'!$M$5:$M$1000,$AM248),INDEX('Cronograma R. Normativo'!$M$5:$M$1000,$AM248),INDEX('Cronograma R. Financiero'!$M$5:$M$1000,$AM248),INDEX('Cronograma Asistente Técnico'!$M$5:$M$1000,$AM248))),0),IF(ISNUMBER($G248),1,IF(N($W248)&gt;0,MIN(1,SUMIFS($Y$5:$Y$1000,$U$5:$U$1000,ROW(),$V$5:$V$1000,"Sub")),$Y248))))</f>
        <v/>
      </c>
      <c r="N248" s="56">
        <f>IF(OR($M248="",$V248="Sub"),"",IF($M248&gt;=1,"Completado",IF($M248&gt;0,"En curso","Pendiente")))</f>
        <v/>
      </c>
      <c r="O248" s="56">
        <f>IF(NOT((COUNTA($B248:$D248)+COUNTA($G248:$H248)+COUNTA($Q248))&gt;0),"",IF(AND(AND($D248&lt;&gt;"",$V248="Macro"),N($AM248)&gt;0),CHOOSE(MATCH($D248,ListaPuestos,0),INDEX('Cronograma R. Operacional'!$O$5:$O$1000,$AM248),INDEX('Cronograma R. Normativo'!$O$5:$O$1000,$AM248),INDEX('Cronograma R. Financiero'!$O$5:$O$1000,$AM248),INDEX('Cronograma Asistente Técnico'!$O$5:$O$1000,$AM248))&amp;"",IF(ISNUMBER($G248),IF(AND(ISNUMBER($AS248),$G248&gt;$AS248),"Cumplida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f>IF(NOT((COUNTA($B248:$D248)+COUNTA($G248:$H248)+COUNTA($Q248))&gt;0),"",IF($D248="","Propia",IF($V248&lt;&gt;"Macro","Solo se delegan macroactividades",IF(N($AM248)&gt;0,"✔ Recibida por "&amp;$D248,"⚠ "&amp;$D248&amp;" aún no la agrega"))))</f>
        <v/>
      </c>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f>IF(NOT(AND($D248&lt;&gt;"",$V248="Macro")),"",IFERROR(CHOOSE(MATCH($D248,ListaPuestos,0),MATCH("[Jefatura] "&amp;$C248,'Cronograma R. Operacional'!$C$5:$C$1000,0),MATCH("[Jefatura] "&amp;$C248,'Cronograma R. Normativo'!$C$5:$C$1000,0),MATCH("[Jefatura] "&amp;$C248,'Cronograma R. Financiero'!$C$5:$C$1000,0),MATCH("[Jefatura] "&amp;$C248,'Cronograma Asistente Técnico'!$C$5:$C$1000,0)),0))</f>
        <v/>
      </c>
      <c r="AN248" s="62">
        <f>IF(AND(AND($D248&lt;&gt;"",$V248="Macro"),$S248=MesCiclo),COUNTIFS($D$5:$D248,$D248,$S$5:$S248,MesCiclo,$V$5:$V248,"Macro"),"")</f>
        <v/>
      </c>
      <c r="AO248" s="62">
        <f>IF($AN248="","",$D248&amp;"|"&amp;$AN248)</f>
        <v/>
      </c>
      <c r="AP248" s="62">
        <f>IF(AND($D248&lt;&gt;"",$V248="Macro"),$D248&amp;"|"&amp;$C248,"")</f>
        <v/>
      </c>
      <c r="AQ248" s="62">
        <f>""</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t="n"/>
      <c r="F249" s="59" t="n"/>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IF(NOT((COUNTA($B249:$D249)+COUNTA($G249:$H249)+COUNTA($Q249))&gt;0),"",IF(AND($D249&lt;&gt;"",$V249="Macro"),IF(N($AM249)&gt;0,N(CHOOSE(MATCH($D249,ListaPuestos,0),INDEX('Cronograma R. Operacional'!$M$5:$M$1000,$AM249),INDEX('Cronograma R. Normativo'!$M$5:$M$1000,$AM249),INDEX('Cronograma R. Financiero'!$M$5:$M$1000,$AM249),INDEX('Cronograma Asistente Técnico'!$M$5:$M$1000,$AM249))),0),IF(ISNUMBER($G249),1,IF(N($W249)&gt;0,MIN(1,SUMIFS($Y$5:$Y$1000,$U$5:$U$1000,ROW(),$V$5:$V$1000,"Sub")),$Y249))))</f>
        <v/>
      </c>
      <c r="N249" s="56">
        <f>IF(OR($M249="",$V249="Sub"),"",IF($M249&gt;=1,"Completado",IF($M249&gt;0,"En curso","Pendiente")))</f>
        <v/>
      </c>
      <c r="O249" s="56">
        <f>IF(NOT((COUNTA($B249:$D249)+COUNTA($G249:$H249)+COUNTA($Q249))&gt;0),"",IF(AND(AND($D249&lt;&gt;"",$V249="Macro"),N($AM249)&gt;0),CHOOSE(MATCH($D249,ListaPuestos,0),INDEX('Cronograma R. Operacional'!$O$5:$O$1000,$AM249),INDEX('Cronograma R. Normativo'!$O$5:$O$1000,$AM249),INDEX('Cronograma R. Financiero'!$O$5:$O$1000,$AM249),INDEX('Cronograma Asistente Técnico'!$O$5:$O$1000,$AM249))&amp;"",IF(ISNUMBER($G249),IF(AND(ISNUMBER($AS249),$G249&gt;$AS249),"Cumplida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f>IF(NOT((COUNTA($B249:$D249)+COUNTA($G249:$H249)+COUNTA($Q249))&gt;0),"",IF($D249="","Propia",IF($V249&lt;&gt;"Macro","Solo se delegan macroactividades",IF(N($AM249)&gt;0,"✔ Recibida por "&amp;$D249,"⚠ "&amp;$D249&amp;" aún no la agrega"))))</f>
        <v/>
      </c>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f>IF(NOT(AND($D249&lt;&gt;"",$V249="Macro")),"",IFERROR(CHOOSE(MATCH($D249,ListaPuestos,0),MATCH("[Jefatura] "&amp;$C249,'Cronograma R. Operacional'!$C$5:$C$1000,0),MATCH("[Jefatura] "&amp;$C249,'Cronograma R. Normativo'!$C$5:$C$1000,0),MATCH("[Jefatura] "&amp;$C249,'Cronograma R. Financiero'!$C$5:$C$1000,0),MATCH("[Jefatura] "&amp;$C249,'Cronograma Asistente Técnico'!$C$5:$C$1000,0)),0))</f>
        <v/>
      </c>
      <c r="AN249" s="62">
        <f>IF(AND(AND($D249&lt;&gt;"",$V249="Macro"),$S249=MesCiclo),COUNTIFS($D$5:$D249,$D249,$S$5:$S249,MesCiclo,$V$5:$V249,"Macro"),"")</f>
        <v/>
      </c>
      <c r="AO249" s="62">
        <f>IF($AN249="","",$D249&amp;"|"&amp;$AN249)</f>
        <v/>
      </c>
      <c r="AP249" s="62">
        <f>IF(AND($D249&lt;&gt;"",$V249="Macro"),$D249&amp;"|"&amp;$C249,"")</f>
        <v/>
      </c>
      <c r="AQ249" s="62">
        <f>""</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t="n"/>
      <c r="F250" s="59" t="n"/>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IF(NOT((COUNTA($B250:$D250)+COUNTA($G250:$H250)+COUNTA($Q250))&gt;0),"",IF(AND($D250&lt;&gt;"",$V250="Macro"),IF(N($AM250)&gt;0,N(CHOOSE(MATCH($D250,ListaPuestos,0),INDEX('Cronograma R. Operacional'!$M$5:$M$1000,$AM250),INDEX('Cronograma R. Normativo'!$M$5:$M$1000,$AM250),INDEX('Cronograma R. Financiero'!$M$5:$M$1000,$AM250),INDEX('Cronograma Asistente Técnico'!$M$5:$M$1000,$AM250))),0),IF(ISNUMBER($G250),1,IF(N($W250)&gt;0,MIN(1,SUMIFS($Y$5:$Y$1000,$U$5:$U$1000,ROW(),$V$5:$V$1000,"Sub")),$Y250))))</f>
        <v/>
      </c>
      <c r="N250" s="56">
        <f>IF(OR($M250="",$V250="Sub"),"",IF($M250&gt;=1,"Completado",IF($M250&gt;0,"En curso","Pendiente")))</f>
        <v/>
      </c>
      <c r="O250" s="56">
        <f>IF(NOT((COUNTA($B250:$D250)+COUNTA($G250:$H250)+COUNTA($Q250))&gt;0),"",IF(AND(AND($D250&lt;&gt;"",$V250="Macro"),N($AM250)&gt;0),CHOOSE(MATCH($D250,ListaPuestos,0),INDEX('Cronograma R. Operacional'!$O$5:$O$1000,$AM250),INDEX('Cronograma R. Normativo'!$O$5:$O$1000,$AM250),INDEX('Cronograma R. Financiero'!$O$5:$O$1000,$AM250),INDEX('Cronograma Asistente Técnico'!$O$5:$O$1000,$AM250))&amp;"",IF(ISNUMBER($G250),IF(AND(ISNUMBER($AS250),$G250&gt;$AS250),"Cumplida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f>IF(NOT((COUNTA($B250:$D250)+COUNTA($G250:$H250)+COUNTA($Q250))&gt;0),"",IF($D250="","Propia",IF($V250&lt;&gt;"Macro","Solo se delegan macroactividades",IF(N($AM250)&gt;0,"✔ Recibida por "&amp;$D250,"⚠ "&amp;$D250&amp;" aún no la agrega"))))</f>
        <v/>
      </c>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f>IF(NOT(AND($D250&lt;&gt;"",$V250="Macro")),"",IFERROR(CHOOSE(MATCH($D250,ListaPuestos,0),MATCH("[Jefatura] "&amp;$C250,'Cronograma R. Operacional'!$C$5:$C$1000,0),MATCH("[Jefatura] "&amp;$C250,'Cronograma R. Normativo'!$C$5:$C$1000,0),MATCH("[Jefatura] "&amp;$C250,'Cronograma R. Financiero'!$C$5:$C$1000,0),MATCH("[Jefatura] "&amp;$C250,'Cronograma Asistente Técnico'!$C$5:$C$1000,0)),0))</f>
        <v/>
      </c>
      <c r="AN250" s="62">
        <f>IF(AND(AND($D250&lt;&gt;"",$V250="Macro"),$S250=MesCiclo),COUNTIFS($D$5:$D250,$D250,$S$5:$S250,MesCiclo,$V$5:$V250,"Macro"),"")</f>
        <v/>
      </c>
      <c r="AO250" s="62">
        <f>IF($AN250="","",$D250&amp;"|"&amp;$AN250)</f>
        <v/>
      </c>
      <c r="AP250" s="62">
        <f>IF(AND($D250&lt;&gt;"",$V250="Macro"),$D250&amp;"|"&amp;$C250,"")</f>
        <v/>
      </c>
      <c r="AQ250" s="62">
        <f>""</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t="n"/>
      <c r="F251" s="59" t="n"/>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IF(NOT((COUNTA($B251:$D251)+COUNTA($G251:$H251)+COUNTA($Q251))&gt;0),"",IF(AND($D251&lt;&gt;"",$V251="Macro"),IF(N($AM251)&gt;0,N(CHOOSE(MATCH($D251,ListaPuestos,0),INDEX('Cronograma R. Operacional'!$M$5:$M$1000,$AM251),INDEX('Cronograma R. Normativo'!$M$5:$M$1000,$AM251),INDEX('Cronograma R. Financiero'!$M$5:$M$1000,$AM251),INDEX('Cronograma Asistente Técnico'!$M$5:$M$1000,$AM251))),0),IF(ISNUMBER($G251),1,IF(N($W251)&gt;0,MIN(1,SUMIFS($Y$5:$Y$1000,$U$5:$U$1000,ROW(),$V$5:$V$1000,"Sub")),$Y251))))</f>
        <v/>
      </c>
      <c r="N251" s="56">
        <f>IF(OR($M251="",$V251="Sub"),"",IF($M251&gt;=1,"Completado",IF($M251&gt;0,"En curso","Pendiente")))</f>
        <v/>
      </c>
      <c r="O251" s="56">
        <f>IF(NOT((COUNTA($B251:$D251)+COUNTA($G251:$H251)+COUNTA($Q251))&gt;0),"",IF(AND(AND($D251&lt;&gt;"",$V251="Macro"),N($AM251)&gt;0),CHOOSE(MATCH($D251,ListaPuestos,0),INDEX('Cronograma R. Operacional'!$O$5:$O$1000,$AM251),INDEX('Cronograma R. Normativo'!$O$5:$O$1000,$AM251),INDEX('Cronograma R. Financiero'!$O$5:$O$1000,$AM251),INDEX('Cronograma Asistente Técnico'!$O$5:$O$1000,$AM251))&amp;"",IF(ISNUMBER($G251),IF(AND(ISNUMBER($AS251),$G251&gt;$AS251),"Cumplida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f>IF(NOT((COUNTA($B251:$D251)+COUNTA($G251:$H251)+COUNTA($Q251))&gt;0),"",IF($D251="","Propia",IF($V251&lt;&gt;"Macro","Solo se delegan macroactividades",IF(N($AM251)&gt;0,"✔ Recibida por "&amp;$D251,"⚠ "&amp;$D251&amp;" aún no la agrega"))))</f>
        <v/>
      </c>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f>IF(NOT(AND($D251&lt;&gt;"",$V251="Macro")),"",IFERROR(CHOOSE(MATCH($D251,ListaPuestos,0),MATCH("[Jefatura] "&amp;$C251,'Cronograma R. Operacional'!$C$5:$C$1000,0),MATCH("[Jefatura] "&amp;$C251,'Cronograma R. Normativo'!$C$5:$C$1000,0),MATCH("[Jefatura] "&amp;$C251,'Cronograma R. Financiero'!$C$5:$C$1000,0),MATCH("[Jefatura] "&amp;$C251,'Cronograma Asistente Técnico'!$C$5:$C$1000,0)),0))</f>
        <v/>
      </c>
      <c r="AN251" s="62">
        <f>IF(AND(AND($D251&lt;&gt;"",$V251="Macro"),$S251=MesCiclo),COUNTIFS($D$5:$D251,$D251,$S$5:$S251,MesCiclo,$V$5:$V251,"Macro"),"")</f>
        <v/>
      </c>
      <c r="AO251" s="62">
        <f>IF($AN251="","",$D251&amp;"|"&amp;$AN251)</f>
        <v/>
      </c>
      <c r="AP251" s="62">
        <f>IF(AND($D251&lt;&gt;"",$V251="Macro"),$D251&amp;"|"&amp;$C251,"")</f>
        <v/>
      </c>
      <c r="AQ251" s="62">
        <f>""</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t="n"/>
      <c r="F252" s="59" t="n"/>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IF(NOT((COUNTA($B252:$D252)+COUNTA($G252:$H252)+COUNTA($Q252))&gt;0),"",IF(AND($D252&lt;&gt;"",$V252="Macro"),IF(N($AM252)&gt;0,N(CHOOSE(MATCH($D252,ListaPuestos,0),INDEX('Cronograma R. Operacional'!$M$5:$M$1000,$AM252),INDEX('Cronograma R. Normativo'!$M$5:$M$1000,$AM252),INDEX('Cronograma R. Financiero'!$M$5:$M$1000,$AM252),INDEX('Cronograma Asistente Técnico'!$M$5:$M$1000,$AM252))),0),IF(ISNUMBER($G252),1,IF(N($W252)&gt;0,MIN(1,SUMIFS($Y$5:$Y$1000,$U$5:$U$1000,ROW(),$V$5:$V$1000,"Sub")),$Y252))))</f>
        <v/>
      </c>
      <c r="N252" s="56">
        <f>IF(OR($M252="",$V252="Sub"),"",IF($M252&gt;=1,"Completado",IF($M252&gt;0,"En curso","Pendiente")))</f>
        <v/>
      </c>
      <c r="O252" s="56">
        <f>IF(NOT((COUNTA($B252:$D252)+COUNTA($G252:$H252)+COUNTA($Q252))&gt;0),"",IF(AND(AND($D252&lt;&gt;"",$V252="Macro"),N($AM252)&gt;0),CHOOSE(MATCH($D252,ListaPuestos,0),INDEX('Cronograma R. Operacional'!$O$5:$O$1000,$AM252),INDEX('Cronograma R. Normativo'!$O$5:$O$1000,$AM252),INDEX('Cronograma R. Financiero'!$O$5:$O$1000,$AM252),INDEX('Cronograma Asistente Técnico'!$O$5:$O$1000,$AM252))&amp;"",IF(ISNUMBER($G252),IF(AND(ISNUMBER($AS252),$G252&gt;$AS252),"Cumplida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f>IF(NOT((COUNTA($B252:$D252)+COUNTA($G252:$H252)+COUNTA($Q252))&gt;0),"",IF($D252="","Propia",IF($V252&lt;&gt;"Macro","Solo se delegan macroactividades",IF(N($AM252)&gt;0,"✔ Recibida por "&amp;$D252,"⚠ "&amp;$D252&amp;" aún no la agrega"))))</f>
        <v/>
      </c>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f>IF(NOT(AND($D252&lt;&gt;"",$V252="Macro")),"",IFERROR(CHOOSE(MATCH($D252,ListaPuestos,0),MATCH("[Jefatura] "&amp;$C252,'Cronograma R. Operacional'!$C$5:$C$1000,0),MATCH("[Jefatura] "&amp;$C252,'Cronograma R. Normativo'!$C$5:$C$1000,0),MATCH("[Jefatura] "&amp;$C252,'Cronograma R. Financiero'!$C$5:$C$1000,0),MATCH("[Jefatura] "&amp;$C252,'Cronograma Asistente Técnico'!$C$5:$C$1000,0)),0))</f>
        <v/>
      </c>
      <c r="AN252" s="62">
        <f>IF(AND(AND($D252&lt;&gt;"",$V252="Macro"),$S252=MesCiclo),COUNTIFS($D$5:$D252,$D252,$S$5:$S252,MesCiclo,$V$5:$V252,"Macro"),"")</f>
        <v/>
      </c>
      <c r="AO252" s="62">
        <f>IF($AN252="","",$D252&amp;"|"&amp;$AN252)</f>
        <v/>
      </c>
      <c r="AP252" s="62">
        <f>IF(AND($D252&lt;&gt;"",$V252="Macro"),$D252&amp;"|"&amp;$C252,"")</f>
        <v/>
      </c>
      <c r="AQ252" s="62">
        <f>""</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t="n"/>
      <c r="F253" s="59" t="n"/>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IF(NOT((COUNTA($B253:$D253)+COUNTA($G253:$H253)+COUNTA($Q253))&gt;0),"",IF(AND($D253&lt;&gt;"",$V253="Macro"),IF(N($AM253)&gt;0,N(CHOOSE(MATCH($D253,ListaPuestos,0),INDEX('Cronograma R. Operacional'!$M$5:$M$1000,$AM253),INDEX('Cronograma R. Normativo'!$M$5:$M$1000,$AM253),INDEX('Cronograma R. Financiero'!$M$5:$M$1000,$AM253),INDEX('Cronograma Asistente Técnico'!$M$5:$M$1000,$AM253))),0),IF(ISNUMBER($G253),1,IF(N($W253)&gt;0,MIN(1,SUMIFS($Y$5:$Y$1000,$U$5:$U$1000,ROW(),$V$5:$V$1000,"Sub")),$Y253))))</f>
        <v/>
      </c>
      <c r="N253" s="56">
        <f>IF(OR($M253="",$V253="Sub"),"",IF($M253&gt;=1,"Completado",IF($M253&gt;0,"En curso","Pendiente")))</f>
        <v/>
      </c>
      <c r="O253" s="56">
        <f>IF(NOT((COUNTA($B253:$D253)+COUNTA($G253:$H253)+COUNTA($Q253))&gt;0),"",IF(AND(AND($D253&lt;&gt;"",$V253="Macro"),N($AM253)&gt;0),CHOOSE(MATCH($D253,ListaPuestos,0),INDEX('Cronograma R. Operacional'!$O$5:$O$1000,$AM253),INDEX('Cronograma R. Normativo'!$O$5:$O$1000,$AM253),INDEX('Cronograma R. Financiero'!$O$5:$O$1000,$AM253),INDEX('Cronograma Asistente Técnico'!$O$5:$O$1000,$AM253))&amp;"",IF(ISNUMBER($G253),IF(AND(ISNUMBER($AS253),$G253&gt;$AS253),"Cumplida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f>IF(NOT((COUNTA($B253:$D253)+COUNTA($G253:$H253)+COUNTA($Q253))&gt;0),"",IF($D253="","Propia",IF($V253&lt;&gt;"Macro","Solo se delegan macroactividades",IF(N($AM253)&gt;0,"✔ Recibida por "&amp;$D253,"⚠ "&amp;$D253&amp;" aún no la agrega"))))</f>
        <v/>
      </c>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f>IF(NOT(AND($D253&lt;&gt;"",$V253="Macro")),"",IFERROR(CHOOSE(MATCH($D253,ListaPuestos,0),MATCH("[Jefatura] "&amp;$C253,'Cronograma R. Operacional'!$C$5:$C$1000,0),MATCH("[Jefatura] "&amp;$C253,'Cronograma R. Normativo'!$C$5:$C$1000,0),MATCH("[Jefatura] "&amp;$C253,'Cronograma R. Financiero'!$C$5:$C$1000,0),MATCH("[Jefatura] "&amp;$C253,'Cronograma Asistente Técnico'!$C$5:$C$1000,0)),0))</f>
        <v/>
      </c>
      <c r="AN253" s="62">
        <f>IF(AND(AND($D253&lt;&gt;"",$V253="Macro"),$S253=MesCiclo),COUNTIFS($D$5:$D253,$D253,$S$5:$S253,MesCiclo,$V$5:$V253,"Macro"),"")</f>
        <v/>
      </c>
      <c r="AO253" s="62">
        <f>IF($AN253="","",$D253&amp;"|"&amp;$AN253)</f>
        <v/>
      </c>
      <c r="AP253" s="62">
        <f>IF(AND($D253&lt;&gt;"",$V253="Macro"),$D253&amp;"|"&amp;$C253,"")</f>
        <v/>
      </c>
      <c r="AQ253" s="62">
        <f>""</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t="n"/>
      <c r="F254" s="59" t="n"/>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IF(NOT((COUNTA($B254:$D254)+COUNTA($G254:$H254)+COUNTA($Q254))&gt;0),"",IF(AND($D254&lt;&gt;"",$V254="Macro"),IF(N($AM254)&gt;0,N(CHOOSE(MATCH($D254,ListaPuestos,0),INDEX('Cronograma R. Operacional'!$M$5:$M$1000,$AM254),INDEX('Cronograma R. Normativo'!$M$5:$M$1000,$AM254),INDEX('Cronograma R. Financiero'!$M$5:$M$1000,$AM254),INDEX('Cronograma Asistente Técnico'!$M$5:$M$1000,$AM254))),0),IF(ISNUMBER($G254),1,IF(N($W254)&gt;0,MIN(1,SUMIFS($Y$5:$Y$1000,$U$5:$U$1000,ROW(),$V$5:$V$1000,"Sub")),$Y254))))</f>
        <v/>
      </c>
      <c r="N254" s="56">
        <f>IF(OR($M254="",$V254="Sub"),"",IF($M254&gt;=1,"Completado",IF($M254&gt;0,"En curso","Pendiente")))</f>
        <v/>
      </c>
      <c r="O254" s="56">
        <f>IF(NOT((COUNTA($B254:$D254)+COUNTA($G254:$H254)+COUNTA($Q254))&gt;0),"",IF(AND(AND($D254&lt;&gt;"",$V254="Macro"),N($AM254)&gt;0),CHOOSE(MATCH($D254,ListaPuestos,0),INDEX('Cronograma R. Operacional'!$O$5:$O$1000,$AM254),INDEX('Cronograma R. Normativo'!$O$5:$O$1000,$AM254),INDEX('Cronograma R. Financiero'!$O$5:$O$1000,$AM254),INDEX('Cronograma Asistente Técnico'!$O$5:$O$1000,$AM254))&amp;"",IF(ISNUMBER($G254),IF(AND(ISNUMBER($AS254),$G254&gt;$AS254),"Cumplida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f>IF(NOT((COUNTA($B254:$D254)+COUNTA($G254:$H254)+COUNTA($Q254))&gt;0),"",IF($D254="","Propia",IF($V254&lt;&gt;"Macro","Solo se delegan macroactividades",IF(N($AM254)&gt;0,"✔ Recibida por "&amp;$D254,"⚠ "&amp;$D254&amp;" aún no la agrega"))))</f>
        <v/>
      </c>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f>IF(NOT(AND($D254&lt;&gt;"",$V254="Macro")),"",IFERROR(CHOOSE(MATCH($D254,ListaPuestos,0),MATCH("[Jefatura] "&amp;$C254,'Cronograma R. Operacional'!$C$5:$C$1000,0),MATCH("[Jefatura] "&amp;$C254,'Cronograma R. Normativo'!$C$5:$C$1000,0),MATCH("[Jefatura] "&amp;$C254,'Cronograma R. Financiero'!$C$5:$C$1000,0),MATCH("[Jefatura] "&amp;$C254,'Cronograma Asistente Técnico'!$C$5:$C$1000,0)),0))</f>
        <v/>
      </c>
      <c r="AN254" s="62">
        <f>IF(AND(AND($D254&lt;&gt;"",$V254="Macro"),$S254=MesCiclo),COUNTIFS($D$5:$D254,$D254,$S$5:$S254,MesCiclo,$V$5:$V254,"Macro"),"")</f>
        <v/>
      </c>
      <c r="AO254" s="62">
        <f>IF($AN254="","",$D254&amp;"|"&amp;$AN254)</f>
        <v/>
      </c>
      <c r="AP254" s="62">
        <f>IF(AND($D254&lt;&gt;"",$V254="Macro"),$D254&amp;"|"&amp;$C254,"")</f>
        <v/>
      </c>
      <c r="AQ254" s="62">
        <f>""</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t="n"/>
      <c r="F255" s="59" t="n"/>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IF(NOT((COUNTA($B255:$D255)+COUNTA($G255:$H255)+COUNTA($Q255))&gt;0),"",IF(AND($D255&lt;&gt;"",$V255="Macro"),IF(N($AM255)&gt;0,N(CHOOSE(MATCH($D255,ListaPuestos,0),INDEX('Cronograma R. Operacional'!$M$5:$M$1000,$AM255),INDEX('Cronograma R. Normativo'!$M$5:$M$1000,$AM255),INDEX('Cronograma R. Financiero'!$M$5:$M$1000,$AM255),INDEX('Cronograma Asistente Técnico'!$M$5:$M$1000,$AM255))),0),IF(ISNUMBER($G255),1,IF(N($W255)&gt;0,MIN(1,SUMIFS($Y$5:$Y$1000,$U$5:$U$1000,ROW(),$V$5:$V$1000,"Sub")),$Y255))))</f>
        <v/>
      </c>
      <c r="N255" s="56">
        <f>IF(OR($M255="",$V255="Sub"),"",IF($M255&gt;=1,"Completado",IF($M255&gt;0,"En curso","Pendiente")))</f>
        <v/>
      </c>
      <c r="O255" s="56">
        <f>IF(NOT((COUNTA($B255:$D255)+COUNTA($G255:$H255)+COUNTA($Q255))&gt;0),"",IF(AND(AND($D255&lt;&gt;"",$V255="Macro"),N($AM255)&gt;0),CHOOSE(MATCH($D255,ListaPuestos,0),INDEX('Cronograma R. Operacional'!$O$5:$O$1000,$AM255),INDEX('Cronograma R. Normativo'!$O$5:$O$1000,$AM255),INDEX('Cronograma R. Financiero'!$O$5:$O$1000,$AM255),INDEX('Cronograma Asistente Técnico'!$O$5:$O$1000,$AM255))&amp;"",IF(ISNUMBER($G255),IF(AND(ISNUMBER($AS255),$G255&gt;$AS255),"Cumplida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f>IF(NOT((COUNTA($B255:$D255)+COUNTA($G255:$H255)+COUNTA($Q255))&gt;0),"",IF($D255="","Propia",IF($V255&lt;&gt;"Macro","Solo se delegan macroactividades",IF(N($AM255)&gt;0,"✔ Recibida por "&amp;$D255,"⚠ "&amp;$D255&amp;" aún no la agrega"))))</f>
        <v/>
      </c>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f>IF(NOT(AND($D255&lt;&gt;"",$V255="Macro")),"",IFERROR(CHOOSE(MATCH($D255,ListaPuestos,0),MATCH("[Jefatura] "&amp;$C255,'Cronograma R. Operacional'!$C$5:$C$1000,0),MATCH("[Jefatura] "&amp;$C255,'Cronograma R. Normativo'!$C$5:$C$1000,0),MATCH("[Jefatura] "&amp;$C255,'Cronograma R. Financiero'!$C$5:$C$1000,0),MATCH("[Jefatura] "&amp;$C255,'Cronograma Asistente Técnico'!$C$5:$C$1000,0)),0))</f>
        <v/>
      </c>
      <c r="AN255" s="62">
        <f>IF(AND(AND($D255&lt;&gt;"",$V255="Macro"),$S255=MesCiclo),COUNTIFS($D$5:$D255,$D255,$S$5:$S255,MesCiclo,$V$5:$V255,"Macro"),"")</f>
        <v/>
      </c>
      <c r="AO255" s="62">
        <f>IF($AN255="","",$D255&amp;"|"&amp;$AN255)</f>
        <v/>
      </c>
      <c r="AP255" s="62">
        <f>IF(AND($D255&lt;&gt;"",$V255="Macro"),$D255&amp;"|"&amp;$C255,"")</f>
        <v/>
      </c>
      <c r="AQ255" s="62">
        <f>""</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t="n"/>
      <c r="F256" s="59" t="n"/>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IF(NOT((COUNTA($B256:$D256)+COUNTA($G256:$H256)+COUNTA($Q256))&gt;0),"",IF(AND($D256&lt;&gt;"",$V256="Macro"),IF(N($AM256)&gt;0,N(CHOOSE(MATCH($D256,ListaPuestos,0),INDEX('Cronograma R. Operacional'!$M$5:$M$1000,$AM256),INDEX('Cronograma R. Normativo'!$M$5:$M$1000,$AM256),INDEX('Cronograma R. Financiero'!$M$5:$M$1000,$AM256),INDEX('Cronograma Asistente Técnico'!$M$5:$M$1000,$AM256))),0),IF(ISNUMBER($G256),1,IF(N($W256)&gt;0,MIN(1,SUMIFS($Y$5:$Y$1000,$U$5:$U$1000,ROW(),$V$5:$V$1000,"Sub")),$Y256))))</f>
        <v/>
      </c>
      <c r="N256" s="56">
        <f>IF(OR($M256="",$V256="Sub"),"",IF($M256&gt;=1,"Completado",IF($M256&gt;0,"En curso","Pendiente")))</f>
        <v/>
      </c>
      <c r="O256" s="56">
        <f>IF(NOT((COUNTA($B256:$D256)+COUNTA($G256:$H256)+COUNTA($Q256))&gt;0),"",IF(AND(AND($D256&lt;&gt;"",$V256="Macro"),N($AM256)&gt;0),CHOOSE(MATCH($D256,ListaPuestos,0),INDEX('Cronograma R. Operacional'!$O$5:$O$1000,$AM256),INDEX('Cronograma R. Normativo'!$O$5:$O$1000,$AM256),INDEX('Cronograma R. Financiero'!$O$5:$O$1000,$AM256),INDEX('Cronograma Asistente Técnico'!$O$5:$O$1000,$AM256))&amp;"",IF(ISNUMBER($G256),IF(AND(ISNUMBER($AS256),$G256&gt;$AS256),"Cumplida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f>IF(NOT((COUNTA($B256:$D256)+COUNTA($G256:$H256)+COUNTA($Q256))&gt;0),"",IF($D256="","Propia",IF($V256&lt;&gt;"Macro","Solo se delegan macroactividades",IF(N($AM256)&gt;0,"✔ Recibida por "&amp;$D256,"⚠ "&amp;$D256&amp;" aún no la agrega"))))</f>
        <v/>
      </c>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f>IF(NOT(AND($D256&lt;&gt;"",$V256="Macro")),"",IFERROR(CHOOSE(MATCH($D256,ListaPuestos,0),MATCH("[Jefatura] "&amp;$C256,'Cronograma R. Operacional'!$C$5:$C$1000,0),MATCH("[Jefatura] "&amp;$C256,'Cronograma R. Normativo'!$C$5:$C$1000,0),MATCH("[Jefatura] "&amp;$C256,'Cronograma R. Financiero'!$C$5:$C$1000,0),MATCH("[Jefatura] "&amp;$C256,'Cronograma Asistente Técnico'!$C$5:$C$1000,0)),0))</f>
        <v/>
      </c>
      <c r="AN256" s="62">
        <f>IF(AND(AND($D256&lt;&gt;"",$V256="Macro"),$S256=MesCiclo),COUNTIFS($D$5:$D256,$D256,$S$5:$S256,MesCiclo,$V$5:$V256,"Macro"),"")</f>
        <v/>
      </c>
      <c r="AO256" s="62">
        <f>IF($AN256="","",$D256&amp;"|"&amp;$AN256)</f>
        <v/>
      </c>
      <c r="AP256" s="62">
        <f>IF(AND($D256&lt;&gt;"",$V256="Macro"),$D256&amp;"|"&amp;$C256,"")</f>
        <v/>
      </c>
      <c r="AQ256" s="62">
        <f>""</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t="n"/>
      <c r="F257" s="59" t="n"/>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IF(NOT((COUNTA($B257:$D257)+COUNTA($G257:$H257)+COUNTA($Q257))&gt;0),"",IF(AND($D257&lt;&gt;"",$V257="Macro"),IF(N($AM257)&gt;0,N(CHOOSE(MATCH($D257,ListaPuestos,0),INDEX('Cronograma R. Operacional'!$M$5:$M$1000,$AM257),INDEX('Cronograma R. Normativo'!$M$5:$M$1000,$AM257),INDEX('Cronograma R. Financiero'!$M$5:$M$1000,$AM257),INDEX('Cronograma Asistente Técnico'!$M$5:$M$1000,$AM257))),0),IF(ISNUMBER($G257),1,IF(N($W257)&gt;0,MIN(1,SUMIFS($Y$5:$Y$1000,$U$5:$U$1000,ROW(),$V$5:$V$1000,"Sub")),$Y257))))</f>
        <v/>
      </c>
      <c r="N257" s="56">
        <f>IF(OR($M257="",$V257="Sub"),"",IF($M257&gt;=1,"Completado",IF($M257&gt;0,"En curso","Pendiente")))</f>
        <v/>
      </c>
      <c r="O257" s="56">
        <f>IF(NOT((COUNTA($B257:$D257)+COUNTA($G257:$H257)+COUNTA($Q257))&gt;0),"",IF(AND(AND($D257&lt;&gt;"",$V257="Macro"),N($AM257)&gt;0),CHOOSE(MATCH($D257,ListaPuestos,0),INDEX('Cronograma R. Operacional'!$O$5:$O$1000,$AM257),INDEX('Cronograma R. Normativo'!$O$5:$O$1000,$AM257),INDEX('Cronograma R. Financiero'!$O$5:$O$1000,$AM257),INDEX('Cronograma Asistente Técnico'!$O$5:$O$1000,$AM257))&amp;"",IF(ISNUMBER($G257),IF(AND(ISNUMBER($AS257),$G257&gt;$AS257),"Cumplida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f>IF(NOT((COUNTA($B257:$D257)+COUNTA($G257:$H257)+COUNTA($Q257))&gt;0),"",IF($D257="","Propia",IF($V257&lt;&gt;"Macro","Solo se delegan macroactividades",IF(N($AM257)&gt;0,"✔ Recibida por "&amp;$D257,"⚠ "&amp;$D257&amp;" aún no la agrega"))))</f>
        <v/>
      </c>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f>IF(NOT(AND($D257&lt;&gt;"",$V257="Macro")),"",IFERROR(CHOOSE(MATCH($D257,ListaPuestos,0),MATCH("[Jefatura] "&amp;$C257,'Cronograma R. Operacional'!$C$5:$C$1000,0),MATCH("[Jefatura] "&amp;$C257,'Cronograma R. Normativo'!$C$5:$C$1000,0),MATCH("[Jefatura] "&amp;$C257,'Cronograma R. Financiero'!$C$5:$C$1000,0),MATCH("[Jefatura] "&amp;$C257,'Cronograma Asistente Técnico'!$C$5:$C$1000,0)),0))</f>
        <v/>
      </c>
      <c r="AN257" s="62">
        <f>IF(AND(AND($D257&lt;&gt;"",$V257="Macro"),$S257=MesCiclo),COUNTIFS($D$5:$D257,$D257,$S$5:$S257,MesCiclo,$V$5:$V257,"Macro"),"")</f>
        <v/>
      </c>
      <c r="AO257" s="62">
        <f>IF($AN257="","",$D257&amp;"|"&amp;$AN257)</f>
        <v/>
      </c>
      <c r="AP257" s="62">
        <f>IF(AND($D257&lt;&gt;"",$V257="Macro"),$D257&amp;"|"&amp;$C257,"")</f>
        <v/>
      </c>
      <c r="AQ257" s="62">
        <f>""</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t="n"/>
      <c r="F258" s="59" t="n"/>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IF(NOT((COUNTA($B258:$D258)+COUNTA($G258:$H258)+COUNTA($Q258))&gt;0),"",IF(AND($D258&lt;&gt;"",$V258="Macro"),IF(N($AM258)&gt;0,N(CHOOSE(MATCH($D258,ListaPuestos,0),INDEX('Cronograma R. Operacional'!$M$5:$M$1000,$AM258),INDEX('Cronograma R. Normativo'!$M$5:$M$1000,$AM258),INDEX('Cronograma R. Financiero'!$M$5:$M$1000,$AM258),INDEX('Cronograma Asistente Técnico'!$M$5:$M$1000,$AM258))),0),IF(ISNUMBER($G258),1,IF(N($W258)&gt;0,MIN(1,SUMIFS($Y$5:$Y$1000,$U$5:$U$1000,ROW(),$V$5:$V$1000,"Sub")),$Y258))))</f>
        <v/>
      </c>
      <c r="N258" s="56">
        <f>IF(OR($M258="",$V258="Sub"),"",IF($M258&gt;=1,"Completado",IF($M258&gt;0,"En curso","Pendiente")))</f>
        <v/>
      </c>
      <c r="O258" s="56">
        <f>IF(NOT((COUNTA($B258:$D258)+COUNTA($G258:$H258)+COUNTA($Q258))&gt;0),"",IF(AND(AND($D258&lt;&gt;"",$V258="Macro"),N($AM258)&gt;0),CHOOSE(MATCH($D258,ListaPuestos,0),INDEX('Cronograma R. Operacional'!$O$5:$O$1000,$AM258),INDEX('Cronograma R. Normativo'!$O$5:$O$1000,$AM258),INDEX('Cronograma R. Financiero'!$O$5:$O$1000,$AM258),INDEX('Cronograma Asistente Técnico'!$O$5:$O$1000,$AM258))&amp;"",IF(ISNUMBER($G258),IF(AND(ISNUMBER($AS258),$G258&gt;$AS258),"Cumplida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f>IF(NOT((COUNTA($B258:$D258)+COUNTA($G258:$H258)+COUNTA($Q258))&gt;0),"",IF($D258="","Propia",IF($V258&lt;&gt;"Macro","Solo se delegan macroactividades",IF(N($AM258)&gt;0,"✔ Recibida por "&amp;$D258,"⚠ "&amp;$D258&amp;" aún no la agrega"))))</f>
        <v/>
      </c>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f>IF(NOT(AND($D258&lt;&gt;"",$V258="Macro")),"",IFERROR(CHOOSE(MATCH($D258,ListaPuestos,0),MATCH("[Jefatura] "&amp;$C258,'Cronograma R. Operacional'!$C$5:$C$1000,0),MATCH("[Jefatura] "&amp;$C258,'Cronograma R. Normativo'!$C$5:$C$1000,0),MATCH("[Jefatura] "&amp;$C258,'Cronograma R. Financiero'!$C$5:$C$1000,0),MATCH("[Jefatura] "&amp;$C258,'Cronograma Asistente Técnico'!$C$5:$C$1000,0)),0))</f>
        <v/>
      </c>
      <c r="AN258" s="62">
        <f>IF(AND(AND($D258&lt;&gt;"",$V258="Macro"),$S258=MesCiclo),COUNTIFS($D$5:$D258,$D258,$S$5:$S258,MesCiclo,$V$5:$V258,"Macro"),"")</f>
        <v/>
      </c>
      <c r="AO258" s="62">
        <f>IF($AN258="","",$D258&amp;"|"&amp;$AN258)</f>
        <v/>
      </c>
      <c r="AP258" s="62">
        <f>IF(AND($D258&lt;&gt;"",$V258="Macro"),$D258&amp;"|"&amp;$C258,"")</f>
        <v/>
      </c>
      <c r="AQ258" s="62">
        <f>""</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t="n"/>
      <c r="F259" s="59" t="n"/>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IF(NOT((COUNTA($B259:$D259)+COUNTA($G259:$H259)+COUNTA($Q259))&gt;0),"",IF(AND($D259&lt;&gt;"",$V259="Macro"),IF(N($AM259)&gt;0,N(CHOOSE(MATCH($D259,ListaPuestos,0),INDEX('Cronograma R. Operacional'!$M$5:$M$1000,$AM259),INDEX('Cronograma R. Normativo'!$M$5:$M$1000,$AM259),INDEX('Cronograma R. Financiero'!$M$5:$M$1000,$AM259),INDEX('Cronograma Asistente Técnico'!$M$5:$M$1000,$AM259))),0),IF(ISNUMBER($G259),1,IF(N($W259)&gt;0,MIN(1,SUMIFS($Y$5:$Y$1000,$U$5:$U$1000,ROW(),$V$5:$V$1000,"Sub")),$Y259))))</f>
        <v/>
      </c>
      <c r="N259" s="56">
        <f>IF(OR($M259="",$V259="Sub"),"",IF($M259&gt;=1,"Completado",IF($M259&gt;0,"En curso","Pendiente")))</f>
        <v/>
      </c>
      <c r="O259" s="56">
        <f>IF(NOT((COUNTA($B259:$D259)+COUNTA($G259:$H259)+COUNTA($Q259))&gt;0),"",IF(AND(AND($D259&lt;&gt;"",$V259="Macro"),N($AM259)&gt;0),CHOOSE(MATCH($D259,ListaPuestos,0),INDEX('Cronograma R. Operacional'!$O$5:$O$1000,$AM259),INDEX('Cronograma R. Normativo'!$O$5:$O$1000,$AM259),INDEX('Cronograma R. Financiero'!$O$5:$O$1000,$AM259),INDEX('Cronograma Asistente Técnico'!$O$5:$O$1000,$AM259))&amp;"",IF(ISNUMBER($G259),IF(AND(ISNUMBER($AS259),$G259&gt;$AS259),"Cumplida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f>IF(NOT((COUNTA($B259:$D259)+COUNTA($G259:$H259)+COUNTA($Q259))&gt;0),"",IF($D259="","Propia",IF($V259&lt;&gt;"Macro","Solo se delegan macroactividades",IF(N($AM259)&gt;0,"✔ Recibida por "&amp;$D259,"⚠ "&amp;$D259&amp;" aún no la agrega"))))</f>
        <v/>
      </c>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f>IF(NOT(AND($D259&lt;&gt;"",$V259="Macro")),"",IFERROR(CHOOSE(MATCH($D259,ListaPuestos,0),MATCH("[Jefatura] "&amp;$C259,'Cronograma R. Operacional'!$C$5:$C$1000,0),MATCH("[Jefatura] "&amp;$C259,'Cronograma R. Normativo'!$C$5:$C$1000,0),MATCH("[Jefatura] "&amp;$C259,'Cronograma R. Financiero'!$C$5:$C$1000,0),MATCH("[Jefatura] "&amp;$C259,'Cronograma Asistente Técnico'!$C$5:$C$1000,0)),0))</f>
        <v/>
      </c>
      <c r="AN259" s="62">
        <f>IF(AND(AND($D259&lt;&gt;"",$V259="Macro"),$S259=MesCiclo),COUNTIFS($D$5:$D259,$D259,$S$5:$S259,MesCiclo,$V$5:$V259,"Macro"),"")</f>
        <v/>
      </c>
      <c r="AO259" s="62">
        <f>IF($AN259="","",$D259&amp;"|"&amp;$AN259)</f>
        <v/>
      </c>
      <c r="AP259" s="62">
        <f>IF(AND($D259&lt;&gt;"",$V259="Macro"),$D259&amp;"|"&amp;$C259,"")</f>
        <v/>
      </c>
      <c r="AQ259" s="62">
        <f>""</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t="n"/>
      <c r="F260" s="59" t="n"/>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IF(NOT((COUNTA($B260:$D260)+COUNTA($G260:$H260)+COUNTA($Q260))&gt;0),"",IF(AND($D260&lt;&gt;"",$V260="Macro"),IF(N($AM260)&gt;0,N(CHOOSE(MATCH($D260,ListaPuestos,0),INDEX('Cronograma R. Operacional'!$M$5:$M$1000,$AM260),INDEX('Cronograma R. Normativo'!$M$5:$M$1000,$AM260),INDEX('Cronograma R. Financiero'!$M$5:$M$1000,$AM260),INDEX('Cronograma Asistente Técnico'!$M$5:$M$1000,$AM260))),0),IF(ISNUMBER($G260),1,IF(N($W260)&gt;0,MIN(1,SUMIFS($Y$5:$Y$1000,$U$5:$U$1000,ROW(),$V$5:$V$1000,"Sub")),$Y260))))</f>
        <v/>
      </c>
      <c r="N260" s="56">
        <f>IF(OR($M260="",$V260="Sub"),"",IF($M260&gt;=1,"Completado",IF($M260&gt;0,"En curso","Pendiente")))</f>
        <v/>
      </c>
      <c r="O260" s="56">
        <f>IF(NOT((COUNTA($B260:$D260)+COUNTA($G260:$H260)+COUNTA($Q260))&gt;0),"",IF(AND(AND($D260&lt;&gt;"",$V260="Macro"),N($AM260)&gt;0),CHOOSE(MATCH($D260,ListaPuestos,0),INDEX('Cronograma R. Operacional'!$O$5:$O$1000,$AM260),INDEX('Cronograma R. Normativo'!$O$5:$O$1000,$AM260),INDEX('Cronograma R. Financiero'!$O$5:$O$1000,$AM260),INDEX('Cronograma Asistente Técnico'!$O$5:$O$1000,$AM260))&amp;"",IF(ISNUMBER($G260),IF(AND(ISNUMBER($AS260),$G260&gt;$AS260),"Cumplida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f>IF(NOT((COUNTA($B260:$D260)+COUNTA($G260:$H260)+COUNTA($Q260))&gt;0),"",IF($D260="","Propia",IF($V260&lt;&gt;"Macro","Solo se delegan macroactividades",IF(N($AM260)&gt;0,"✔ Recibida por "&amp;$D260,"⚠ "&amp;$D260&amp;" aún no la agrega"))))</f>
        <v/>
      </c>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f>IF(NOT(AND($D260&lt;&gt;"",$V260="Macro")),"",IFERROR(CHOOSE(MATCH($D260,ListaPuestos,0),MATCH("[Jefatura] "&amp;$C260,'Cronograma R. Operacional'!$C$5:$C$1000,0),MATCH("[Jefatura] "&amp;$C260,'Cronograma R. Normativo'!$C$5:$C$1000,0),MATCH("[Jefatura] "&amp;$C260,'Cronograma R. Financiero'!$C$5:$C$1000,0),MATCH("[Jefatura] "&amp;$C260,'Cronograma Asistente Técnico'!$C$5:$C$1000,0)),0))</f>
        <v/>
      </c>
      <c r="AN260" s="62">
        <f>IF(AND(AND($D260&lt;&gt;"",$V260="Macro"),$S260=MesCiclo),COUNTIFS($D$5:$D260,$D260,$S$5:$S260,MesCiclo,$V$5:$V260,"Macro"),"")</f>
        <v/>
      </c>
      <c r="AO260" s="62">
        <f>IF($AN260="","",$D260&amp;"|"&amp;$AN260)</f>
        <v/>
      </c>
      <c r="AP260" s="62">
        <f>IF(AND($D260&lt;&gt;"",$V260="Macro"),$D260&amp;"|"&amp;$C260,"")</f>
        <v/>
      </c>
      <c r="AQ260" s="62">
        <f>""</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t="n"/>
      <c r="F261" s="59" t="n"/>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IF(NOT((COUNTA($B261:$D261)+COUNTA($G261:$H261)+COUNTA($Q261))&gt;0),"",IF(AND($D261&lt;&gt;"",$V261="Macro"),IF(N($AM261)&gt;0,N(CHOOSE(MATCH($D261,ListaPuestos,0),INDEX('Cronograma R. Operacional'!$M$5:$M$1000,$AM261),INDEX('Cronograma R. Normativo'!$M$5:$M$1000,$AM261),INDEX('Cronograma R. Financiero'!$M$5:$M$1000,$AM261),INDEX('Cronograma Asistente Técnico'!$M$5:$M$1000,$AM261))),0),IF(ISNUMBER($G261),1,IF(N($W261)&gt;0,MIN(1,SUMIFS($Y$5:$Y$1000,$U$5:$U$1000,ROW(),$V$5:$V$1000,"Sub")),$Y261))))</f>
        <v/>
      </c>
      <c r="N261" s="56">
        <f>IF(OR($M261="",$V261="Sub"),"",IF($M261&gt;=1,"Completado",IF($M261&gt;0,"En curso","Pendiente")))</f>
        <v/>
      </c>
      <c r="O261" s="56">
        <f>IF(NOT((COUNTA($B261:$D261)+COUNTA($G261:$H261)+COUNTA($Q261))&gt;0),"",IF(AND(AND($D261&lt;&gt;"",$V261="Macro"),N($AM261)&gt;0),CHOOSE(MATCH($D261,ListaPuestos,0),INDEX('Cronograma R. Operacional'!$O$5:$O$1000,$AM261),INDEX('Cronograma R. Normativo'!$O$5:$O$1000,$AM261),INDEX('Cronograma R. Financiero'!$O$5:$O$1000,$AM261),INDEX('Cronograma Asistente Técnico'!$O$5:$O$1000,$AM261))&amp;"",IF(ISNUMBER($G261),IF(AND(ISNUMBER($AS261),$G261&gt;$AS261),"Cumplida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f>IF(NOT((COUNTA($B261:$D261)+COUNTA($G261:$H261)+COUNTA($Q261))&gt;0),"",IF($D261="","Propia",IF($V261&lt;&gt;"Macro","Solo se delegan macroactividades",IF(N($AM261)&gt;0,"✔ Recibida por "&amp;$D261,"⚠ "&amp;$D261&amp;" aún no la agrega"))))</f>
        <v/>
      </c>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f>IF(NOT(AND($D261&lt;&gt;"",$V261="Macro")),"",IFERROR(CHOOSE(MATCH($D261,ListaPuestos,0),MATCH("[Jefatura] "&amp;$C261,'Cronograma R. Operacional'!$C$5:$C$1000,0),MATCH("[Jefatura] "&amp;$C261,'Cronograma R. Normativo'!$C$5:$C$1000,0),MATCH("[Jefatura] "&amp;$C261,'Cronograma R. Financiero'!$C$5:$C$1000,0),MATCH("[Jefatura] "&amp;$C261,'Cronograma Asistente Técnico'!$C$5:$C$1000,0)),0))</f>
        <v/>
      </c>
      <c r="AN261" s="62">
        <f>IF(AND(AND($D261&lt;&gt;"",$V261="Macro"),$S261=MesCiclo),COUNTIFS($D$5:$D261,$D261,$S$5:$S261,MesCiclo,$V$5:$V261,"Macro"),"")</f>
        <v/>
      </c>
      <c r="AO261" s="62">
        <f>IF($AN261="","",$D261&amp;"|"&amp;$AN261)</f>
        <v/>
      </c>
      <c r="AP261" s="62">
        <f>IF(AND($D261&lt;&gt;"",$V261="Macro"),$D261&amp;"|"&amp;$C261,"")</f>
        <v/>
      </c>
      <c r="AQ261" s="62">
        <f>""</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t="n"/>
      <c r="F262" s="59" t="n"/>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IF(NOT((COUNTA($B262:$D262)+COUNTA($G262:$H262)+COUNTA($Q262))&gt;0),"",IF(AND($D262&lt;&gt;"",$V262="Macro"),IF(N($AM262)&gt;0,N(CHOOSE(MATCH($D262,ListaPuestos,0),INDEX('Cronograma R. Operacional'!$M$5:$M$1000,$AM262),INDEX('Cronograma R. Normativo'!$M$5:$M$1000,$AM262),INDEX('Cronograma R. Financiero'!$M$5:$M$1000,$AM262),INDEX('Cronograma Asistente Técnico'!$M$5:$M$1000,$AM262))),0),IF(ISNUMBER($G262),1,IF(N($W262)&gt;0,MIN(1,SUMIFS($Y$5:$Y$1000,$U$5:$U$1000,ROW(),$V$5:$V$1000,"Sub")),$Y262))))</f>
        <v/>
      </c>
      <c r="N262" s="56">
        <f>IF(OR($M262="",$V262="Sub"),"",IF($M262&gt;=1,"Completado",IF($M262&gt;0,"En curso","Pendiente")))</f>
        <v/>
      </c>
      <c r="O262" s="56">
        <f>IF(NOT((COUNTA($B262:$D262)+COUNTA($G262:$H262)+COUNTA($Q262))&gt;0),"",IF(AND(AND($D262&lt;&gt;"",$V262="Macro"),N($AM262)&gt;0),CHOOSE(MATCH($D262,ListaPuestos,0),INDEX('Cronograma R. Operacional'!$O$5:$O$1000,$AM262),INDEX('Cronograma R. Normativo'!$O$5:$O$1000,$AM262),INDEX('Cronograma R. Financiero'!$O$5:$O$1000,$AM262),INDEX('Cronograma Asistente Técnico'!$O$5:$O$1000,$AM262))&amp;"",IF(ISNUMBER($G262),IF(AND(ISNUMBER($AS262),$G262&gt;$AS262),"Cumplida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f>IF(NOT((COUNTA($B262:$D262)+COUNTA($G262:$H262)+COUNTA($Q262))&gt;0),"",IF($D262="","Propia",IF($V262&lt;&gt;"Macro","Solo se delegan macroactividades",IF(N($AM262)&gt;0,"✔ Recibida por "&amp;$D262,"⚠ "&amp;$D262&amp;" aún no la agrega"))))</f>
        <v/>
      </c>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f>IF(NOT(AND($D262&lt;&gt;"",$V262="Macro")),"",IFERROR(CHOOSE(MATCH($D262,ListaPuestos,0),MATCH("[Jefatura] "&amp;$C262,'Cronograma R. Operacional'!$C$5:$C$1000,0),MATCH("[Jefatura] "&amp;$C262,'Cronograma R. Normativo'!$C$5:$C$1000,0),MATCH("[Jefatura] "&amp;$C262,'Cronograma R. Financiero'!$C$5:$C$1000,0),MATCH("[Jefatura] "&amp;$C262,'Cronograma Asistente Técnico'!$C$5:$C$1000,0)),0))</f>
        <v/>
      </c>
      <c r="AN262" s="62">
        <f>IF(AND(AND($D262&lt;&gt;"",$V262="Macro"),$S262=MesCiclo),COUNTIFS($D$5:$D262,$D262,$S$5:$S262,MesCiclo,$V$5:$V262,"Macro"),"")</f>
        <v/>
      </c>
      <c r="AO262" s="62">
        <f>IF($AN262="","",$D262&amp;"|"&amp;$AN262)</f>
        <v/>
      </c>
      <c r="AP262" s="62">
        <f>IF(AND($D262&lt;&gt;"",$V262="Macro"),$D262&amp;"|"&amp;$C262,"")</f>
        <v/>
      </c>
      <c r="AQ262" s="62">
        <f>""</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t="n"/>
      <c r="F263" s="59" t="n"/>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IF(NOT((COUNTA($B263:$D263)+COUNTA($G263:$H263)+COUNTA($Q263))&gt;0),"",IF(AND($D263&lt;&gt;"",$V263="Macro"),IF(N($AM263)&gt;0,N(CHOOSE(MATCH($D263,ListaPuestos,0),INDEX('Cronograma R. Operacional'!$M$5:$M$1000,$AM263),INDEX('Cronograma R. Normativo'!$M$5:$M$1000,$AM263),INDEX('Cronograma R. Financiero'!$M$5:$M$1000,$AM263),INDEX('Cronograma Asistente Técnico'!$M$5:$M$1000,$AM263))),0),IF(ISNUMBER($G263),1,IF(N($W263)&gt;0,MIN(1,SUMIFS($Y$5:$Y$1000,$U$5:$U$1000,ROW(),$V$5:$V$1000,"Sub")),$Y263))))</f>
        <v/>
      </c>
      <c r="N263" s="56">
        <f>IF(OR($M263="",$V263="Sub"),"",IF($M263&gt;=1,"Completado",IF($M263&gt;0,"En curso","Pendiente")))</f>
        <v/>
      </c>
      <c r="O263" s="56">
        <f>IF(NOT((COUNTA($B263:$D263)+COUNTA($G263:$H263)+COUNTA($Q263))&gt;0),"",IF(AND(AND($D263&lt;&gt;"",$V263="Macro"),N($AM263)&gt;0),CHOOSE(MATCH($D263,ListaPuestos,0),INDEX('Cronograma R. Operacional'!$O$5:$O$1000,$AM263),INDEX('Cronograma R. Normativo'!$O$5:$O$1000,$AM263),INDEX('Cronograma R. Financiero'!$O$5:$O$1000,$AM263),INDEX('Cronograma Asistente Técnico'!$O$5:$O$1000,$AM263))&amp;"",IF(ISNUMBER($G263),IF(AND(ISNUMBER($AS263),$G263&gt;$AS263),"Cumplida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f>IF(NOT((COUNTA($B263:$D263)+COUNTA($G263:$H263)+COUNTA($Q263))&gt;0),"",IF($D263="","Propia",IF($V263&lt;&gt;"Macro","Solo se delegan macroactividades",IF(N($AM263)&gt;0,"✔ Recibida por "&amp;$D263,"⚠ "&amp;$D263&amp;" aún no la agrega"))))</f>
        <v/>
      </c>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f>IF(NOT(AND($D263&lt;&gt;"",$V263="Macro")),"",IFERROR(CHOOSE(MATCH($D263,ListaPuestos,0),MATCH("[Jefatura] "&amp;$C263,'Cronograma R. Operacional'!$C$5:$C$1000,0),MATCH("[Jefatura] "&amp;$C263,'Cronograma R. Normativo'!$C$5:$C$1000,0),MATCH("[Jefatura] "&amp;$C263,'Cronograma R. Financiero'!$C$5:$C$1000,0),MATCH("[Jefatura] "&amp;$C263,'Cronograma Asistente Técnico'!$C$5:$C$1000,0)),0))</f>
        <v/>
      </c>
      <c r="AN263" s="62">
        <f>IF(AND(AND($D263&lt;&gt;"",$V263="Macro"),$S263=MesCiclo),COUNTIFS($D$5:$D263,$D263,$S$5:$S263,MesCiclo,$V$5:$V263,"Macro"),"")</f>
        <v/>
      </c>
      <c r="AO263" s="62">
        <f>IF($AN263="","",$D263&amp;"|"&amp;$AN263)</f>
        <v/>
      </c>
      <c r="AP263" s="62">
        <f>IF(AND($D263&lt;&gt;"",$V263="Macro"),$D263&amp;"|"&amp;$C263,"")</f>
        <v/>
      </c>
      <c r="AQ263" s="62">
        <f>""</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t="n"/>
      <c r="F264" s="59" t="n"/>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IF(NOT((COUNTA($B264:$D264)+COUNTA($G264:$H264)+COUNTA($Q264))&gt;0),"",IF(AND($D264&lt;&gt;"",$V264="Macro"),IF(N($AM264)&gt;0,N(CHOOSE(MATCH($D264,ListaPuestos,0),INDEX('Cronograma R. Operacional'!$M$5:$M$1000,$AM264),INDEX('Cronograma R. Normativo'!$M$5:$M$1000,$AM264),INDEX('Cronograma R. Financiero'!$M$5:$M$1000,$AM264),INDEX('Cronograma Asistente Técnico'!$M$5:$M$1000,$AM264))),0),IF(ISNUMBER($G264),1,IF(N($W264)&gt;0,MIN(1,SUMIFS($Y$5:$Y$1000,$U$5:$U$1000,ROW(),$V$5:$V$1000,"Sub")),$Y264))))</f>
        <v/>
      </c>
      <c r="N264" s="56">
        <f>IF(OR($M264="",$V264="Sub"),"",IF($M264&gt;=1,"Completado",IF($M264&gt;0,"En curso","Pendiente")))</f>
        <v/>
      </c>
      <c r="O264" s="56">
        <f>IF(NOT((COUNTA($B264:$D264)+COUNTA($G264:$H264)+COUNTA($Q264))&gt;0),"",IF(AND(AND($D264&lt;&gt;"",$V264="Macro"),N($AM264)&gt;0),CHOOSE(MATCH($D264,ListaPuestos,0),INDEX('Cronograma R. Operacional'!$O$5:$O$1000,$AM264),INDEX('Cronograma R. Normativo'!$O$5:$O$1000,$AM264),INDEX('Cronograma R. Financiero'!$O$5:$O$1000,$AM264),INDEX('Cronograma Asistente Técnico'!$O$5:$O$1000,$AM264))&amp;"",IF(ISNUMBER($G264),IF(AND(ISNUMBER($AS264),$G264&gt;$AS264),"Cumplida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f>IF(NOT((COUNTA($B264:$D264)+COUNTA($G264:$H264)+COUNTA($Q264))&gt;0),"",IF($D264="","Propia",IF($V264&lt;&gt;"Macro","Solo se delegan macroactividades",IF(N($AM264)&gt;0,"✔ Recibida por "&amp;$D264,"⚠ "&amp;$D264&amp;" aún no la agrega"))))</f>
        <v/>
      </c>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f>IF(NOT(AND($D264&lt;&gt;"",$V264="Macro")),"",IFERROR(CHOOSE(MATCH($D264,ListaPuestos,0),MATCH("[Jefatura] "&amp;$C264,'Cronograma R. Operacional'!$C$5:$C$1000,0),MATCH("[Jefatura] "&amp;$C264,'Cronograma R. Normativo'!$C$5:$C$1000,0),MATCH("[Jefatura] "&amp;$C264,'Cronograma R. Financiero'!$C$5:$C$1000,0),MATCH("[Jefatura] "&amp;$C264,'Cronograma Asistente Técnico'!$C$5:$C$1000,0)),0))</f>
        <v/>
      </c>
      <c r="AN264" s="62">
        <f>IF(AND(AND($D264&lt;&gt;"",$V264="Macro"),$S264=MesCiclo),COUNTIFS($D$5:$D264,$D264,$S$5:$S264,MesCiclo,$V$5:$V264,"Macro"),"")</f>
        <v/>
      </c>
      <c r="AO264" s="62">
        <f>IF($AN264="","",$D264&amp;"|"&amp;$AN264)</f>
        <v/>
      </c>
      <c r="AP264" s="62">
        <f>IF(AND($D264&lt;&gt;"",$V264="Macro"),$D264&amp;"|"&amp;$C264,"")</f>
        <v/>
      </c>
      <c r="AQ264" s="62">
        <f>""</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t="n"/>
      <c r="F265" s="59" t="n"/>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IF(NOT((COUNTA($B265:$D265)+COUNTA($G265:$H265)+COUNTA($Q265))&gt;0),"",IF(AND($D265&lt;&gt;"",$V265="Macro"),IF(N($AM265)&gt;0,N(CHOOSE(MATCH($D265,ListaPuestos,0),INDEX('Cronograma R. Operacional'!$M$5:$M$1000,$AM265),INDEX('Cronograma R. Normativo'!$M$5:$M$1000,$AM265),INDEX('Cronograma R. Financiero'!$M$5:$M$1000,$AM265),INDEX('Cronograma Asistente Técnico'!$M$5:$M$1000,$AM265))),0),IF(ISNUMBER($G265),1,IF(N($W265)&gt;0,MIN(1,SUMIFS($Y$5:$Y$1000,$U$5:$U$1000,ROW(),$V$5:$V$1000,"Sub")),$Y265))))</f>
        <v/>
      </c>
      <c r="N265" s="56">
        <f>IF(OR($M265="",$V265="Sub"),"",IF($M265&gt;=1,"Completado",IF($M265&gt;0,"En curso","Pendiente")))</f>
        <v/>
      </c>
      <c r="O265" s="56">
        <f>IF(NOT((COUNTA($B265:$D265)+COUNTA($G265:$H265)+COUNTA($Q265))&gt;0),"",IF(AND(AND($D265&lt;&gt;"",$V265="Macro"),N($AM265)&gt;0),CHOOSE(MATCH($D265,ListaPuestos,0),INDEX('Cronograma R. Operacional'!$O$5:$O$1000,$AM265),INDEX('Cronograma R. Normativo'!$O$5:$O$1000,$AM265),INDEX('Cronograma R. Financiero'!$O$5:$O$1000,$AM265),INDEX('Cronograma Asistente Técnico'!$O$5:$O$1000,$AM265))&amp;"",IF(ISNUMBER($G265),IF(AND(ISNUMBER($AS265),$G265&gt;$AS265),"Cumplida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f>IF(NOT((COUNTA($B265:$D265)+COUNTA($G265:$H265)+COUNTA($Q265))&gt;0),"",IF($D265="","Propia",IF($V265&lt;&gt;"Macro","Solo se delegan macroactividades",IF(N($AM265)&gt;0,"✔ Recibida por "&amp;$D265,"⚠ "&amp;$D265&amp;" aún no la agrega"))))</f>
        <v/>
      </c>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f>IF(NOT(AND($D265&lt;&gt;"",$V265="Macro")),"",IFERROR(CHOOSE(MATCH($D265,ListaPuestos,0),MATCH("[Jefatura] "&amp;$C265,'Cronograma R. Operacional'!$C$5:$C$1000,0),MATCH("[Jefatura] "&amp;$C265,'Cronograma R. Normativo'!$C$5:$C$1000,0),MATCH("[Jefatura] "&amp;$C265,'Cronograma R. Financiero'!$C$5:$C$1000,0),MATCH("[Jefatura] "&amp;$C265,'Cronograma Asistente Técnico'!$C$5:$C$1000,0)),0))</f>
        <v/>
      </c>
      <c r="AN265" s="62">
        <f>IF(AND(AND($D265&lt;&gt;"",$V265="Macro"),$S265=MesCiclo),COUNTIFS($D$5:$D265,$D265,$S$5:$S265,MesCiclo,$V$5:$V265,"Macro"),"")</f>
        <v/>
      </c>
      <c r="AO265" s="62">
        <f>IF($AN265="","",$D265&amp;"|"&amp;$AN265)</f>
        <v/>
      </c>
      <c r="AP265" s="62">
        <f>IF(AND($D265&lt;&gt;"",$V265="Macro"),$D265&amp;"|"&amp;$C265,"")</f>
        <v/>
      </c>
      <c r="AQ265" s="62">
        <f>""</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t="n"/>
      <c r="F266" s="59" t="n"/>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IF(NOT((COUNTA($B266:$D266)+COUNTA($G266:$H266)+COUNTA($Q266))&gt;0),"",IF(AND($D266&lt;&gt;"",$V266="Macro"),IF(N($AM266)&gt;0,N(CHOOSE(MATCH($D266,ListaPuestos,0),INDEX('Cronograma R. Operacional'!$M$5:$M$1000,$AM266),INDEX('Cronograma R. Normativo'!$M$5:$M$1000,$AM266),INDEX('Cronograma R. Financiero'!$M$5:$M$1000,$AM266),INDEX('Cronograma Asistente Técnico'!$M$5:$M$1000,$AM266))),0),IF(ISNUMBER($G266),1,IF(N($W266)&gt;0,MIN(1,SUMIFS($Y$5:$Y$1000,$U$5:$U$1000,ROW(),$V$5:$V$1000,"Sub")),$Y266))))</f>
        <v/>
      </c>
      <c r="N266" s="56">
        <f>IF(OR($M266="",$V266="Sub"),"",IF($M266&gt;=1,"Completado",IF($M266&gt;0,"En curso","Pendiente")))</f>
        <v/>
      </c>
      <c r="O266" s="56">
        <f>IF(NOT((COUNTA($B266:$D266)+COUNTA($G266:$H266)+COUNTA($Q266))&gt;0),"",IF(AND(AND($D266&lt;&gt;"",$V266="Macro"),N($AM266)&gt;0),CHOOSE(MATCH($D266,ListaPuestos,0),INDEX('Cronograma R. Operacional'!$O$5:$O$1000,$AM266),INDEX('Cronograma R. Normativo'!$O$5:$O$1000,$AM266),INDEX('Cronograma R. Financiero'!$O$5:$O$1000,$AM266),INDEX('Cronograma Asistente Técnico'!$O$5:$O$1000,$AM266))&amp;"",IF(ISNUMBER($G266),IF(AND(ISNUMBER($AS266),$G266&gt;$AS266),"Cumplida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f>IF(NOT((COUNTA($B266:$D266)+COUNTA($G266:$H266)+COUNTA($Q266))&gt;0),"",IF($D266="","Propia",IF($V266&lt;&gt;"Macro","Solo se delegan macroactividades",IF(N($AM266)&gt;0,"✔ Recibida por "&amp;$D266,"⚠ "&amp;$D266&amp;" aún no la agrega"))))</f>
        <v/>
      </c>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f>IF(NOT(AND($D266&lt;&gt;"",$V266="Macro")),"",IFERROR(CHOOSE(MATCH($D266,ListaPuestos,0),MATCH("[Jefatura] "&amp;$C266,'Cronograma R. Operacional'!$C$5:$C$1000,0),MATCH("[Jefatura] "&amp;$C266,'Cronograma R. Normativo'!$C$5:$C$1000,0),MATCH("[Jefatura] "&amp;$C266,'Cronograma R. Financiero'!$C$5:$C$1000,0),MATCH("[Jefatura] "&amp;$C266,'Cronograma Asistente Técnico'!$C$5:$C$1000,0)),0))</f>
        <v/>
      </c>
      <c r="AN266" s="62">
        <f>IF(AND(AND($D266&lt;&gt;"",$V266="Macro"),$S266=MesCiclo),COUNTIFS($D$5:$D266,$D266,$S$5:$S266,MesCiclo,$V$5:$V266,"Macro"),"")</f>
        <v/>
      </c>
      <c r="AO266" s="62">
        <f>IF($AN266="","",$D266&amp;"|"&amp;$AN266)</f>
        <v/>
      </c>
      <c r="AP266" s="62">
        <f>IF(AND($D266&lt;&gt;"",$V266="Macro"),$D266&amp;"|"&amp;$C266,"")</f>
        <v/>
      </c>
      <c r="AQ266" s="62">
        <f>""</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t="n"/>
      <c r="F267" s="59" t="n"/>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IF(NOT((COUNTA($B267:$D267)+COUNTA($G267:$H267)+COUNTA($Q267))&gt;0),"",IF(AND($D267&lt;&gt;"",$V267="Macro"),IF(N($AM267)&gt;0,N(CHOOSE(MATCH($D267,ListaPuestos,0),INDEX('Cronograma R. Operacional'!$M$5:$M$1000,$AM267),INDEX('Cronograma R. Normativo'!$M$5:$M$1000,$AM267),INDEX('Cronograma R. Financiero'!$M$5:$M$1000,$AM267),INDEX('Cronograma Asistente Técnico'!$M$5:$M$1000,$AM267))),0),IF(ISNUMBER($G267),1,IF(N($W267)&gt;0,MIN(1,SUMIFS($Y$5:$Y$1000,$U$5:$U$1000,ROW(),$V$5:$V$1000,"Sub")),$Y267))))</f>
        <v/>
      </c>
      <c r="N267" s="56">
        <f>IF(OR($M267="",$V267="Sub"),"",IF($M267&gt;=1,"Completado",IF($M267&gt;0,"En curso","Pendiente")))</f>
        <v/>
      </c>
      <c r="O267" s="56">
        <f>IF(NOT((COUNTA($B267:$D267)+COUNTA($G267:$H267)+COUNTA($Q267))&gt;0),"",IF(AND(AND($D267&lt;&gt;"",$V267="Macro"),N($AM267)&gt;0),CHOOSE(MATCH($D267,ListaPuestos,0),INDEX('Cronograma R. Operacional'!$O$5:$O$1000,$AM267),INDEX('Cronograma R. Normativo'!$O$5:$O$1000,$AM267),INDEX('Cronograma R. Financiero'!$O$5:$O$1000,$AM267),INDEX('Cronograma Asistente Técnico'!$O$5:$O$1000,$AM267))&amp;"",IF(ISNUMBER($G267),IF(AND(ISNUMBER($AS267),$G267&gt;$AS267),"Cumplida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f>IF(NOT((COUNTA($B267:$D267)+COUNTA($G267:$H267)+COUNTA($Q267))&gt;0),"",IF($D267="","Propia",IF($V267&lt;&gt;"Macro","Solo se delegan macroactividades",IF(N($AM267)&gt;0,"✔ Recibida por "&amp;$D267,"⚠ "&amp;$D267&amp;" aún no la agrega"))))</f>
        <v/>
      </c>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f>IF(NOT(AND($D267&lt;&gt;"",$V267="Macro")),"",IFERROR(CHOOSE(MATCH($D267,ListaPuestos,0),MATCH("[Jefatura] "&amp;$C267,'Cronograma R. Operacional'!$C$5:$C$1000,0),MATCH("[Jefatura] "&amp;$C267,'Cronograma R. Normativo'!$C$5:$C$1000,0),MATCH("[Jefatura] "&amp;$C267,'Cronograma R. Financiero'!$C$5:$C$1000,0),MATCH("[Jefatura] "&amp;$C267,'Cronograma Asistente Técnico'!$C$5:$C$1000,0)),0))</f>
        <v/>
      </c>
      <c r="AN267" s="62">
        <f>IF(AND(AND($D267&lt;&gt;"",$V267="Macro"),$S267=MesCiclo),COUNTIFS($D$5:$D267,$D267,$S$5:$S267,MesCiclo,$V$5:$V267,"Macro"),"")</f>
        <v/>
      </c>
      <c r="AO267" s="62">
        <f>IF($AN267="","",$D267&amp;"|"&amp;$AN267)</f>
        <v/>
      </c>
      <c r="AP267" s="62">
        <f>IF(AND($D267&lt;&gt;"",$V267="Macro"),$D267&amp;"|"&amp;$C267,"")</f>
        <v/>
      </c>
      <c r="AQ267" s="62">
        <f>""</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t="n"/>
      <c r="F268" s="59" t="n"/>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IF(NOT((COUNTA($B268:$D268)+COUNTA($G268:$H268)+COUNTA($Q268))&gt;0),"",IF(AND($D268&lt;&gt;"",$V268="Macro"),IF(N($AM268)&gt;0,N(CHOOSE(MATCH($D268,ListaPuestos,0),INDEX('Cronograma R. Operacional'!$M$5:$M$1000,$AM268),INDEX('Cronograma R. Normativo'!$M$5:$M$1000,$AM268),INDEX('Cronograma R. Financiero'!$M$5:$M$1000,$AM268),INDEX('Cronograma Asistente Técnico'!$M$5:$M$1000,$AM268))),0),IF(ISNUMBER($G268),1,IF(N($W268)&gt;0,MIN(1,SUMIFS($Y$5:$Y$1000,$U$5:$U$1000,ROW(),$V$5:$V$1000,"Sub")),$Y268))))</f>
        <v/>
      </c>
      <c r="N268" s="56">
        <f>IF(OR($M268="",$V268="Sub"),"",IF($M268&gt;=1,"Completado",IF($M268&gt;0,"En curso","Pendiente")))</f>
        <v/>
      </c>
      <c r="O268" s="56">
        <f>IF(NOT((COUNTA($B268:$D268)+COUNTA($G268:$H268)+COUNTA($Q268))&gt;0),"",IF(AND(AND($D268&lt;&gt;"",$V268="Macro"),N($AM268)&gt;0),CHOOSE(MATCH($D268,ListaPuestos,0),INDEX('Cronograma R. Operacional'!$O$5:$O$1000,$AM268),INDEX('Cronograma R. Normativo'!$O$5:$O$1000,$AM268),INDEX('Cronograma R. Financiero'!$O$5:$O$1000,$AM268),INDEX('Cronograma Asistente Técnico'!$O$5:$O$1000,$AM268))&amp;"",IF(ISNUMBER($G268),IF(AND(ISNUMBER($AS268),$G268&gt;$AS268),"Cumplida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f>IF(NOT((COUNTA($B268:$D268)+COUNTA($G268:$H268)+COUNTA($Q268))&gt;0),"",IF($D268="","Propia",IF($V268&lt;&gt;"Macro","Solo se delegan macroactividades",IF(N($AM268)&gt;0,"✔ Recibida por "&amp;$D268,"⚠ "&amp;$D268&amp;" aún no la agrega"))))</f>
        <v/>
      </c>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f>IF(NOT(AND($D268&lt;&gt;"",$V268="Macro")),"",IFERROR(CHOOSE(MATCH($D268,ListaPuestos,0),MATCH("[Jefatura] "&amp;$C268,'Cronograma R. Operacional'!$C$5:$C$1000,0),MATCH("[Jefatura] "&amp;$C268,'Cronograma R. Normativo'!$C$5:$C$1000,0),MATCH("[Jefatura] "&amp;$C268,'Cronograma R. Financiero'!$C$5:$C$1000,0),MATCH("[Jefatura] "&amp;$C268,'Cronograma Asistente Técnico'!$C$5:$C$1000,0)),0))</f>
        <v/>
      </c>
      <c r="AN268" s="62">
        <f>IF(AND(AND($D268&lt;&gt;"",$V268="Macro"),$S268=MesCiclo),COUNTIFS($D$5:$D268,$D268,$S$5:$S268,MesCiclo,$V$5:$V268,"Macro"),"")</f>
        <v/>
      </c>
      <c r="AO268" s="62">
        <f>IF($AN268="","",$D268&amp;"|"&amp;$AN268)</f>
        <v/>
      </c>
      <c r="AP268" s="62">
        <f>IF(AND($D268&lt;&gt;"",$V268="Macro"),$D268&amp;"|"&amp;$C268,"")</f>
        <v/>
      </c>
      <c r="AQ268" s="62">
        <f>""</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t="n"/>
      <c r="F269" s="59" t="n"/>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IF(NOT((COUNTA($B269:$D269)+COUNTA($G269:$H269)+COUNTA($Q269))&gt;0),"",IF(AND($D269&lt;&gt;"",$V269="Macro"),IF(N($AM269)&gt;0,N(CHOOSE(MATCH($D269,ListaPuestos,0),INDEX('Cronograma R. Operacional'!$M$5:$M$1000,$AM269),INDEX('Cronograma R. Normativo'!$M$5:$M$1000,$AM269),INDEX('Cronograma R. Financiero'!$M$5:$M$1000,$AM269),INDEX('Cronograma Asistente Técnico'!$M$5:$M$1000,$AM269))),0),IF(ISNUMBER($G269),1,IF(N($W269)&gt;0,MIN(1,SUMIFS($Y$5:$Y$1000,$U$5:$U$1000,ROW(),$V$5:$V$1000,"Sub")),$Y269))))</f>
        <v/>
      </c>
      <c r="N269" s="56">
        <f>IF(OR($M269="",$V269="Sub"),"",IF($M269&gt;=1,"Completado",IF($M269&gt;0,"En curso","Pendiente")))</f>
        <v/>
      </c>
      <c r="O269" s="56">
        <f>IF(NOT((COUNTA($B269:$D269)+COUNTA($G269:$H269)+COUNTA($Q269))&gt;0),"",IF(AND(AND($D269&lt;&gt;"",$V269="Macro"),N($AM269)&gt;0),CHOOSE(MATCH($D269,ListaPuestos,0),INDEX('Cronograma R. Operacional'!$O$5:$O$1000,$AM269),INDEX('Cronograma R. Normativo'!$O$5:$O$1000,$AM269),INDEX('Cronograma R. Financiero'!$O$5:$O$1000,$AM269),INDEX('Cronograma Asistente Técnico'!$O$5:$O$1000,$AM269))&amp;"",IF(ISNUMBER($G269),IF(AND(ISNUMBER($AS269),$G269&gt;$AS269),"Cumplida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f>IF(NOT((COUNTA($B269:$D269)+COUNTA($G269:$H269)+COUNTA($Q269))&gt;0),"",IF($D269="","Propia",IF($V269&lt;&gt;"Macro","Solo se delegan macroactividades",IF(N($AM269)&gt;0,"✔ Recibida por "&amp;$D269,"⚠ "&amp;$D269&amp;" aún no la agrega"))))</f>
        <v/>
      </c>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f>IF(NOT(AND($D269&lt;&gt;"",$V269="Macro")),"",IFERROR(CHOOSE(MATCH($D269,ListaPuestos,0),MATCH("[Jefatura] "&amp;$C269,'Cronograma R. Operacional'!$C$5:$C$1000,0),MATCH("[Jefatura] "&amp;$C269,'Cronograma R. Normativo'!$C$5:$C$1000,0),MATCH("[Jefatura] "&amp;$C269,'Cronograma R. Financiero'!$C$5:$C$1000,0),MATCH("[Jefatura] "&amp;$C269,'Cronograma Asistente Técnico'!$C$5:$C$1000,0)),0))</f>
        <v/>
      </c>
      <c r="AN269" s="62">
        <f>IF(AND(AND($D269&lt;&gt;"",$V269="Macro"),$S269=MesCiclo),COUNTIFS($D$5:$D269,$D269,$S$5:$S269,MesCiclo,$V$5:$V269,"Macro"),"")</f>
        <v/>
      </c>
      <c r="AO269" s="62">
        <f>IF($AN269="","",$D269&amp;"|"&amp;$AN269)</f>
        <v/>
      </c>
      <c r="AP269" s="62">
        <f>IF(AND($D269&lt;&gt;"",$V269="Macro"),$D269&amp;"|"&amp;$C269,"")</f>
        <v/>
      </c>
      <c r="AQ269" s="62">
        <f>""</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t="n"/>
      <c r="F270" s="59" t="n"/>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IF(NOT((COUNTA($B270:$D270)+COUNTA($G270:$H270)+COUNTA($Q270))&gt;0),"",IF(AND($D270&lt;&gt;"",$V270="Macro"),IF(N($AM270)&gt;0,N(CHOOSE(MATCH($D270,ListaPuestos,0),INDEX('Cronograma R. Operacional'!$M$5:$M$1000,$AM270),INDEX('Cronograma R. Normativo'!$M$5:$M$1000,$AM270),INDEX('Cronograma R. Financiero'!$M$5:$M$1000,$AM270),INDEX('Cronograma Asistente Técnico'!$M$5:$M$1000,$AM270))),0),IF(ISNUMBER($G270),1,IF(N($W270)&gt;0,MIN(1,SUMIFS($Y$5:$Y$1000,$U$5:$U$1000,ROW(),$V$5:$V$1000,"Sub")),$Y270))))</f>
        <v/>
      </c>
      <c r="N270" s="56">
        <f>IF(OR($M270="",$V270="Sub"),"",IF($M270&gt;=1,"Completado",IF($M270&gt;0,"En curso","Pendiente")))</f>
        <v/>
      </c>
      <c r="O270" s="56">
        <f>IF(NOT((COUNTA($B270:$D270)+COUNTA($G270:$H270)+COUNTA($Q270))&gt;0),"",IF(AND(AND($D270&lt;&gt;"",$V270="Macro"),N($AM270)&gt;0),CHOOSE(MATCH($D270,ListaPuestos,0),INDEX('Cronograma R. Operacional'!$O$5:$O$1000,$AM270),INDEX('Cronograma R. Normativo'!$O$5:$O$1000,$AM270),INDEX('Cronograma R. Financiero'!$O$5:$O$1000,$AM270),INDEX('Cronograma Asistente Técnico'!$O$5:$O$1000,$AM270))&amp;"",IF(ISNUMBER($G270),IF(AND(ISNUMBER($AS270),$G270&gt;$AS270),"Cumplida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f>IF(NOT((COUNTA($B270:$D270)+COUNTA($G270:$H270)+COUNTA($Q270))&gt;0),"",IF($D270="","Propia",IF($V270&lt;&gt;"Macro","Solo se delegan macroactividades",IF(N($AM270)&gt;0,"✔ Recibida por "&amp;$D270,"⚠ "&amp;$D270&amp;" aún no la agrega"))))</f>
        <v/>
      </c>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f>IF(NOT(AND($D270&lt;&gt;"",$V270="Macro")),"",IFERROR(CHOOSE(MATCH($D270,ListaPuestos,0),MATCH("[Jefatura] "&amp;$C270,'Cronograma R. Operacional'!$C$5:$C$1000,0),MATCH("[Jefatura] "&amp;$C270,'Cronograma R. Normativo'!$C$5:$C$1000,0),MATCH("[Jefatura] "&amp;$C270,'Cronograma R. Financiero'!$C$5:$C$1000,0),MATCH("[Jefatura] "&amp;$C270,'Cronograma Asistente Técnico'!$C$5:$C$1000,0)),0))</f>
        <v/>
      </c>
      <c r="AN270" s="62">
        <f>IF(AND(AND($D270&lt;&gt;"",$V270="Macro"),$S270=MesCiclo),COUNTIFS($D$5:$D270,$D270,$S$5:$S270,MesCiclo,$V$5:$V270,"Macro"),"")</f>
        <v/>
      </c>
      <c r="AO270" s="62">
        <f>IF($AN270="","",$D270&amp;"|"&amp;$AN270)</f>
        <v/>
      </c>
      <c r="AP270" s="62">
        <f>IF(AND($D270&lt;&gt;"",$V270="Macro"),$D270&amp;"|"&amp;$C270,"")</f>
        <v/>
      </c>
      <c r="AQ270" s="62">
        <f>""</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t="n"/>
      <c r="F271" s="59" t="n"/>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IF(NOT((COUNTA($B271:$D271)+COUNTA($G271:$H271)+COUNTA($Q271))&gt;0),"",IF(AND($D271&lt;&gt;"",$V271="Macro"),IF(N($AM271)&gt;0,N(CHOOSE(MATCH($D271,ListaPuestos,0),INDEX('Cronograma R. Operacional'!$M$5:$M$1000,$AM271),INDEX('Cronograma R. Normativo'!$M$5:$M$1000,$AM271),INDEX('Cronograma R. Financiero'!$M$5:$M$1000,$AM271),INDEX('Cronograma Asistente Técnico'!$M$5:$M$1000,$AM271))),0),IF(ISNUMBER($G271),1,IF(N($W271)&gt;0,MIN(1,SUMIFS($Y$5:$Y$1000,$U$5:$U$1000,ROW(),$V$5:$V$1000,"Sub")),$Y271))))</f>
        <v/>
      </c>
      <c r="N271" s="56">
        <f>IF(OR($M271="",$V271="Sub"),"",IF($M271&gt;=1,"Completado",IF($M271&gt;0,"En curso","Pendiente")))</f>
        <v/>
      </c>
      <c r="O271" s="56">
        <f>IF(NOT((COUNTA($B271:$D271)+COUNTA($G271:$H271)+COUNTA($Q271))&gt;0),"",IF(AND(AND($D271&lt;&gt;"",$V271="Macro"),N($AM271)&gt;0),CHOOSE(MATCH($D271,ListaPuestos,0),INDEX('Cronograma R. Operacional'!$O$5:$O$1000,$AM271),INDEX('Cronograma R. Normativo'!$O$5:$O$1000,$AM271),INDEX('Cronograma R. Financiero'!$O$5:$O$1000,$AM271),INDEX('Cronograma Asistente Técnico'!$O$5:$O$1000,$AM271))&amp;"",IF(ISNUMBER($G271),IF(AND(ISNUMBER($AS271),$G271&gt;$AS271),"Cumplida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f>IF(NOT((COUNTA($B271:$D271)+COUNTA($G271:$H271)+COUNTA($Q271))&gt;0),"",IF($D271="","Propia",IF($V271&lt;&gt;"Macro","Solo se delegan macroactividades",IF(N($AM271)&gt;0,"✔ Recibida por "&amp;$D271,"⚠ "&amp;$D271&amp;" aún no la agrega"))))</f>
        <v/>
      </c>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f>IF(NOT(AND($D271&lt;&gt;"",$V271="Macro")),"",IFERROR(CHOOSE(MATCH($D271,ListaPuestos,0),MATCH("[Jefatura] "&amp;$C271,'Cronograma R. Operacional'!$C$5:$C$1000,0),MATCH("[Jefatura] "&amp;$C271,'Cronograma R. Normativo'!$C$5:$C$1000,0),MATCH("[Jefatura] "&amp;$C271,'Cronograma R. Financiero'!$C$5:$C$1000,0),MATCH("[Jefatura] "&amp;$C271,'Cronograma Asistente Técnico'!$C$5:$C$1000,0)),0))</f>
        <v/>
      </c>
      <c r="AN271" s="62">
        <f>IF(AND(AND($D271&lt;&gt;"",$V271="Macro"),$S271=MesCiclo),COUNTIFS($D$5:$D271,$D271,$S$5:$S271,MesCiclo,$V$5:$V271,"Macro"),"")</f>
        <v/>
      </c>
      <c r="AO271" s="62">
        <f>IF($AN271="","",$D271&amp;"|"&amp;$AN271)</f>
        <v/>
      </c>
      <c r="AP271" s="62">
        <f>IF(AND($D271&lt;&gt;"",$V271="Macro"),$D271&amp;"|"&amp;$C271,"")</f>
        <v/>
      </c>
      <c r="AQ271" s="62">
        <f>""</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t="n"/>
      <c r="F272" s="59" t="n"/>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IF(NOT((COUNTA($B272:$D272)+COUNTA($G272:$H272)+COUNTA($Q272))&gt;0),"",IF(AND($D272&lt;&gt;"",$V272="Macro"),IF(N($AM272)&gt;0,N(CHOOSE(MATCH($D272,ListaPuestos,0),INDEX('Cronograma R. Operacional'!$M$5:$M$1000,$AM272),INDEX('Cronograma R. Normativo'!$M$5:$M$1000,$AM272),INDEX('Cronograma R. Financiero'!$M$5:$M$1000,$AM272),INDEX('Cronograma Asistente Técnico'!$M$5:$M$1000,$AM272))),0),IF(ISNUMBER($G272),1,IF(N($W272)&gt;0,MIN(1,SUMIFS($Y$5:$Y$1000,$U$5:$U$1000,ROW(),$V$5:$V$1000,"Sub")),$Y272))))</f>
        <v/>
      </c>
      <c r="N272" s="56">
        <f>IF(OR($M272="",$V272="Sub"),"",IF($M272&gt;=1,"Completado",IF($M272&gt;0,"En curso","Pendiente")))</f>
        <v/>
      </c>
      <c r="O272" s="56">
        <f>IF(NOT((COUNTA($B272:$D272)+COUNTA($G272:$H272)+COUNTA($Q272))&gt;0),"",IF(AND(AND($D272&lt;&gt;"",$V272="Macro"),N($AM272)&gt;0),CHOOSE(MATCH($D272,ListaPuestos,0),INDEX('Cronograma R. Operacional'!$O$5:$O$1000,$AM272),INDEX('Cronograma R. Normativo'!$O$5:$O$1000,$AM272),INDEX('Cronograma R. Financiero'!$O$5:$O$1000,$AM272),INDEX('Cronograma Asistente Técnico'!$O$5:$O$1000,$AM272))&amp;"",IF(ISNUMBER($G272),IF(AND(ISNUMBER($AS272),$G272&gt;$AS272),"Cumplida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f>IF(NOT((COUNTA($B272:$D272)+COUNTA($G272:$H272)+COUNTA($Q272))&gt;0),"",IF($D272="","Propia",IF($V272&lt;&gt;"Macro","Solo se delegan macroactividades",IF(N($AM272)&gt;0,"✔ Recibida por "&amp;$D272,"⚠ "&amp;$D272&amp;" aún no la agrega"))))</f>
        <v/>
      </c>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f>IF(NOT(AND($D272&lt;&gt;"",$V272="Macro")),"",IFERROR(CHOOSE(MATCH($D272,ListaPuestos,0),MATCH("[Jefatura] "&amp;$C272,'Cronograma R. Operacional'!$C$5:$C$1000,0),MATCH("[Jefatura] "&amp;$C272,'Cronograma R. Normativo'!$C$5:$C$1000,0),MATCH("[Jefatura] "&amp;$C272,'Cronograma R. Financiero'!$C$5:$C$1000,0),MATCH("[Jefatura] "&amp;$C272,'Cronograma Asistente Técnico'!$C$5:$C$1000,0)),0))</f>
        <v/>
      </c>
      <c r="AN272" s="62">
        <f>IF(AND(AND($D272&lt;&gt;"",$V272="Macro"),$S272=MesCiclo),COUNTIFS($D$5:$D272,$D272,$S$5:$S272,MesCiclo,$V$5:$V272,"Macro"),"")</f>
        <v/>
      </c>
      <c r="AO272" s="62">
        <f>IF($AN272="","",$D272&amp;"|"&amp;$AN272)</f>
        <v/>
      </c>
      <c r="AP272" s="62">
        <f>IF(AND($D272&lt;&gt;"",$V272="Macro"),$D272&amp;"|"&amp;$C272,"")</f>
        <v/>
      </c>
      <c r="AQ272" s="62">
        <f>""</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t="n"/>
      <c r="F273" s="59" t="n"/>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IF(NOT((COUNTA($B273:$D273)+COUNTA($G273:$H273)+COUNTA($Q273))&gt;0),"",IF(AND($D273&lt;&gt;"",$V273="Macro"),IF(N($AM273)&gt;0,N(CHOOSE(MATCH($D273,ListaPuestos,0),INDEX('Cronograma R. Operacional'!$M$5:$M$1000,$AM273),INDEX('Cronograma R. Normativo'!$M$5:$M$1000,$AM273),INDEX('Cronograma R. Financiero'!$M$5:$M$1000,$AM273),INDEX('Cronograma Asistente Técnico'!$M$5:$M$1000,$AM273))),0),IF(ISNUMBER($G273),1,IF(N($W273)&gt;0,MIN(1,SUMIFS($Y$5:$Y$1000,$U$5:$U$1000,ROW(),$V$5:$V$1000,"Sub")),$Y273))))</f>
        <v/>
      </c>
      <c r="N273" s="56">
        <f>IF(OR($M273="",$V273="Sub"),"",IF($M273&gt;=1,"Completado",IF($M273&gt;0,"En curso","Pendiente")))</f>
        <v/>
      </c>
      <c r="O273" s="56">
        <f>IF(NOT((COUNTA($B273:$D273)+COUNTA($G273:$H273)+COUNTA($Q273))&gt;0),"",IF(AND(AND($D273&lt;&gt;"",$V273="Macro"),N($AM273)&gt;0),CHOOSE(MATCH($D273,ListaPuestos,0),INDEX('Cronograma R. Operacional'!$O$5:$O$1000,$AM273),INDEX('Cronograma R. Normativo'!$O$5:$O$1000,$AM273),INDEX('Cronograma R. Financiero'!$O$5:$O$1000,$AM273),INDEX('Cronograma Asistente Técnico'!$O$5:$O$1000,$AM273))&amp;"",IF(ISNUMBER($G273),IF(AND(ISNUMBER($AS273),$G273&gt;$AS273),"Cumplida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f>IF(NOT((COUNTA($B273:$D273)+COUNTA($G273:$H273)+COUNTA($Q273))&gt;0),"",IF($D273="","Propia",IF($V273&lt;&gt;"Macro","Solo se delegan macroactividades",IF(N($AM273)&gt;0,"✔ Recibida por "&amp;$D273,"⚠ "&amp;$D273&amp;" aún no la agrega"))))</f>
        <v/>
      </c>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f>IF(NOT(AND($D273&lt;&gt;"",$V273="Macro")),"",IFERROR(CHOOSE(MATCH($D273,ListaPuestos,0),MATCH("[Jefatura] "&amp;$C273,'Cronograma R. Operacional'!$C$5:$C$1000,0),MATCH("[Jefatura] "&amp;$C273,'Cronograma R. Normativo'!$C$5:$C$1000,0),MATCH("[Jefatura] "&amp;$C273,'Cronograma R. Financiero'!$C$5:$C$1000,0),MATCH("[Jefatura] "&amp;$C273,'Cronograma Asistente Técnico'!$C$5:$C$1000,0)),0))</f>
        <v/>
      </c>
      <c r="AN273" s="62">
        <f>IF(AND(AND($D273&lt;&gt;"",$V273="Macro"),$S273=MesCiclo),COUNTIFS($D$5:$D273,$D273,$S$5:$S273,MesCiclo,$V$5:$V273,"Macro"),"")</f>
        <v/>
      </c>
      <c r="AO273" s="62">
        <f>IF($AN273="","",$D273&amp;"|"&amp;$AN273)</f>
        <v/>
      </c>
      <c r="AP273" s="62">
        <f>IF(AND($D273&lt;&gt;"",$V273="Macro"),$D273&amp;"|"&amp;$C273,"")</f>
        <v/>
      </c>
      <c r="AQ273" s="62">
        <f>""</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t="n"/>
      <c r="F274" s="59" t="n"/>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IF(NOT((COUNTA($B274:$D274)+COUNTA($G274:$H274)+COUNTA($Q274))&gt;0),"",IF(AND($D274&lt;&gt;"",$V274="Macro"),IF(N($AM274)&gt;0,N(CHOOSE(MATCH($D274,ListaPuestos,0),INDEX('Cronograma R. Operacional'!$M$5:$M$1000,$AM274),INDEX('Cronograma R. Normativo'!$M$5:$M$1000,$AM274),INDEX('Cronograma R. Financiero'!$M$5:$M$1000,$AM274),INDEX('Cronograma Asistente Técnico'!$M$5:$M$1000,$AM274))),0),IF(ISNUMBER($G274),1,IF(N($W274)&gt;0,MIN(1,SUMIFS($Y$5:$Y$1000,$U$5:$U$1000,ROW(),$V$5:$V$1000,"Sub")),$Y274))))</f>
        <v/>
      </c>
      <c r="N274" s="56">
        <f>IF(OR($M274="",$V274="Sub"),"",IF($M274&gt;=1,"Completado",IF($M274&gt;0,"En curso","Pendiente")))</f>
        <v/>
      </c>
      <c r="O274" s="56">
        <f>IF(NOT((COUNTA($B274:$D274)+COUNTA($G274:$H274)+COUNTA($Q274))&gt;0),"",IF(AND(AND($D274&lt;&gt;"",$V274="Macro"),N($AM274)&gt;0),CHOOSE(MATCH($D274,ListaPuestos,0),INDEX('Cronograma R. Operacional'!$O$5:$O$1000,$AM274),INDEX('Cronograma R. Normativo'!$O$5:$O$1000,$AM274),INDEX('Cronograma R. Financiero'!$O$5:$O$1000,$AM274),INDEX('Cronograma Asistente Técnico'!$O$5:$O$1000,$AM274))&amp;"",IF(ISNUMBER($G274),IF(AND(ISNUMBER($AS274),$G274&gt;$AS274),"Cumplida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f>IF(NOT((COUNTA($B274:$D274)+COUNTA($G274:$H274)+COUNTA($Q274))&gt;0),"",IF($D274="","Propia",IF($V274&lt;&gt;"Macro","Solo se delegan macroactividades",IF(N($AM274)&gt;0,"✔ Recibida por "&amp;$D274,"⚠ "&amp;$D274&amp;" aún no la agrega"))))</f>
        <v/>
      </c>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f>IF(NOT(AND($D274&lt;&gt;"",$V274="Macro")),"",IFERROR(CHOOSE(MATCH($D274,ListaPuestos,0),MATCH("[Jefatura] "&amp;$C274,'Cronograma R. Operacional'!$C$5:$C$1000,0),MATCH("[Jefatura] "&amp;$C274,'Cronograma R. Normativo'!$C$5:$C$1000,0),MATCH("[Jefatura] "&amp;$C274,'Cronograma R. Financiero'!$C$5:$C$1000,0),MATCH("[Jefatura] "&amp;$C274,'Cronograma Asistente Técnico'!$C$5:$C$1000,0)),0))</f>
        <v/>
      </c>
      <c r="AN274" s="62">
        <f>IF(AND(AND($D274&lt;&gt;"",$V274="Macro"),$S274=MesCiclo),COUNTIFS($D$5:$D274,$D274,$S$5:$S274,MesCiclo,$V$5:$V274,"Macro"),"")</f>
        <v/>
      </c>
      <c r="AO274" s="62">
        <f>IF($AN274="","",$D274&amp;"|"&amp;$AN274)</f>
        <v/>
      </c>
      <c r="AP274" s="62">
        <f>IF(AND($D274&lt;&gt;"",$V274="Macro"),$D274&amp;"|"&amp;$C274,"")</f>
        <v/>
      </c>
      <c r="AQ274" s="62">
        <f>""</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t="n"/>
      <c r="F275" s="59" t="n"/>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IF(NOT((COUNTA($B275:$D275)+COUNTA($G275:$H275)+COUNTA($Q275))&gt;0),"",IF(AND($D275&lt;&gt;"",$V275="Macro"),IF(N($AM275)&gt;0,N(CHOOSE(MATCH($D275,ListaPuestos,0),INDEX('Cronograma R. Operacional'!$M$5:$M$1000,$AM275),INDEX('Cronograma R. Normativo'!$M$5:$M$1000,$AM275),INDEX('Cronograma R. Financiero'!$M$5:$M$1000,$AM275),INDEX('Cronograma Asistente Técnico'!$M$5:$M$1000,$AM275))),0),IF(ISNUMBER($G275),1,IF(N($W275)&gt;0,MIN(1,SUMIFS($Y$5:$Y$1000,$U$5:$U$1000,ROW(),$V$5:$V$1000,"Sub")),$Y275))))</f>
        <v/>
      </c>
      <c r="N275" s="56">
        <f>IF(OR($M275="",$V275="Sub"),"",IF($M275&gt;=1,"Completado",IF($M275&gt;0,"En curso","Pendiente")))</f>
        <v/>
      </c>
      <c r="O275" s="56">
        <f>IF(NOT((COUNTA($B275:$D275)+COUNTA($G275:$H275)+COUNTA($Q275))&gt;0),"",IF(AND(AND($D275&lt;&gt;"",$V275="Macro"),N($AM275)&gt;0),CHOOSE(MATCH($D275,ListaPuestos,0),INDEX('Cronograma R. Operacional'!$O$5:$O$1000,$AM275),INDEX('Cronograma R. Normativo'!$O$5:$O$1000,$AM275),INDEX('Cronograma R. Financiero'!$O$5:$O$1000,$AM275),INDEX('Cronograma Asistente Técnico'!$O$5:$O$1000,$AM275))&amp;"",IF(ISNUMBER($G275),IF(AND(ISNUMBER($AS275),$G275&gt;$AS275),"Cumplida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f>IF(NOT((COUNTA($B275:$D275)+COUNTA($G275:$H275)+COUNTA($Q275))&gt;0),"",IF($D275="","Propia",IF($V275&lt;&gt;"Macro","Solo se delegan macroactividades",IF(N($AM275)&gt;0,"✔ Recibida por "&amp;$D275,"⚠ "&amp;$D275&amp;" aún no la agrega"))))</f>
        <v/>
      </c>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f>IF(NOT(AND($D275&lt;&gt;"",$V275="Macro")),"",IFERROR(CHOOSE(MATCH($D275,ListaPuestos,0),MATCH("[Jefatura] "&amp;$C275,'Cronograma R. Operacional'!$C$5:$C$1000,0),MATCH("[Jefatura] "&amp;$C275,'Cronograma R. Normativo'!$C$5:$C$1000,0),MATCH("[Jefatura] "&amp;$C275,'Cronograma R. Financiero'!$C$5:$C$1000,0),MATCH("[Jefatura] "&amp;$C275,'Cronograma Asistente Técnico'!$C$5:$C$1000,0)),0))</f>
        <v/>
      </c>
      <c r="AN275" s="62">
        <f>IF(AND(AND($D275&lt;&gt;"",$V275="Macro"),$S275=MesCiclo),COUNTIFS($D$5:$D275,$D275,$S$5:$S275,MesCiclo,$V$5:$V275,"Macro"),"")</f>
        <v/>
      </c>
      <c r="AO275" s="62">
        <f>IF($AN275="","",$D275&amp;"|"&amp;$AN275)</f>
        <v/>
      </c>
      <c r="AP275" s="62">
        <f>IF(AND($D275&lt;&gt;"",$V275="Macro"),$D275&amp;"|"&amp;$C275,"")</f>
        <v/>
      </c>
      <c r="AQ275" s="62">
        <f>""</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t="n"/>
      <c r="F276" s="59" t="n"/>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IF(NOT((COUNTA($B276:$D276)+COUNTA($G276:$H276)+COUNTA($Q276))&gt;0),"",IF(AND($D276&lt;&gt;"",$V276="Macro"),IF(N($AM276)&gt;0,N(CHOOSE(MATCH($D276,ListaPuestos,0),INDEX('Cronograma R. Operacional'!$M$5:$M$1000,$AM276),INDEX('Cronograma R. Normativo'!$M$5:$M$1000,$AM276),INDEX('Cronograma R. Financiero'!$M$5:$M$1000,$AM276),INDEX('Cronograma Asistente Técnico'!$M$5:$M$1000,$AM276))),0),IF(ISNUMBER($G276),1,IF(N($W276)&gt;0,MIN(1,SUMIFS($Y$5:$Y$1000,$U$5:$U$1000,ROW(),$V$5:$V$1000,"Sub")),$Y276))))</f>
        <v/>
      </c>
      <c r="N276" s="56">
        <f>IF(OR($M276="",$V276="Sub"),"",IF($M276&gt;=1,"Completado",IF($M276&gt;0,"En curso","Pendiente")))</f>
        <v/>
      </c>
      <c r="O276" s="56">
        <f>IF(NOT((COUNTA($B276:$D276)+COUNTA($G276:$H276)+COUNTA($Q276))&gt;0),"",IF(AND(AND($D276&lt;&gt;"",$V276="Macro"),N($AM276)&gt;0),CHOOSE(MATCH($D276,ListaPuestos,0),INDEX('Cronograma R. Operacional'!$O$5:$O$1000,$AM276),INDEX('Cronograma R. Normativo'!$O$5:$O$1000,$AM276),INDEX('Cronograma R. Financiero'!$O$5:$O$1000,$AM276),INDEX('Cronograma Asistente Técnico'!$O$5:$O$1000,$AM276))&amp;"",IF(ISNUMBER($G276),IF(AND(ISNUMBER($AS276),$G276&gt;$AS276),"Cumplida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f>IF(NOT((COUNTA($B276:$D276)+COUNTA($G276:$H276)+COUNTA($Q276))&gt;0),"",IF($D276="","Propia",IF($V276&lt;&gt;"Macro","Solo se delegan macroactividades",IF(N($AM276)&gt;0,"✔ Recibida por "&amp;$D276,"⚠ "&amp;$D276&amp;" aún no la agrega"))))</f>
        <v/>
      </c>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f>IF(NOT(AND($D276&lt;&gt;"",$V276="Macro")),"",IFERROR(CHOOSE(MATCH($D276,ListaPuestos,0),MATCH("[Jefatura] "&amp;$C276,'Cronograma R. Operacional'!$C$5:$C$1000,0),MATCH("[Jefatura] "&amp;$C276,'Cronograma R. Normativo'!$C$5:$C$1000,0),MATCH("[Jefatura] "&amp;$C276,'Cronograma R. Financiero'!$C$5:$C$1000,0),MATCH("[Jefatura] "&amp;$C276,'Cronograma Asistente Técnico'!$C$5:$C$1000,0)),0))</f>
        <v/>
      </c>
      <c r="AN276" s="62">
        <f>IF(AND(AND($D276&lt;&gt;"",$V276="Macro"),$S276=MesCiclo),COUNTIFS($D$5:$D276,$D276,$S$5:$S276,MesCiclo,$V$5:$V276,"Macro"),"")</f>
        <v/>
      </c>
      <c r="AO276" s="62">
        <f>IF($AN276="","",$D276&amp;"|"&amp;$AN276)</f>
        <v/>
      </c>
      <c r="AP276" s="62">
        <f>IF(AND($D276&lt;&gt;"",$V276="Macro"),$D276&amp;"|"&amp;$C276,"")</f>
        <v/>
      </c>
      <c r="AQ276" s="62">
        <f>""</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t="n"/>
      <c r="F277" s="59" t="n"/>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IF(NOT((COUNTA($B277:$D277)+COUNTA($G277:$H277)+COUNTA($Q277))&gt;0),"",IF(AND($D277&lt;&gt;"",$V277="Macro"),IF(N($AM277)&gt;0,N(CHOOSE(MATCH($D277,ListaPuestos,0),INDEX('Cronograma R. Operacional'!$M$5:$M$1000,$AM277),INDEX('Cronograma R. Normativo'!$M$5:$M$1000,$AM277),INDEX('Cronograma R. Financiero'!$M$5:$M$1000,$AM277),INDEX('Cronograma Asistente Técnico'!$M$5:$M$1000,$AM277))),0),IF(ISNUMBER($G277),1,IF(N($W277)&gt;0,MIN(1,SUMIFS($Y$5:$Y$1000,$U$5:$U$1000,ROW(),$V$5:$V$1000,"Sub")),$Y277))))</f>
        <v/>
      </c>
      <c r="N277" s="56">
        <f>IF(OR($M277="",$V277="Sub"),"",IF($M277&gt;=1,"Completado",IF($M277&gt;0,"En curso","Pendiente")))</f>
        <v/>
      </c>
      <c r="O277" s="56">
        <f>IF(NOT((COUNTA($B277:$D277)+COUNTA($G277:$H277)+COUNTA($Q277))&gt;0),"",IF(AND(AND($D277&lt;&gt;"",$V277="Macro"),N($AM277)&gt;0),CHOOSE(MATCH($D277,ListaPuestos,0),INDEX('Cronograma R. Operacional'!$O$5:$O$1000,$AM277),INDEX('Cronograma R. Normativo'!$O$5:$O$1000,$AM277),INDEX('Cronograma R. Financiero'!$O$5:$O$1000,$AM277),INDEX('Cronograma Asistente Técnico'!$O$5:$O$1000,$AM277))&amp;"",IF(ISNUMBER($G277),IF(AND(ISNUMBER($AS277),$G277&gt;$AS277),"Cumplida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f>IF(NOT((COUNTA($B277:$D277)+COUNTA($G277:$H277)+COUNTA($Q277))&gt;0),"",IF($D277="","Propia",IF($V277&lt;&gt;"Macro","Solo se delegan macroactividades",IF(N($AM277)&gt;0,"✔ Recibida por "&amp;$D277,"⚠ "&amp;$D277&amp;" aún no la agrega"))))</f>
        <v/>
      </c>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f>IF(NOT(AND($D277&lt;&gt;"",$V277="Macro")),"",IFERROR(CHOOSE(MATCH($D277,ListaPuestos,0),MATCH("[Jefatura] "&amp;$C277,'Cronograma R. Operacional'!$C$5:$C$1000,0),MATCH("[Jefatura] "&amp;$C277,'Cronograma R. Normativo'!$C$5:$C$1000,0),MATCH("[Jefatura] "&amp;$C277,'Cronograma R. Financiero'!$C$5:$C$1000,0),MATCH("[Jefatura] "&amp;$C277,'Cronograma Asistente Técnico'!$C$5:$C$1000,0)),0))</f>
        <v/>
      </c>
      <c r="AN277" s="62">
        <f>IF(AND(AND($D277&lt;&gt;"",$V277="Macro"),$S277=MesCiclo),COUNTIFS($D$5:$D277,$D277,$S$5:$S277,MesCiclo,$V$5:$V277,"Macro"),"")</f>
        <v/>
      </c>
      <c r="AO277" s="62">
        <f>IF($AN277="","",$D277&amp;"|"&amp;$AN277)</f>
        <v/>
      </c>
      <c r="AP277" s="62">
        <f>IF(AND($D277&lt;&gt;"",$V277="Macro"),$D277&amp;"|"&amp;$C277,"")</f>
        <v/>
      </c>
      <c r="AQ277" s="62">
        <f>""</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t="n"/>
      <c r="F278" s="59" t="n"/>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IF(NOT((COUNTA($B278:$D278)+COUNTA($G278:$H278)+COUNTA($Q278))&gt;0),"",IF(AND($D278&lt;&gt;"",$V278="Macro"),IF(N($AM278)&gt;0,N(CHOOSE(MATCH($D278,ListaPuestos,0),INDEX('Cronograma R. Operacional'!$M$5:$M$1000,$AM278),INDEX('Cronograma R. Normativo'!$M$5:$M$1000,$AM278),INDEX('Cronograma R. Financiero'!$M$5:$M$1000,$AM278),INDEX('Cronograma Asistente Técnico'!$M$5:$M$1000,$AM278))),0),IF(ISNUMBER($G278),1,IF(N($W278)&gt;0,MIN(1,SUMIFS($Y$5:$Y$1000,$U$5:$U$1000,ROW(),$V$5:$V$1000,"Sub")),$Y278))))</f>
        <v/>
      </c>
      <c r="N278" s="56">
        <f>IF(OR($M278="",$V278="Sub"),"",IF($M278&gt;=1,"Completado",IF($M278&gt;0,"En curso","Pendiente")))</f>
        <v/>
      </c>
      <c r="O278" s="56">
        <f>IF(NOT((COUNTA($B278:$D278)+COUNTA($G278:$H278)+COUNTA($Q278))&gt;0),"",IF(AND(AND($D278&lt;&gt;"",$V278="Macro"),N($AM278)&gt;0),CHOOSE(MATCH($D278,ListaPuestos,0),INDEX('Cronograma R. Operacional'!$O$5:$O$1000,$AM278),INDEX('Cronograma R. Normativo'!$O$5:$O$1000,$AM278),INDEX('Cronograma R. Financiero'!$O$5:$O$1000,$AM278),INDEX('Cronograma Asistente Técnico'!$O$5:$O$1000,$AM278))&amp;"",IF(ISNUMBER($G278),IF(AND(ISNUMBER($AS278),$G278&gt;$AS278),"Cumplida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f>IF(NOT((COUNTA($B278:$D278)+COUNTA($G278:$H278)+COUNTA($Q278))&gt;0),"",IF($D278="","Propia",IF($V278&lt;&gt;"Macro","Solo se delegan macroactividades",IF(N($AM278)&gt;0,"✔ Recibida por "&amp;$D278,"⚠ "&amp;$D278&amp;" aún no la agrega"))))</f>
        <v/>
      </c>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f>IF(NOT(AND($D278&lt;&gt;"",$V278="Macro")),"",IFERROR(CHOOSE(MATCH($D278,ListaPuestos,0),MATCH("[Jefatura] "&amp;$C278,'Cronograma R. Operacional'!$C$5:$C$1000,0),MATCH("[Jefatura] "&amp;$C278,'Cronograma R. Normativo'!$C$5:$C$1000,0),MATCH("[Jefatura] "&amp;$C278,'Cronograma R. Financiero'!$C$5:$C$1000,0),MATCH("[Jefatura] "&amp;$C278,'Cronograma Asistente Técnico'!$C$5:$C$1000,0)),0))</f>
        <v/>
      </c>
      <c r="AN278" s="62">
        <f>IF(AND(AND($D278&lt;&gt;"",$V278="Macro"),$S278=MesCiclo),COUNTIFS($D$5:$D278,$D278,$S$5:$S278,MesCiclo,$V$5:$V278,"Macro"),"")</f>
        <v/>
      </c>
      <c r="AO278" s="62">
        <f>IF($AN278="","",$D278&amp;"|"&amp;$AN278)</f>
        <v/>
      </c>
      <c r="AP278" s="62">
        <f>IF(AND($D278&lt;&gt;"",$V278="Macro"),$D278&amp;"|"&amp;$C278,"")</f>
        <v/>
      </c>
      <c r="AQ278" s="62">
        <f>""</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t="n"/>
      <c r="F279" s="59" t="n"/>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IF(NOT((COUNTA($B279:$D279)+COUNTA($G279:$H279)+COUNTA($Q279))&gt;0),"",IF(AND($D279&lt;&gt;"",$V279="Macro"),IF(N($AM279)&gt;0,N(CHOOSE(MATCH($D279,ListaPuestos,0),INDEX('Cronograma R. Operacional'!$M$5:$M$1000,$AM279),INDEX('Cronograma R. Normativo'!$M$5:$M$1000,$AM279),INDEX('Cronograma R. Financiero'!$M$5:$M$1000,$AM279),INDEX('Cronograma Asistente Técnico'!$M$5:$M$1000,$AM279))),0),IF(ISNUMBER($G279),1,IF(N($W279)&gt;0,MIN(1,SUMIFS($Y$5:$Y$1000,$U$5:$U$1000,ROW(),$V$5:$V$1000,"Sub")),$Y279))))</f>
        <v/>
      </c>
      <c r="N279" s="56">
        <f>IF(OR($M279="",$V279="Sub"),"",IF($M279&gt;=1,"Completado",IF($M279&gt;0,"En curso","Pendiente")))</f>
        <v/>
      </c>
      <c r="O279" s="56">
        <f>IF(NOT((COUNTA($B279:$D279)+COUNTA($G279:$H279)+COUNTA($Q279))&gt;0),"",IF(AND(AND($D279&lt;&gt;"",$V279="Macro"),N($AM279)&gt;0),CHOOSE(MATCH($D279,ListaPuestos,0),INDEX('Cronograma R. Operacional'!$O$5:$O$1000,$AM279),INDEX('Cronograma R. Normativo'!$O$5:$O$1000,$AM279),INDEX('Cronograma R. Financiero'!$O$5:$O$1000,$AM279),INDEX('Cronograma Asistente Técnico'!$O$5:$O$1000,$AM279))&amp;"",IF(ISNUMBER($G279),IF(AND(ISNUMBER($AS279),$G279&gt;$AS279),"Cumplida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f>IF(NOT((COUNTA($B279:$D279)+COUNTA($G279:$H279)+COUNTA($Q279))&gt;0),"",IF($D279="","Propia",IF($V279&lt;&gt;"Macro","Solo se delegan macroactividades",IF(N($AM279)&gt;0,"✔ Recibida por "&amp;$D279,"⚠ "&amp;$D279&amp;" aún no la agrega"))))</f>
        <v/>
      </c>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f>IF(NOT(AND($D279&lt;&gt;"",$V279="Macro")),"",IFERROR(CHOOSE(MATCH($D279,ListaPuestos,0),MATCH("[Jefatura] "&amp;$C279,'Cronograma R. Operacional'!$C$5:$C$1000,0),MATCH("[Jefatura] "&amp;$C279,'Cronograma R. Normativo'!$C$5:$C$1000,0),MATCH("[Jefatura] "&amp;$C279,'Cronograma R. Financiero'!$C$5:$C$1000,0),MATCH("[Jefatura] "&amp;$C279,'Cronograma Asistente Técnico'!$C$5:$C$1000,0)),0))</f>
        <v/>
      </c>
      <c r="AN279" s="62">
        <f>IF(AND(AND($D279&lt;&gt;"",$V279="Macro"),$S279=MesCiclo),COUNTIFS($D$5:$D279,$D279,$S$5:$S279,MesCiclo,$V$5:$V279,"Macro"),"")</f>
        <v/>
      </c>
      <c r="AO279" s="62">
        <f>IF($AN279="","",$D279&amp;"|"&amp;$AN279)</f>
        <v/>
      </c>
      <c r="AP279" s="62">
        <f>IF(AND($D279&lt;&gt;"",$V279="Macro"),$D279&amp;"|"&amp;$C279,"")</f>
        <v/>
      </c>
      <c r="AQ279" s="62">
        <f>""</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t="n"/>
      <c r="F280" s="59" t="n"/>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IF(NOT((COUNTA($B280:$D280)+COUNTA($G280:$H280)+COUNTA($Q280))&gt;0),"",IF(AND($D280&lt;&gt;"",$V280="Macro"),IF(N($AM280)&gt;0,N(CHOOSE(MATCH($D280,ListaPuestos,0),INDEX('Cronograma R. Operacional'!$M$5:$M$1000,$AM280),INDEX('Cronograma R. Normativo'!$M$5:$M$1000,$AM280),INDEX('Cronograma R. Financiero'!$M$5:$M$1000,$AM280),INDEX('Cronograma Asistente Técnico'!$M$5:$M$1000,$AM280))),0),IF(ISNUMBER($G280),1,IF(N($W280)&gt;0,MIN(1,SUMIFS($Y$5:$Y$1000,$U$5:$U$1000,ROW(),$V$5:$V$1000,"Sub")),$Y280))))</f>
        <v/>
      </c>
      <c r="N280" s="56">
        <f>IF(OR($M280="",$V280="Sub"),"",IF($M280&gt;=1,"Completado",IF($M280&gt;0,"En curso","Pendiente")))</f>
        <v/>
      </c>
      <c r="O280" s="56">
        <f>IF(NOT((COUNTA($B280:$D280)+COUNTA($G280:$H280)+COUNTA($Q280))&gt;0),"",IF(AND(AND($D280&lt;&gt;"",$V280="Macro"),N($AM280)&gt;0),CHOOSE(MATCH($D280,ListaPuestos,0),INDEX('Cronograma R. Operacional'!$O$5:$O$1000,$AM280),INDEX('Cronograma R. Normativo'!$O$5:$O$1000,$AM280),INDEX('Cronograma R. Financiero'!$O$5:$O$1000,$AM280),INDEX('Cronograma Asistente Técnico'!$O$5:$O$1000,$AM280))&amp;"",IF(ISNUMBER($G280),IF(AND(ISNUMBER($AS280),$G280&gt;$AS280),"Cumplida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f>IF(NOT((COUNTA($B280:$D280)+COUNTA($G280:$H280)+COUNTA($Q280))&gt;0),"",IF($D280="","Propia",IF($V280&lt;&gt;"Macro","Solo se delegan macroactividades",IF(N($AM280)&gt;0,"✔ Recibida por "&amp;$D280,"⚠ "&amp;$D280&amp;" aún no la agrega"))))</f>
        <v/>
      </c>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f>IF(NOT(AND($D280&lt;&gt;"",$V280="Macro")),"",IFERROR(CHOOSE(MATCH($D280,ListaPuestos,0),MATCH("[Jefatura] "&amp;$C280,'Cronograma R. Operacional'!$C$5:$C$1000,0),MATCH("[Jefatura] "&amp;$C280,'Cronograma R. Normativo'!$C$5:$C$1000,0),MATCH("[Jefatura] "&amp;$C280,'Cronograma R. Financiero'!$C$5:$C$1000,0),MATCH("[Jefatura] "&amp;$C280,'Cronograma Asistente Técnico'!$C$5:$C$1000,0)),0))</f>
        <v/>
      </c>
      <c r="AN280" s="62">
        <f>IF(AND(AND($D280&lt;&gt;"",$V280="Macro"),$S280=MesCiclo),COUNTIFS($D$5:$D280,$D280,$S$5:$S280,MesCiclo,$V$5:$V280,"Macro"),"")</f>
        <v/>
      </c>
      <c r="AO280" s="62">
        <f>IF($AN280="","",$D280&amp;"|"&amp;$AN280)</f>
        <v/>
      </c>
      <c r="AP280" s="62">
        <f>IF(AND($D280&lt;&gt;"",$V280="Macro"),$D280&amp;"|"&amp;$C280,"")</f>
        <v/>
      </c>
      <c r="AQ280" s="62">
        <f>""</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t="n"/>
      <c r="F281" s="59" t="n"/>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IF(NOT((COUNTA($B281:$D281)+COUNTA($G281:$H281)+COUNTA($Q281))&gt;0),"",IF(AND($D281&lt;&gt;"",$V281="Macro"),IF(N($AM281)&gt;0,N(CHOOSE(MATCH($D281,ListaPuestos,0),INDEX('Cronograma R. Operacional'!$M$5:$M$1000,$AM281),INDEX('Cronograma R. Normativo'!$M$5:$M$1000,$AM281),INDEX('Cronograma R. Financiero'!$M$5:$M$1000,$AM281),INDEX('Cronograma Asistente Técnico'!$M$5:$M$1000,$AM281))),0),IF(ISNUMBER($G281),1,IF(N($W281)&gt;0,MIN(1,SUMIFS($Y$5:$Y$1000,$U$5:$U$1000,ROW(),$V$5:$V$1000,"Sub")),$Y281))))</f>
        <v/>
      </c>
      <c r="N281" s="56">
        <f>IF(OR($M281="",$V281="Sub"),"",IF($M281&gt;=1,"Completado",IF($M281&gt;0,"En curso","Pendiente")))</f>
        <v/>
      </c>
      <c r="O281" s="56">
        <f>IF(NOT((COUNTA($B281:$D281)+COUNTA($G281:$H281)+COUNTA($Q281))&gt;0),"",IF(AND(AND($D281&lt;&gt;"",$V281="Macro"),N($AM281)&gt;0),CHOOSE(MATCH($D281,ListaPuestos,0),INDEX('Cronograma R. Operacional'!$O$5:$O$1000,$AM281),INDEX('Cronograma R. Normativo'!$O$5:$O$1000,$AM281),INDEX('Cronograma R. Financiero'!$O$5:$O$1000,$AM281),INDEX('Cronograma Asistente Técnico'!$O$5:$O$1000,$AM281))&amp;"",IF(ISNUMBER($G281),IF(AND(ISNUMBER($AS281),$G281&gt;$AS281),"Cumplida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f>IF(NOT((COUNTA($B281:$D281)+COUNTA($G281:$H281)+COUNTA($Q281))&gt;0),"",IF($D281="","Propia",IF($V281&lt;&gt;"Macro","Solo se delegan macroactividades",IF(N($AM281)&gt;0,"✔ Recibida por "&amp;$D281,"⚠ "&amp;$D281&amp;" aún no la agrega"))))</f>
        <v/>
      </c>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f>IF(NOT(AND($D281&lt;&gt;"",$V281="Macro")),"",IFERROR(CHOOSE(MATCH($D281,ListaPuestos,0),MATCH("[Jefatura] "&amp;$C281,'Cronograma R. Operacional'!$C$5:$C$1000,0),MATCH("[Jefatura] "&amp;$C281,'Cronograma R. Normativo'!$C$5:$C$1000,0),MATCH("[Jefatura] "&amp;$C281,'Cronograma R. Financiero'!$C$5:$C$1000,0),MATCH("[Jefatura] "&amp;$C281,'Cronograma Asistente Técnico'!$C$5:$C$1000,0)),0))</f>
        <v/>
      </c>
      <c r="AN281" s="62">
        <f>IF(AND(AND($D281&lt;&gt;"",$V281="Macro"),$S281=MesCiclo),COUNTIFS($D$5:$D281,$D281,$S$5:$S281,MesCiclo,$V$5:$V281,"Macro"),"")</f>
        <v/>
      </c>
      <c r="AO281" s="62">
        <f>IF($AN281="","",$D281&amp;"|"&amp;$AN281)</f>
        <v/>
      </c>
      <c r="AP281" s="62">
        <f>IF(AND($D281&lt;&gt;"",$V281="Macro"),$D281&amp;"|"&amp;$C281,"")</f>
        <v/>
      </c>
      <c r="AQ281" s="62">
        <f>""</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t="n"/>
      <c r="F282" s="59" t="n"/>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IF(NOT((COUNTA($B282:$D282)+COUNTA($G282:$H282)+COUNTA($Q282))&gt;0),"",IF(AND($D282&lt;&gt;"",$V282="Macro"),IF(N($AM282)&gt;0,N(CHOOSE(MATCH($D282,ListaPuestos,0),INDEX('Cronograma R. Operacional'!$M$5:$M$1000,$AM282),INDEX('Cronograma R. Normativo'!$M$5:$M$1000,$AM282),INDEX('Cronograma R. Financiero'!$M$5:$M$1000,$AM282),INDEX('Cronograma Asistente Técnico'!$M$5:$M$1000,$AM282))),0),IF(ISNUMBER($G282),1,IF(N($W282)&gt;0,MIN(1,SUMIFS($Y$5:$Y$1000,$U$5:$U$1000,ROW(),$V$5:$V$1000,"Sub")),$Y282))))</f>
        <v/>
      </c>
      <c r="N282" s="56">
        <f>IF(OR($M282="",$V282="Sub"),"",IF($M282&gt;=1,"Completado",IF($M282&gt;0,"En curso","Pendiente")))</f>
        <v/>
      </c>
      <c r="O282" s="56">
        <f>IF(NOT((COUNTA($B282:$D282)+COUNTA($G282:$H282)+COUNTA($Q282))&gt;0),"",IF(AND(AND($D282&lt;&gt;"",$V282="Macro"),N($AM282)&gt;0),CHOOSE(MATCH($D282,ListaPuestos,0),INDEX('Cronograma R. Operacional'!$O$5:$O$1000,$AM282),INDEX('Cronograma R. Normativo'!$O$5:$O$1000,$AM282),INDEX('Cronograma R. Financiero'!$O$5:$O$1000,$AM282),INDEX('Cronograma Asistente Técnico'!$O$5:$O$1000,$AM282))&amp;"",IF(ISNUMBER($G282),IF(AND(ISNUMBER($AS282),$G282&gt;$AS282),"Cumplida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f>IF(NOT((COUNTA($B282:$D282)+COUNTA($G282:$H282)+COUNTA($Q282))&gt;0),"",IF($D282="","Propia",IF($V282&lt;&gt;"Macro","Solo se delegan macroactividades",IF(N($AM282)&gt;0,"✔ Recibida por "&amp;$D282,"⚠ "&amp;$D282&amp;" aún no la agrega"))))</f>
        <v/>
      </c>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f>IF(NOT(AND($D282&lt;&gt;"",$V282="Macro")),"",IFERROR(CHOOSE(MATCH($D282,ListaPuestos,0),MATCH("[Jefatura] "&amp;$C282,'Cronograma R. Operacional'!$C$5:$C$1000,0),MATCH("[Jefatura] "&amp;$C282,'Cronograma R. Normativo'!$C$5:$C$1000,0),MATCH("[Jefatura] "&amp;$C282,'Cronograma R. Financiero'!$C$5:$C$1000,0),MATCH("[Jefatura] "&amp;$C282,'Cronograma Asistente Técnico'!$C$5:$C$1000,0)),0))</f>
        <v/>
      </c>
      <c r="AN282" s="62">
        <f>IF(AND(AND($D282&lt;&gt;"",$V282="Macro"),$S282=MesCiclo),COUNTIFS($D$5:$D282,$D282,$S$5:$S282,MesCiclo,$V$5:$V282,"Macro"),"")</f>
        <v/>
      </c>
      <c r="AO282" s="62">
        <f>IF($AN282="","",$D282&amp;"|"&amp;$AN282)</f>
        <v/>
      </c>
      <c r="AP282" s="62">
        <f>IF(AND($D282&lt;&gt;"",$V282="Macro"),$D282&amp;"|"&amp;$C282,"")</f>
        <v/>
      </c>
      <c r="AQ282" s="62">
        <f>""</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t="n"/>
      <c r="F283" s="59" t="n"/>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IF(NOT((COUNTA($B283:$D283)+COUNTA($G283:$H283)+COUNTA($Q283))&gt;0),"",IF(AND($D283&lt;&gt;"",$V283="Macro"),IF(N($AM283)&gt;0,N(CHOOSE(MATCH($D283,ListaPuestos,0),INDEX('Cronograma R. Operacional'!$M$5:$M$1000,$AM283),INDEX('Cronograma R. Normativo'!$M$5:$M$1000,$AM283),INDEX('Cronograma R. Financiero'!$M$5:$M$1000,$AM283),INDEX('Cronograma Asistente Técnico'!$M$5:$M$1000,$AM283))),0),IF(ISNUMBER($G283),1,IF(N($W283)&gt;0,MIN(1,SUMIFS($Y$5:$Y$1000,$U$5:$U$1000,ROW(),$V$5:$V$1000,"Sub")),$Y283))))</f>
        <v/>
      </c>
      <c r="N283" s="56">
        <f>IF(OR($M283="",$V283="Sub"),"",IF($M283&gt;=1,"Completado",IF($M283&gt;0,"En curso","Pendiente")))</f>
        <v/>
      </c>
      <c r="O283" s="56">
        <f>IF(NOT((COUNTA($B283:$D283)+COUNTA($G283:$H283)+COUNTA($Q283))&gt;0),"",IF(AND(AND($D283&lt;&gt;"",$V283="Macro"),N($AM283)&gt;0),CHOOSE(MATCH($D283,ListaPuestos,0),INDEX('Cronograma R. Operacional'!$O$5:$O$1000,$AM283),INDEX('Cronograma R. Normativo'!$O$5:$O$1000,$AM283),INDEX('Cronograma R. Financiero'!$O$5:$O$1000,$AM283),INDEX('Cronograma Asistente Técnico'!$O$5:$O$1000,$AM283))&amp;"",IF(ISNUMBER($G283),IF(AND(ISNUMBER($AS283),$G283&gt;$AS283),"Cumplida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f>IF(NOT((COUNTA($B283:$D283)+COUNTA($G283:$H283)+COUNTA($Q283))&gt;0),"",IF($D283="","Propia",IF($V283&lt;&gt;"Macro","Solo se delegan macroactividades",IF(N($AM283)&gt;0,"✔ Recibida por "&amp;$D283,"⚠ "&amp;$D283&amp;" aún no la agrega"))))</f>
        <v/>
      </c>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f>IF(NOT(AND($D283&lt;&gt;"",$V283="Macro")),"",IFERROR(CHOOSE(MATCH($D283,ListaPuestos,0),MATCH("[Jefatura] "&amp;$C283,'Cronograma R. Operacional'!$C$5:$C$1000,0),MATCH("[Jefatura] "&amp;$C283,'Cronograma R. Normativo'!$C$5:$C$1000,0),MATCH("[Jefatura] "&amp;$C283,'Cronograma R. Financiero'!$C$5:$C$1000,0),MATCH("[Jefatura] "&amp;$C283,'Cronograma Asistente Técnico'!$C$5:$C$1000,0)),0))</f>
        <v/>
      </c>
      <c r="AN283" s="62">
        <f>IF(AND(AND($D283&lt;&gt;"",$V283="Macro"),$S283=MesCiclo),COUNTIFS($D$5:$D283,$D283,$S$5:$S283,MesCiclo,$V$5:$V283,"Macro"),"")</f>
        <v/>
      </c>
      <c r="AO283" s="62">
        <f>IF($AN283="","",$D283&amp;"|"&amp;$AN283)</f>
        <v/>
      </c>
      <c r="AP283" s="62">
        <f>IF(AND($D283&lt;&gt;"",$V283="Macro"),$D283&amp;"|"&amp;$C283,"")</f>
        <v/>
      </c>
      <c r="AQ283" s="62">
        <f>""</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t="n"/>
      <c r="F284" s="59" t="n"/>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IF(NOT((COUNTA($B284:$D284)+COUNTA($G284:$H284)+COUNTA($Q284))&gt;0),"",IF(AND($D284&lt;&gt;"",$V284="Macro"),IF(N($AM284)&gt;0,N(CHOOSE(MATCH($D284,ListaPuestos,0),INDEX('Cronograma R. Operacional'!$M$5:$M$1000,$AM284),INDEX('Cronograma R. Normativo'!$M$5:$M$1000,$AM284),INDEX('Cronograma R. Financiero'!$M$5:$M$1000,$AM284),INDEX('Cronograma Asistente Técnico'!$M$5:$M$1000,$AM284))),0),IF(ISNUMBER($G284),1,IF(N($W284)&gt;0,MIN(1,SUMIFS($Y$5:$Y$1000,$U$5:$U$1000,ROW(),$V$5:$V$1000,"Sub")),$Y284))))</f>
        <v/>
      </c>
      <c r="N284" s="56">
        <f>IF(OR($M284="",$V284="Sub"),"",IF($M284&gt;=1,"Completado",IF($M284&gt;0,"En curso","Pendiente")))</f>
        <v/>
      </c>
      <c r="O284" s="56">
        <f>IF(NOT((COUNTA($B284:$D284)+COUNTA($G284:$H284)+COUNTA($Q284))&gt;0),"",IF(AND(AND($D284&lt;&gt;"",$V284="Macro"),N($AM284)&gt;0),CHOOSE(MATCH($D284,ListaPuestos,0),INDEX('Cronograma R. Operacional'!$O$5:$O$1000,$AM284),INDEX('Cronograma R. Normativo'!$O$5:$O$1000,$AM284),INDEX('Cronograma R. Financiero'!$O$5:$O$1000,$AM284),INDEX('Cronograma Asistente Técnico'!$O$5:$O$1000,$AM284))&amp;"",IF(ISNUMBER($G284),IF(AND(ISNUMBER($AS284),$G284&gt;$AS284),"Cumplida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f>IF(NOT((COUNTA($B284:$D284)+COUNTA($G284:$H284)+COUNTA($Q284))&gt;0),"",IF($D284="","Propia",IF($V284&lt;&gt;"Macro","Solo se delegan macroactividades",IF(N($AM284)&gt;0,"✔ Recibida por "&amp;$D284,"⚠ "&amp;$D284&amp;" aún no la agrega"))))</f>
        <v/>
      </c>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f>IF(NOT(AND($D284&lt;&gt;"",$V284="Macro")),"",IFERROR(CHOOSE(MATCH($D284,ListaPuestos,0),MATCH("[Jefatura] "&amp;$C284,'Cronograma R. Operacional'!$C$5:$C$1000,0),MATCH("[Jefatura] "&amp;$C284,'Cronograma R. Normativo'!$C$5:$C$1000,0),MATCH("[Jefatura] "&amp;$C284,'Cronograma R. Financiero'!$C$5:$C$1000,0),MATCH("[Jefatura] "&amp;$C284,'Cronograma Asistente Técnico'!$C$5:$C$1000,0)),0))</f>
        <v/>
      </c>
      <c r="AN284" s="62">
        <f>IF(AND(AND($D284&lt;&gt;"",$V284="Macro"),$S284=MesCiclo),COUNTIFS($D$5:$D284,$D284,$S$5:$S284,MesCiclo,$V$5:$V284,"Macro"),"")</f>
        <v/>
      </c>
      <c r="AO284" s="62">
        <f>IF($AN284="","",$D284&amp;"|"&amp;$AN284)</f>
        <v/>
      </c>
      <c r="AP284" s="62">
        <f>IF(AND($D284&lt;&gt;"",$V284="Macro"),$D284&amp;"|"&amp;$C284,"")</f>
        <v/>
      </c>
      <c r="AQ284" s="62">
        <f>""</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t="n"/>
      <c r="F285" s="59" t="n"/>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IF(NOT((COUNTA($B285:$D285)+COUNTA($G285:$H285)+COUNTA($Q285))&gt;0),"",IF(AND($D285&lt;&gt;"",$V285="Macro"),IF(N($AM285)&gt;0,N(CHOOSE(MATCH($D285,ListaPuestos,0),INDEX('Cronograma R. Operacional'!$M$5:$M$1000,$AM285),INDEX('Cronograma R. Normativo'!$M$5:$M$1000,$AM285),INDEX('Cronograma R. Financiero'!$M$5:$M$1000,$AM285),INDEX('Cronograma Asistente Técnico'!$M$5:$M$1000,$AM285))),0),IF(ISNUMBER($G285),1,IF(N($W285)&gt;0,MIN(1,SUMIFS($Y$5:$Y$1000,$U$5:$U$1000,ROW(),$V$5:$V$1000,"Sub")),$Y285))))</f>
        <v/>
      </c>
      <c r="N285" s="56">
        <f>IF(OR($M285="",$V285="Sub"),"",IF($M285&gt;=1,"Completado",IF($M285&gt;0,"En curso","Pendiente")))</f>
        <v/>
      </c>
      <c r="O285" s="56">
        <f>IF(NOT((COUNTA($B285:$D285)+COUNTA($G285:$H285)+COUNTA($Q285))&gt;0),"",IF(AND(AND($D285&lt;&gt;"",$V285="Macro"),N($AM285)&gt;0),CHOOSE(MATCH($D285,ListaPuestos,0),INDEX('Cronograma R. Operacional'!$O$5:$O$1000,$AM285),INDEX('Cronograma R. Normativo'!$O$5:$O$1000,$AM285),INDEX('Cronograma R. Financiero'!$O$5:$O$1000,$AM285),INDEX('Cronograma Asistente Técnico'!$O$5:$O$1000,$AM285))&amp;"",IF(ISNUMBER($G285),IF(AND(ISNUMBER($AS285),$G285&gt;$AS285),"Cumplida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f>IF(NOT((COUNTA($B285:$D285)+COUNTA($G285:$H285)+COUNTA($Q285))&gt;0),"",IF($D285="","Propia",IF($V285&lt;&gt;"Macro","Solo se delegan macroactividades",IF(N($AM285)&gt;0,"✔ Recibida por "&amp;$D285,"⚠ "&amp;$D285&amp;" aún no la agrega"))))</f>
        <v/>
      </c>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f>IF(NOT(AND($D285&lt;&gt;"",$V285="Macro")),"",IFERROR(CHOOSE(MATCH($D285,ListaPuestos,0),MATCH("[Jefatura] "&amp;$C285,'Cronograma R. Operacional'!$C$5:$C$1000,0),MATCH("[Jefatura] "&amp;$C285,'Cronograma R. Normativo'!$C$5:$C$1000,0),MATCH("[Jefatura] "&amp;$C285,'Cronograma R. Financiero'!$C$5:$C$1000,0),MATCH("[Jefatura] "&amp;$C285,'Cronograma Asistente Técnico'!$C$5:$C$1000,0)),0))</f>
        <v/>
      </c>
      <c r="AN285" s="62">
        <f>IF(AND(AND($D285&lt;&gt;"",$V285="Macro"),$S285=MesCiclo),COUNTIFS($D$5:$D285,$D285,$S$5:$S285,MesCiclo,$V$5:$V285,"Macro"),"")</f>
        <v/>
      </c>
      <c r="AO285" s="62">
        <f>IF($AN285="","",$D285&amp;"|"&amp;$AN285)</f>
        <v/>
      </c>
      <c r="AP285" s="62">
        <f>IF(AND($D285&lt;&gt;"",$V285="Macro"),$D285&amp;"|"&amp;$C285,"")</f>
        <v/>
      </c>
      <c r="AQ285" s="62">
        <f>""</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t="n"/>
      <c r="F286" s="59" t="n"/>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IF(NOT((COUNTA($B286:$D286)+COUNTA($G286:$H286)+COUNTA($Q286))&gt;0),"",IF(AND($D286&lt;&gt;"",$V286="Macro"),IF(N($AM286)&gt;0,N(CHOOSE(MATCH($D286,ListaPuestos,0),INDEX('Cronograma R. Operacional'!$M$5:$M$1000,$AM286),INDEX('Cronograma R. Normativo'!$M$5:$M$1000,$AM286),INDEX('Cronograma R. Financiero'!$M$5:$M$1000,$AM286),INDEX('Cronograma Asistente Técnico'!$M$5:$M$1000,$AM286))),0),IF(ISNUMBER($G286),1,IF(N($W286)&gt;0,MIN(1,SUMIFS($Y$5:$Y$1000,$U$5:$U$1000,ROW(),$V$5:$V$1000,"Sub")),$Y286))))</f>
        <v/>
      </c>
      <c r="N286" s="56">
        <f>IF(OR($M286="",$V286="Sub"),"",IF($M286&gt;=1,"Completado",IF($M286&gt;0,"En curso","Pendiente")))</f>
        <v/>
      </c>
      <c r="O286" s="56">
        <f>IF(NOT((COUNTA($B286:$D286)+COUNTA($G286:$H286)+COUNTA($Q286))&gt;0),"",IF(AND(AND($D286&lt;&gt;"",$V286="Macro"),N($AM286)&gt;0),CHOOSE(MATCH($D286,ListaPuestos,0),INDEX('Cronograma R. Operacional'!$O$5:$O$1000,$AM286),INDEX('Cronograma R. Normativo'!$O$5:$O$1000,$AM286),INDEX('Cronograma R. Financiero'!$O$5:$O$1000,$AM286),INDEX('Cronograma Asistente Técnico'!$O$5:$O$1000,$AM286))&amp;"",IF(ISNUMBER($G286),IF(AND(ISNUMBER($AS286),$G286&gt;$AS286),"Cumplida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f>IF(NOT((COUNTA($B286:$D286)+COUNTA($G286:$H286)+COUNTA($Q286))&gt;0),"",IF($D286="","Propia",IF($V286&lt;&gt;"Macro","Solo se delegan macroactividades",IF(N($AM286)&gt;0,"✔ Recibida por "&amp;$D286,"⚠ "&amp;$D286&amp;" aún no la agrega"))))</f>
        <v/>
      </c>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f>IF(NOT(AND($D286&lt;&gt;"",$V286="Macro")),"",IFERROR(CHOOSE(MATCH($D286,ListaPuestos,0),MATCH("[Jefatura] "&amp;$C286,'Cronograma R. Operacional'!$C$5:$C$1000,0),MATCH("[Jefatura] "&amp;$C286,'Cronograma R. Normativo'!$C$5:$C$1000,0),MATCH("[Jefatura] "&amp;$C286,'Cronograma R. Financiero'!$C$5:$C$1000,0),MATCH("[Jefatura] "&amp;$C286,'Cronograma Asistente Técnico'!$C$5:$C$1000,0)),0))</f>
        <v/>
      </c>
      <c r="AN286" s="62">
        <f>IF(AND(AND($D286&lt;&gt;"",$V286="Macro"),$S286=MesCiclo),COUNTIFS($D$5:$D286,$D286,$S$5:$S286,MesCiclo,$V$5:$V286,"Macro"),"")</f>
        <v/>
      </c>
      <c r="AO286" s="62">
        <f>IF($AN286="","",$D286&amp;"|"&amp;$AN286)</f>
        <v/>
      </c>
      <c r="AP286" s="62">
        <f>IF(AND($D286&lt;&gt;"",$V286="Macro"),$D286&amp;"|"&amp;$C286,"")</f>
        <v/>
      </c>
      <c r="AQ286" s="62">
        <f>""</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t="n"/>
      <c r="F287" s="59" t="n"/>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IF(NOT((COUNTA($B287:$D287)+COUNTA($G287:$H287)+COUNTA($Q287))&gt;0),"",IF(AND($D287&lt;&gt;"",$V287="Macro"),IF(N($AM287)&gt;0,N(CHOOSE(MATCH($D287,ListaPuestos,0),INDEX('Cronograma R. Operacional'!$M$5:$M$1000,$AM287),INDEX('Cronograma R. Normativo'!$M$5:$M$1000,$AM287),INDEX('Cronograma R. Financiero'!$M$5:$M$1000,$AM287),INDEX('Cronograma Asistente Técnico'!$M$5:$M$1000,$AM287))),0),IF(ISNUMBER($G287),1,IF(N($W287)&gt;0,MIN(1,SUMIFS($Y$5:$Y$1000,$U$5:$U$1000,ROW(),$V$5:$V$1000,"Sub")),$Y287))))</f>
        <v/>
      </c>
      <c r="N287" s="56">
        <f>IF(OR($M287="",$V287="Sub"),"",IF($M287&gt;=1,"Completado",IF($M287&gt;0,"En curso","Pendiente")))</f>
        <v/>
      </c>
      <c r="O287" s="56">
        <f>IF(NOT((COUNTA($B287:$D287)+COUNTA($G287:$H287)+COUNTA($Q287))&gt;0),"",IF(AND(AND($D287&lt;&gt;"",$V287="Macro"),N($AM287)&gt;0),CHOOSE(MATCH($D287,ListaPuestos,0),INDEX('Cronograma R. Operacional'!$O$5:$O$1000,$AM287),INDEX('Cronograma R. Normativo'!$O$5:$O$1000,$AM287),INDEX('Cronograma R. Financiero'!$O$5:$O$1000,$AM287),INDEX('Cronograma Asistente Técnico'!$O$5:$O$1000,$AM287))&amp;"",IF(ISNUMBER($G287),IF(AND(ISNUMBER($AS287),$G287&gt;$AS287),"Cumplida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f>IF(NOT((COUNTA($B287:$D287)+COUNTA($G287:$H287)+COUNTA($Q287))&gt;0),"",IF($D287="","Propia",IF($V287&lt;&gt;"Macro","Solo se delegan macroactividades",IF(N($AM287)&gt;0,"✔ Recibida por "&amp;$D287,"⚠ "&amp;$D287&amp;" aún no la agrega"))))</f>
        <v/>
      </c>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f>IF(NOT(AND($D287&lt;&gt;"",$V287="Macro")),"",IFERROR(CHOOSE(MATCH($D287,ListaPuestos,0),MATCH("[Jefatura] "&amp;$C287,'Cronograma R. Operacional'!$C$5:$C$1000,0),MATCH("[Jefatura] "&amp;$C287,'Cronograma R. Normativo'!$C$5:$C$1000,0),MATCH("[Jefatura] "&amp;$C287,'Cronograma R. Financiero'!$C$5:$C$1000,0),MATCH("[Jefatura] "&amp;$C287,'Cronograma Asistente Técnico'!$C$5:$C$1000,0)),0))</f>
        <v/>
      </c>
      <c r="AN287" s="62">
        <f>IF(AND(AND($D287&lt;&gt;"",$V287="Macro"),$S287=MesCiclo),COUNTIFS($D$5:$D287,$D287,$S$5:$S287,MesCiclo,$V$5:$V287,"Macro"),"")</f>
        <v/>
      </c>
      <c r="AO287" s="62">
        <f>IF($AN287="","",$D287&amp;"|"&amp;$AN287)</f>
        <v/>
      </c>
      <c r="AP287" s="62">
        <f>IF(AND($D287&lt;&gt;"",$V287="Macro"),$D287&amp;"|"&amp;$C287,"")</f>
        <v/>
      </c>
      <c r="AQ287" s="62">
        <f>""</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t="n"/>
      <c r="F288" s="59" t="n"/>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IF(NOT((COUNTA($B288:$D288)+COUNTA($G288:$H288)+COUNTA($Q288))&gt;0),"",IF(AND($D288&lt;&gt;"",$V288="Macro"),IF(N($AM288)&gt;0,N(CHOOSE(MATCH($D288,ListaPuestos,0),INDEX('Cronograma R. Operacional'!$M$5:$M$1000,$AM288),INDEX('Cronograma R. Normativo'!$M$5:$M$1000,$AM288),INDEX('Cronograma R. Financiero'!$M$5:$M$1000,$AM288),INDEX('Cronograma Asistente Técnico'!$M$5:$M$1000,$AM288))),0),IF(ISNUMBER($G288),1,IF(N($W288)&gt;0,MIN(1,SUMIFS($Y$5:$Y$1000,$U$5:$U$1000,ROW(),$V$5:$V$1000,"Sub")),$Y288))))</f>
        <v/>
      </c>
      <c r="N288" s="56">
        <f>IF(OR($M288="",$V288="Sub"),"",IF($M288&gt;=1,"Completado",IF($M288&gt;0,"En curso","Pendiente")))</f>
        <v/>
      </c>
      <c r="O288" s="56">
        <f>IF(NOT((COUNTA($B288:$D288)+COUNTA($G288:$H288)+COUNTA($Q288))&gt;0),"",IF(AND(AND($D288&lt;&gt;"",$V288="Macro"),N($AM288)&gt;0),CHOOSE(MATCH($D288,ListaPuestos,0),INDEX('Cronograma R. Operacional'!$O$5:$O$1000,$AM288),INDEX('Cronograma R. Normativo'!$O$5:$O$1000,$AM288),INDEX('Cronograma R. Financiero'!$O$5:$O$1000,$AM288),INDEX('Cronograma Asistente Técnico'!$O$5:$O$1000,$AM288))&amp;"",IF(ISNUMBER($G288),IF(AND(ISNUMBER($AS288),$G288&gt;$AS288),"Cumplida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f>IF(NOT((COUNTA($B288:$D288)+COUNTA($G288:$H288)+COUNTA($Q288))&gt;0),"",IF($D288="","Propia",IF($V288&lt;&gt;"Macro","Solo se delegan macroactividades",IF(N($AM288)&gt;0,"✔ Recibida por "&amp;$D288,"⚠ "&amp;$D288&amp;" aún no la agrega"))))</f>
        <v/>
      </c>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f>IF(NOT(AND($D288&lt;&gt;"",$V288="Macro")),"",IFERROR(CHOOSE(MATCH($D288,ListaPuestos,0),MATCH("[Jefatura] "&amp;$C288,'Cronograma R. Operacional'!$C$5:$C$1000,0),MATCH("[Jefatura] "&amp;$C288,'Cronograma R. Normativo'!$C$5:$C$1000,0),MATCH("[Jefatura] "&amp;$C288,'Cronograma R. Financiero'!$C$5:$C$1000,0),MATCH("[Jefatura] "&amp;$C288,'Cronograma Asistente Técnico'!$C$5:$C$1000,0)),0))</f>
        <v/>
      </c>
      <c r="AN288" s="62">
        <f>IF(AND(AND($D288&lt;&gt;"",$V288="Macro"),$S288=MesCiclo),COUNTIFS($D$5:$D288,$D288,$S$5:$S288,MesCiclo,$V$5:$V288,"Macro"),"")</f>
        <v/>
      </c>
      <c r="AO288" s="62">
        <f>IF($AN288="","",$D288&amp;"|"&amp;$AN288)</f>
        <v/>
      </c>
      <c r="AP288" s="62">
        <f>IF(AND($D288&lt;&gt;"",$V288="Macro"),$D288&amp;"|"&amp;$C288,"")</f>
        <v/>
      </c>
      <c r="AQ288" s="62">
        <f>""</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t="n"/>
      <c r="F289" s="59" t="n"/>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IF(NOT((COUNTA($B289:$D289)+COUNTA($G289:$H289)+COUNTA($Q289))&gt;0),"",IF(AND($D289&lt;&gt;"",$V289="Macro"),IF(N($AM289)&gt;0,N(CHOOSE(MATCH($D289,ListaPuestos,0),INDEX('Cronograma R. Operacional'!$M$5:$M$1000,$AM289),INDEX('Cronograma R. Normativo'!$M$5:$M$1000,$AM289),INDEX('Cronograma R. Financiero'!$M$5:$M$1000,$AM289),INDEX('Cronograma Asistente Técnico'!$M$5:$M$1000,$AM289))),0),IF(ISNUMBER($G289),1,IF(N($W289)&gt;0,MIN(1,SUMIFS($Y$5:$Y$1000,$U$5:$U$1000,ROW(),$V$5:$V$1000,"Sub")),$Y289))))</f>
        <v/>
      </c>
      <c r="N289" s="56">
        <f>IF(OR($M289="",$V289="Sub"),"",IF($M289&gt;=1,"Completado",IF($M289&gt;0,"En curso","Pendiente")))</f>
        <v/>
      </c>
      <c r="O289" s="56">
        <f>IF(NOT((COUNTA($B289:$D289)+COUNTA($G289:$H289)+COUNTA($Q289))&gt;0),"",IF(AND(AND($D289&lt;&gt;"",$V289="Macro"),N($AM289)&gt;0),CHOOSE(MATCH($D289,ListaPuestos,0),INDEX('Cronograma R. Operacional'!$O$5:$O$1000,$AM289),INDEX('Cronograma R. Normativo'!$O$5:$O$1000,$AM289),INDEX('Cronograma R. Financiero'!$O$5:$O$1000,$AM289),INDEX('Cronograma Asistente Técnico'!$O$5:$O$1000,$AM289))&amp;"",IF(ISNUMBER($G289),IF(AND(ISNUMBER($AS289),$G289&gt;$AS289),"Cumplida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f>IF(NOT((COUNTA($B289:$D289)+COUNTA($G289:$H289)+COUNTA($Q289))&gt;0),"",IF($D289="","Propia",IF($V289&lt;&gt;"Macro","Solo se delegan macroactividades",IF(N($AM289)&gt;0,"✔ Recibida por "&amp;$D289,"⚠ "&amp;$D289&amp;" aún no la agrega"))))</f>
        <v/>
      </c>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f>IF(NOT(AND($D289&lt;&gt;"",$V289="Macro")),"",IFERROR(CHOOSE(MATCH($D289,ListaPuestos,0),MATCH("[Jefatura] "&amp;$C289,'Cronograma R. Operacional'!$C$5:$C$1000,0),MATCH("[Jefatura] "&amp;$C289,'Cronograma R. Normativo'!$C$5:$C$1000,0),MATCH("[Jefatura] "&amp;$C289,'Cronograma R. Financiero'!$C$5:$C$1000,0),MATCH("[Jefatura] "&amp;$C289,'Cronograma Asistente Técnico'!$C$5:$C$1000,0)),0))</f>
        <v/>
      </c>
      <c r="AN289" s="62">
        <f>IF(AND(AND($D289&lt;&gt;"",$V289="Macro"),$S289=MesCiclo),COUNTIFS($D$5:$D289,$D289,$S$5:$S289,MesCiclo,$V$5:$V289,"Macro"),"")</f>
        <v/>
      </c>
      <c r="AO289" s="62">
        <f>IF($AN289="","",$D289&amp;"|"&amp;$AN289)</f>
        <v/>
      </c>
      <c r="AP289" s="62">
        <f>IF(AND($D289&lt;&gt;"",$V289="Macro"),$D289&amp;"|"&amp;$C289,"")</f>
        <v/>
      </c>
      <c r="AQ289" s="62">
        <f>""</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t="n"/>
      <c r="F290" s="59" t="n"/>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IF(NOT((COUNTA($B290:$D290)+COUNTA($G290:$H290)+COUNTA($Q290))&gt;0),"",IF(AND($D290&lt;&gt;"",$V290="Macro"),IF(N($AM290)&gt;0,N(CHOOSE(MATCH($D290,ListaPuestos,0),INDEX('Cronograma R. Operacional'!$M$5:$M$1000,$AM290),INDEX('Cronograma R. Normativo'!$M$5:$M$1000,$AM290),INDEX('Cronograma R. Financiero'!$M$5:$M$1000,$AM290),INDEX('Cronograma Asistente Técnico'!$M$5:$M$1000,$AM290))),0),IF(ISNUMBER($G290),1,IF(N($W290)&gt;0,MIN(1,SUMIFS($Y$5:$Y$1000,$U$5:$U$1000,ROW(),$V$5:$V$1000,"Sub")),$Y290))))</f>
        <v/>
      </c>
      <c r="N290" s="56">
        <f>IF(OR($M290="",$V290="Sub"),"",IF($M290&gt;=1,"Completado",IF($M290&gt;0,"En curso","Pendiente")))</f>
        <v/>
      </c>
      <c r="O290" s="56">
        <f>IF(NOT((COUNTA($B290:$D290)+COUNTA($G290:$H290)+COUNTA($Q290))&gt;0),"",IF(AND(AND($D290&lt;&gt;"",$V290="Macro"),N($AM290)&gt;0),CHOOSE(MATCH($D290,ListaPuestos,0),INDEX('Cronograma R. Operacional'!$O$5:$O$1000,$AM290),INDEX('Cronograma R. Normativo'!$O$5:$O$1000,$AM290),INDEX('Cronograma R. Financiero'!$O$5:$O$1000,$AM290),INDEX('Cronograma Asistente Técnico'!$O$5:$O$1000,$AM290))&amp;"",IF(ISNUMBER($G290),IF(AND(ISNUMBER($AS290),$G290&gt;$AS290),"Cumplida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f>IF(NOT((COUNTA($B290:$D290)+COUNTA($G290:$H290)+COUNTA($Q290))&gt;0),"",IF($D290="","Propia",IF($V290&lt;&gt;"Macro","Solo se delegan macroactividades",IF(N($AM290)&gt;0,"✔ Recibida por "&amp;$D290,"⚠ "&amp;$D290&amp;" aún no la agrega"))))</f>
        <v/>
      </c>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f>IF(NOT(AND($D290&lt;&gt;"",$V290="Macro")),"",IFERROR(CHOOSE(MATCH($D290,ListaPuestos,0),MATCH("[Jefatura] "&amp;$C290,'Cronograma R. Operacional'!$C$5:$C$1000,0),MATCH("[Jefatura] "&amp;$C290,'Cronograma R. Normativo'!$C$5:$C$1000,0),MATCH("[Jefatura] "&amp;$C290,'Cronograma R. Financiero'!$C$5:$C$1000,0),MATCH("[Jefatura] "&amp;$C290,'Cronograma Asistente Técnico'!$C$5:$C$1000,0)),0))</f>
        <v/>
      </c>
      <c r="AN290" s="62">
        <f>IF(AND(AND($D290&lt;&gt;"",$V290="Macro"),$S290=MesCiclo),COUNTIFS($D$5:$D290,$D290,$S$5:$S290,MesCiclo,$V$5:$V290,"Macro"),"")</f>
        <v/>
      </c>
      <c r="AO290" s="62">
        <f>IF($AN290="","",$D290&amp;"|"&amp;$AN290)</f>
        <v/>
      </c>
      <c r="AP290" s="62">
        <f>IF(AND($D290&lt;&gt;"",$V290="Macro"),$D290&amp;"|"&amp;$C290,"")</f>
        <v/>
      </c>
      <c r="AQ290" s="62">
        <f>""</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t="n"/>
      <c r="F291" s="59" t="n"/>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IF(NOT((COUNTA($B291:$D291)+COUNTA($G291:$H291)+COUNTA($Q291))&gt;0),"",IF(AND($D291&lt;&gt;"",$V291="Macro"),IF(N($AM291)&gt;0,N(CHOOSE(MATCH($D291,ListaPuestos,0),INDEX('Cronograma R. Operacional'!$M$5:$M$1000,$AM291),INDEX('Cronograma R. Normativo'!$M$5:$M$1000,$AM291),INDEX('Cronograma R. Financiero'!$M$5:$M$1000,$AM291),INDEX('Cronograma Asistente Técnico'!$M$5:$M$1000,$AM291))),0),IF(ISNUMBER($G291),1,IF(N($W291)&gt;0,MIN(1,SUMIFS($Y$5:$Y$1000,$U$5:$U$1000,ROW(),$V$5:$V$1000,"Sub")),$Y291))))</f>
        <v/>
      </c>
      <c r="N291" s="56">
        <f>IF(OR($M291="",$V291="Sub"),"",IF($M291&gt;=1,"Completado",IF($M291&gt;0,"En curso","Pendiente")))</f>
        <v/>
      </c>
      <c r="O291" s="56">
        <f>IF(NOT((COUNTA($B291:$D291)+COUNTA($G291:$H291)+COUNTA($Q291))&gt;0),"",IF(AND(AND($D291&lt;&gt;"",$V291="Macro"),N($AM291)&gt;0),CHOOSE(MATCH($D291,ListaPuestos,0),INDEX('Cronograma R. Operacional'!$O$5:$O$1000,$AM291),INDEX('Cronograma R. Normativo'!$O$5:$O$1000,$AM291),INDEX('Cronograma R. Financiero'!$O$5:$O$1000,$AM291),INDEX('Cronograma Asistente Técnico'!$O$5:$O$1000,$AM291))&amp;"",IF(ISNUMBER($G291),IF(AND(ISNUMBER($AS291),$G291&gt;$AS291),"Cumplida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f>IF(NOT((COUNTA($B291:$D291)+COUNTA($G291:$H291)+COUNTA($Q291))&gt;0),"",IF($D291="","Propia",IF($V291&lt;&gt;"Macro","Solo se delegan macroactividades",IF(N($AM291)&gt;0,"✔ Recibida por "&amp;$D291,"⚠ "&amp;$D291&amp;" aún no la agrega"))))</f>
        <v/>
      </c>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f>IF(NOT(AND($D291&lt;&gt;"",$V291="Macro")),"",IFERROR(CHOOSE(MATCH($D291,ListaPuestos,0),MATCH("[Jefatura] "&amp;$C291,'Cronograma R. Operacional'!$C$5:$C$1000,0),MATCH("[Jefatura] "&amp;$C291,'Cronograma R. Normativo'!$C$5:$C$1000,0),MATCH("[Jefatura] "&amp;$C291,'Cronograma R. Financiero'!$C$5:$C$1000,0),MATCH("[Jefatura] "&amp;$C291,'Cronograma Asistente Técnico'!$C$5:$C$1000,0)),0))</f>
        <v/>
      </c>
      <c r="AN291" s="62">
        <f>IF(AND(AND($D291&lt;&gt;"",$V291="Macro"),$S291=MesCiclo),COUNTIFS($D$5:$D291,$D291,$S$5:$S291,MesCiclo,$V$5:$V291,"Macro"),"")</f>
        <v/>
      </c>
      <c r="AO291" s="62">
        <f>IF($AN291="","",$D291&amp;"|"&amp;$AN291)</f>
        <v/>
      </c>
      <c r="AP291" s="62">
        <f>IF(AND($D291&lt;&gt;"",$V291="Macro"),$D291&amp;"|"&amp;$C291,"")</f>
        <v/>
      </c>
      <c r="AQ291" s="62">
        <f>""</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t="n"/>
      <c r="F292" s="59" t="n"/>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IF(NOT((COUNTA($B292:$D292)+COUNTA($G292:$H292)+COUNTA($Q292))&gt;0),"",IF(AND($D292&lt;&gt;"",$V292="Macro"),IF(N($AM292)&gt;0,N(CHOOSE(MATCH($D292,ListaPuestos,0),INDEX('Cronograma R. Operacional'!$M$5:$M$1000,$AM292),INDEX('Cronograma R. Normativo'!$M$5:$M$1000,$AM292),INDEX('Cronograma R. Financiero'!$M$5:$M$1000,$AM292),INDEX('Cronograma Asistente Técnico'!$M$5:$M$1000,$AM292))),0),IF(ISNUMBER($G292),1,IF(N($W292)&gt;0,MIN(1,SUMIFS($Y$5:$Y$1000,$U$5:$U$1000,ROW(),$V$5:$V$1000,"Sub")),$Y292))))</f>
        <v/>
      </c>
      <c r="N292" s="56">
        <f>IF(OR($M292="",$V292="Sub"),"",IF($M292&gt;=1,"Completado",IF($M292&gt;0,"En curso","Pendiente")))</f>
        <v/>
      </c>
      <c r="O292" s="56">
        <f>IF(NOT((COUNTA($B292:$D292)+COUNTA($G292:$H292)+COUNTA($Q292))&gt;0),"",IF(AND(AND($D292&lt;&gt;"",$V292="Macro"),N($AM292)&gt;0),CHOOSE(MATCH($D292,ListaPuestos,0),INDEX('Cronograma R. Operacional'!$O$5:$O$1000,$AM292),INDEX('Cronograma R. Normativo'!$O$5:$O$1000,$AM292),INDEX('Cronograma R. Financiero'!$O$5:$O$1000,$AM292),INDEX('Cronograma Asistente Técnico'!$O$5:$O$1000,$AM292))&amp;"",IF(ISNUMBER($G292),IF(AND(ISNUMBER($AS292),$G292&gt;$AS292),"Cumplida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f>IF(NOT((COUNTA($B292:$D292)+COUNTA($G292:$H292)+COUNTA($Q292))&gt;0),"",IF($D292="","Propia",IF($V292&lt;&gt;"Macro","Solo se delegan macroactividades",IF(N($AM292)&gt;0,"✔ Recibida por "&amp;$D292,"⚠ "&amp;$D292&amp;" aún no la agrega"))))</f>
        <v/>
      </c>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f>IF(NOT(AND($D292&lt;&gt;"",$V292="Macro")),"",IFERROR(CHOOSE(MATCH($D292,ListaPuestos,0),MATCH("[Jefatura] "&amp;$C292,'Cronograma R. Operacional'!$C$5:$C$1000,0),MATCH("[Jefatura] "&amp;$C292,'Cronograma R. Normativo'!$C$5:$C$1000,0),MATCH("[Jefatura] "&amp;$C292,'Cronograma R. Financiero'!$C$5:$C$1000,0),MATCH("[Jefatura] "&amp;$C292,'Cronograma Asistente Técnico'!$C$5:$C$1000,0)),0))</f>
        <v/>
      </c>
      <c r="AN292" s="62">
        <f>IF(AND(AND($D292&lt;&gt;"",$V292="Macro"),$S292=MesCiclo),COUNTIFS($D$5:$D292,$D292,$S$5:$S292,MesCiclo,$V$5:$V292,"Macro"),"")</f>
        <v/>
      </c>
      <c r="AO292" s="62">
        <f>IF($AN292="","",$D292&amp;"|"&amp;$AN292)</f>
        <v/>
      </c>
      <c r="AP292" s="62">
        <f>IF(AND($D292&lt;&gt;"",$V292="Macro"),$D292&amp;"|"&amp;$C292,"")</f>
        <v/>
      </c>
      <c r="AQ292" s="62">
        <f>""</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t="n"/>
      <c r="F293" s="59" t="n"/>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IF(NOT((COUNTA($B293:$D293)+COUNTA($G293:$H293)+COUNTA($Q293))&gt;0),"",IF(AND($D293&lt;&gt;"",$V293="Macro"),IF(N($AM293)&gt;0,N(CHOOSE(MATCH($D293,ListaPuestos,0),INDEX('Cronograma R. Operacional'!$M$5:$M$1000,$AM293),INDEX('Cronograma R. Normativo'!$M$5:$M$1000,$AM293),INDEX('Cronograma R. Financiero'!$M$5:$M$1000,$AM293),INDEX('Cronograma Asistente Técnico'!$M$5:$M$1000,$AM293))),0),IF(ISNUMBER($G293),1,IF(N($W293)&gt;0,MIN(1,SUMIFS($Y$5:$Y$1000,$U$5:$U$1000,ROW(),$V$5:$V$1000,"Sub")),$Y293))))</f>
        <v/>
      </c>
      <c r="N293" s="56">
        <f>IF(OR($M293="",$V293="Sub"),"",IF($M293&gt;=1,"Completado",IF($M293&gt;0,"En curso","Pendiente")))</f>
        <v/>
      </c>
      <c r="O293" s="56">
        <f>IF(NOT((COUNTA($B293:$D293)+COUNTA($G293:$H293)+COUNTA($Q293))&gt;0),"",IF(AND(AND($D293&lt;&gt;"",$V293="Macro"),N($AM293)&gt;0),CHOOSE(MATCH($D293,ListaPuestos,0),INDEX('Cronograma R. Operacional'!$O$5:$O$1000,$AM293),INDEX('Cronograma R. Normativo'!$O$5:$O$1000,$AM293),INDEX('Cronograma R. Financiero'!$O$5:$O$1000,$AM293),INDEX('Cronograma Asistente Técnico'!$O$5:$O$1000,$AM293))&amp;"",IF(ISNUMBER($G293),IF(AND(ISNUMBER($AS293),$G293&gt;$AS293),"Cumplida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f>IF(NOT((COUNTA($B293:$D293)+COUNTA($G293:$H293)+COUNTA($Q293))&gt;0),"",IF($D293="","Propia",IF($V293&lt;&gt;"Macro","Solo se delegan macroactividades",IF(N($AM293)&gt;0,"✔ Recibida por "&amp;$D293,"⚠ "&amp;$D293&amp;" aún no la agrega"))))</f>
        <v/>
      </c>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f>IF(NOT(AND($D293&lt;&gt;"",$V293="Macro")),"",IFERROR(CHOOSE(MATCH($D293,ListaPuestos,0),MATCH("[Jefatura] "&amp;$C293,'Cronograma R. Operacional'!$C$5:$C$1000,0),MATCH("[Jefatura] "&amp;$C293,'Cronograma R. Normativo'!$C$5:$C$1000,0),MATCH("[Jefatura] "&amp;$C293,'Cronograma R. Financiero'!$C$5:$C$1000,0),MATCH("[Jefatura] "&amp;$C293,'Cronograma Asistente Técnico'!$C$5:$C$1000,0)),0))</f>
        <v/>
      </c>
      <c r="AN293" s="62">
        <f>IF(AND(AND($D293&lt;&gt;"",$V293="Macro"),$S293=MesCiclo),COUNTIFS($D$5:$D293,$D293,$S$5:$S293,MesCiclo,$V$5:$V293,"Macro"),"")</f>
        <v/>
      </c>
      <c r="AO293" s="62">
        <f>IF($AN293="","",$D293&amp;"|"&amp;$AN293)</f>
        <v/>
      </c>
      <c r="AP293" s="62">
        <f>IF(AND($D293&lt;&gt;"",$V293="Macro"),$D293&amp;"|"&amp;$C293,"")</f>
        <v/>
      </c>
      <c r="AQ293" s="62">
        <f>""</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t="n"/>
      <c r="F294" s="59" t="n"/>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IF(NOT((COUNTA($B294:$D294)+COUNTA($G294:$H294)+COUNTA($Q294))&gt;0),"",IF(AND($D294&lt;&gt;"",$V294="Macro"),IF(N($AM294)&gt;0,N(CHOOSE(MATCH($D294,ListaPuestos,0),INDEX('Cronograma R. Operacional'!$M$5:$M$1000,$AM294),INDEX('Cronograma R. Normativo'!$M$5:$M$1000,$AM294),INDEX('Cronograma R. Financiero'!$M$5:$M$1000,$AM294),INDEX('Cronograma Asistente Técnico'!$M$5:$M$1000,$AM294))),0),IF(ISNUMBER($G294),1,IF(N($W294)&gt;0,MIN(1,SUMIFS($Y$5:$Y$1000,$U$5:$U$1000,ROW(),$V$5:$V$1000,"Sub")),$Y294))))</f>
        <v/>
      </c>
      <c r="N294" s="56">
        <f>IF(OR($M294="",$V294="Sub"),"",IF($M294&gt;=1,"Completado",IF($M294&gt;0,"En curso","Pendiente")))</f>
        <v/>
      </c>
      <c r="O294" s="56">
        <f>IF(NOT((COUNTA($B294:$D294)+COUNTA($G294:$H294)+COUNTA($Q294))&gt;0),"",IF(AND(AND($D294&lt;&gt;"",$V294="Macro"),N($AM294)&gt;0),CHOOSE(MATCH($D294,ListaPuestos,0),INDEX('Cronograma R. Operacional'!$O$5:$O$1000,$AM294),INDEX('Cronograma R. Normativo'!$O$5:$O$1000,$AM294),INDEX('Cronograma R. Financiero'!$O$5:$O$1000,$AM294),INDEX('Cronograma Asistente Técnico'!$O$5:$O$1000,$AM294))&amp;"",IF(ISNUMBER($G294),IF(AND(ISNUMBER($AS294),$G294&gt;$AS294),"Cumplida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f>IF(NOT((COUNTA($B294:$D294)+COUNTA($G294:$H294)+COUNTA($Q294))&gt;0),"",IF($D294="","Propia",IF($V294&lt;&gt;"Macro","Solo se delegan macroactividades",IF(N($AM294)&gt;0,"✔ Recibida por "&amp;$D294,"⚠ "&amp;$D294&amp;" aún no la agrega"))))</f>
        <v/>
      </c>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f>IF(NOT(AND($D294&lt;&gt;"",$V294="Macro")),"",IFERROR(CHOOSE(MATCH($D294,ListaPuestos,0),MATCH("[Jefatura] "&amp;$C294,'Cronograma R. Operacional'!$C$5:$C$1000,0),MATCH("[Jefatura] "&amp;$C294,'Cronograma R. Normativo'!$C$5:$C$1000,0),MATCH("[Jefatura] "&amp;$C294,'Cronograma R. Financiero'!$C$5:$C$1000,0),MATCH("[Jefatura] "&amp;$C294,'Cronograma Asistente Técnico'!$C$5:$C$1000,0)),0))</f>
        <v/>
      </c>
      <c r="AN294" s="62">
        <f>IF(AND(AND($D294&lt;&gt;"",$V294="Macro"),$S294=MesCiclo),COUNTIFS($D$5:$D294,$D294,$S$5:$S294,MesCiclo,$V$5:$V294,"Macro"),"")</f>
        <v/>
      </c>
      <c r="AO294" s="62">
        <f>IF($AN294="","",$D294&amp;"|"&amp;$AN294)</f>
        <v/>
      </c>
      <c r="AP294" s="62">
        <f>IF(AND($D294&lt;&gt;"",$V294="Macro"),$D294&amp;"|"&amp;$C294,"")</f>
        <v/>
      </c>
      <c r="AQ294" s="62">
        <f>""</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t="n"/>
      <c r="F295" s="59" t="n"/>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IF(NOT((COUNTA($B295:$D295)+COUNTA($G295:$H295)+COUNTA($Q295))&gt;0),"",IF(AND($D295&lt;&gt;"",$V295="Macro"),IF(N($AM295)&gt;0,N(CHOOSE(MATCH($D295,ListaPuestos,0),INDEX('Cronograma R. Operacional'!$M$5:$M$1000,$AM295),INDEX('Cronograma R. Normativo'!$M$5:$M$1000,$AM295),INDEX('Cronograma R. Financiero'!$M$5:$M$1000,$AM295),INDEX('Cronograma Asistente Técnico'!$M$5:$M$1000,$AM295))),0),IF(ISNUMBER($G295),1,IF(N($W295)&gt;0,MIN(1,SUMIFS($Y$5:$Y$1000,$U$5:$U$1000,ROW(),$V$5:$V$1000,"Sub")),$Y295))))</f>
        <v/>
      </c>
      <c r="N295" s="56">
        <f>IF(OR($M295="",$V295="Sub"),"",IF($M295&gt;=1,"Completado",IF($M295&gt;0,"En curso","Pendiente")))</f>
        <v/>
      </c>
      <c r="O295" s="56">
        <f>IF(NOT((COUNTA($B295:$D295)+COUNTA($G295:$H295)+COUNTA($Q295))&gt;0),"",IF(AND(AND($D295&lt;&gt;"",$V295="Macro"),N($AM295)&gt;0),CHOOSE(MATCH($D295,ListaPuestos,0),INDEX('Cronograma R. Operacional'!$O$5:$O$1000,$AM295),INDEX('Cronograma R. Normativo'!$O$5:$O$1000,$AM295),INDEX('Cronograma R. Financiero'!$O$5:$O$1000,$AM295),INDEX('Cronograma Asistente Técnico'!$O$5:$O$1000,$AM295))&amp;"",IF(ISNUMBER($G295),IF(AND(ISNUMBER($AS295),$G295&gt;$AS295),"Cumplida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f>IF(NOT((COUNTA($B295:$D295)+COUNTA($G295:$H295)+COUNTA($Q295))&gt;0),"",IF($D295="","Propia",IF($V295&lt;&gt;"Macro","Solo se delegan macroactividades",IF(N($AM295)&gt;0,"✔ Recibida por "&amp;$D295,"⚠ "&amp;$D295&amp;" aún no la agrega"))))</f>
        <v/>
      </c>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f>IF(NOT(AND($D295&lt;&gt;"",$V295="Macro")),"",IFERROR(CHOOSE(MATCH($D295,ListaPuestos,0),MATCH("[Jefatura] "&amp;$C295,'Cronograma R. Operacional'!$C$5:$C$1000,0),MATCH("[Jefatura] "&amp;$C295,'Cronograma R. Normativo'!$C$5:$C$1000,0),MATCH("[Jefatura] "&amp;$C295,'Cronograma R. Financiero'!$C$5:$C$1000,0),MATCH("[Jefatura] "&amp;$C295,'Cronograma Asistente Técnico'!$C$5:$C$1000,0)),0))</f>
        <v/>
      </c>
      <c r="AN295" s="62">
        <f>IF(AND(AND($D295&lt;&gt;"",$V295="Macro"),$S295=MesCiclo),COUNTIFS($D$5:$D295,$D295,$S$5:$S295,MesCiclo,$V$5:$V295,"Macro"),"")</f>
        <v/>
      </c>
      <c r="AO295" s="62">
        <f>IF($AN295="","",$D295&amp;"|"&amp;$AN295)</f>
        <v/>
      </c>
      <c r="AP295" s="62">
        <f>IF(AND($D295&lt;&gt;"",$V295="Macro"),$D295&amp;"|"&amp;$C295,"")</f>
        <v/>
      </c>
      <c r="AQ295" s="62">
        <f>""</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t="n"/>
      <c r="F296" s="59" t="n"/>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IF(NOT((COUNTA($B296:$D296)+COUNTA($G296:$H296)+COUNTA($Q296))&gt;0),"",IF(AND($D296&lt;&gt;"",$V296="Macro"),IF(N($AM296)&gt;0,N(CHOOSE(MATCH($D296,ListaPuestos,0),INDEX('Cronograma R. Operacional'!$M$5:$M$1000,$AM296),INDEX('Cronograma R. Normativo'!$M$5:$M$1000,$AM296),INDEX('Cronograma R. Financiero'!$M$5:$M$1000,$AM296),INDEX('Cronograma Asistente Técnico'!$M$5:$M$1000,$AM296))),0),IF(ISNUMBER($G296),1,IF(N($W296)&gt;0,MIN(1,SUMIFS($Y$5:$Y$1000,$U$5:$U$1000,ROW(),$V$5:$V$1000,"Sub")),$Y296))))</f>
        <v/>
      </c>
      <c r="N296" s="56">
        <f>IF(OR($M296="",$V296="Sub"),"",IF($M296&gt;=1,"Completado",IF($M296&gt;0,"En curso","Pendiente")))</f>
        <v/>
      </c>
      <c r="O296" s="56">
        <f>IF(NOT((COUNTA($B296:$D296)+COUNTA($G296:$H296)+COUNTA($Q296))&gt;0),"",IF(AND(AND($D296&lt;&gt;"",$V296="Macro"),N($AM296)&gt;0),CHOOSE(MATCH($D296,ListaPuestos,0),INDEX('Cronograma R. Operacional'!$O$5:$O$1000,$AM296),INDEX('Cronograma R. Normativo'!$O$5:$O$1000,$AM296),INDEX('Cronograma R. Financiero'!$O$5:$O$1000,$AM296),INDEX('Cronograma Asistente Técnico'!$O$5:$O$1000,$AM296))&amp;"",IF(ISNUMBER($G296),IF(AND(ISNUMBER($AS296),$G296&gt;$AS296),"Cumplida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f>IF(NOT((COUNTA($B296:$D296)+COUNTA($G296:$H296)+COUNTA($Q296))&gt;0),"",IF($D296="","Propia",IF($V296&lt;&gt;"Macro","Solo se delegan macroactividades",IF(N($AM296)&gt;0,"✔ Recibida por "&amp;$D296,"⚠ "&amp;$D296&amp;" aún no la agrega"))))</f>
        <v/>
      </c>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f>IF(NOT(AND($D296&lt;&gt;"",$V296="Macro")),"",IFERROR(CHOOSE(MATCH($D296,ListaPuestos,0),MATCH("[Jefatura] "&amp;$C296,'Cronograma R. Operacional'!$C$5:$C$1000,0),MATCH("[Jefatura] "&amp;$C296,'Cronograma R. Normativo'!$C$5:$C$1000,0),MATCH("[Jefatura] "&amp;$C296,'Cronograma R. Financiero'!$C$5:$C$1000,0),MATCH("[Jefatura] "&amp;$C296,'Cronograma Asistente Técnico'!$C$5:$C$1000,0)),0))</f>
        <v/>
      </c>
      <c r="AN296" s="62">
        <f>IF(AND(AND($D296&lt;&gt;"",$V296="Macro"),$S296=MesCiclo),COUNTIFS($D$5:$D296,$D296,$S$5:$S296,MesCiclo,$V$5:$V296,"Macro"),"")</f>
        <v/>
      </c>
      <c r="AO296" s="62">
        <f>IF($AN296="","",$D296&amp;"|"&amp;$AN296)</f>
        <v/>
      </c>
      <c r="AP296" s="62">
        <f>IF(AND($D296&lt;&gt;"",$V296="Macro"),$D296&amp;"|"&amp;$C296,"")</f>
        <v/>
      </c>
      <c r="AQ296" s="62">
        <f>""</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t="n"/>
      <c r="F297" s="59" t="n"/>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IF(NOT((COUNTA($B297:$D297)+COUNTA($G297:$H297)+COUNTA($Q297))&gt;0),"",IF(AND($D297&lt;&gt;"",$V297="Macro"),IF(N($AM297)&gt;0,N(CHOOSE(MATCH($D297,ListaPuestos,0),INDEX('Cronograma R. Operacional'!$M$5:$M$1000,$AM297),INDEX('Cronograma R. Normativo'!$M$5:$M$1000,$AM297),INDEX('Cronograma R. Financiero'!$M$5:$M$1000,$AM297),INDEX('Cronograma Asistente Técnico'!$M$5:$M$1000,$AM297))),0),IF(ISNUMBER($G297),1,IF(N($W297)&gt;0,MIN(1,SUMIFS($Y$5:$Y$1000,$U$5:$U$1000,ROW(),$V$5:$V$1000,"Sub")),$Y297))))</f>
        <v/>
      </c>
      <c r="N297" s="56">
        <f>IF(OR($M297="",$V297="Sub"),"",IF($M297&gt;=1,"Completado",IF($M297&gt;0,"En curso","Pendiente")))</f>
        <v/>
      </c>
      <c r="O297" s="56">
        <f>IF(NOT((COUNTA($B297:$D297)+COUNTA($G297:$H297)+COUNTA($Q297))&gt;0),"",IF(AND(AND($D297&lt;&gt;"",$V297="Macro"),N($AM297)&gt;0),CHOOSE(MATCH($D297,ListaPuestos,0),INDEX('Cronograma R. Operacional'!$O$5:$O$1000,$AM297),INDEX('Cronograma R. Normativo'!$O$5:$O$1000,$AM297),INDEX('Cronograma R. Financiero'!$O$5:$O$1000,$AM297),INDEX('Cronograma Asistente Técnico'!$O$5:$O$1000,$AM297))&amp;"",IF(ISNUMBER($G297),IF(AND(ISNUMBER($AS297),$G297&gt;$AS297),"Cumplida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f>IF(NOT((COUNTA($B297:$D297)+COUNTA($G297:$H297)+COUNTA($Q297))&gt;0),"",IF($D297="","Propia",IF($V297&lt;&gt;"Macro","Solo se delegan macroactividades",IF(N($AM297)&gt;0,"✔ Recibida por "&amp;$D297,"⚠ "&amp;$D297&amp;" aún no la agrega"))))</f>
        <v/>
      </c>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f>IF(NOT(AND($D297&lt;&gt;"",$V297="Macro")),"",IFERROR(CHOOSE(MATCH($D297,ListaPuestos,0),MATCH("[Jefatura] "&amp;$C297,'Cronograma R. Operacional'!$C$5:$C$1000,0),MATCH("[Jefatura] "&amp;$C297,'Cronograma R. Normativo'!$C$5:$C$1000,0),MATCH("[Jefatura] "&amp;$C297,'Cronograma R. Financiero'!$C$5:$C$1000,0),MATCH("[Jefatura] "&amp;$C297,'Cronograma Asistente Técnico'!$C$5:$C$1000,0)),0))</f>
        <v/>
      </c>
      <c r="AN297" s="62">
        <f>IF(AND(AND($D297&lt;&gt;"",$V297="Macro"),$S297=MesCiclo),COUNTIFS($D$5:$D297,$D297,$S$5:$S297,MesCiclo,$V$5:$V297,"Macro"),"")</f>
        <v/>
      </c>
      <c r="AO297" s="62">
        <f>IF($AN297="","",$D297&amp;"|"&amp;$AN297)</f>
        <v/>
      </c>
      <c r="AP297" s="62">
        <f>IF(AND($D297&lt;&gt;"",$V297="Macro"),$D297&amp;"|"&amp;$C297,"")</f>
        <v/>
      </c>
      <c r="AQ297" s="62">
        <f>""</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t="n"/>
      <c r="F298" s="59" t="n"/>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IF(NOT((COUNTA($B298:$D298)+COUNTA($G298:$H298)+COUNTA($Q298))&gt;0),"",IF(AND($D298&lt;&gt;"",$V298="Macro"),IF(N($AM298)&gt;0,N(CHOOSE(MATCH($D298,ListaPuestos,0),INDEX('Cronograma R. Operacional'!$M$5:$M$1000,$AM298),INDEX('Cronograma R. Normativo'!$M$5:$M$1000,$AM298),INDEX('Cronograma R. Financiero'!$M$5:$M$1000,$AM298),INDEX('Cronograma Asistente Técnico'!$M$5:$M$1000,$AM298))),0),IF(ISNUMBER($G298),1,IF(N($W298)&gt;0,MIN(1,SUMIFS($Y$5:$Y$1000,$U$5:$U$1000,ROW(),$V$5:$V$1000,"Sub")),$Y298))))</f>
        <v/>
      </c>
      <c r="N298" s="56">
        <f>IF(OR($M298="",$V298="Sub"),"",IF($M298&gt;=1,"Completado",IF($M298&gt;0,"En curso","Pendiente")))</f>
        <v/>
      </c>
      <c r="O298" s="56">
        <f>IF(NOT((COUNTA($B298:$D298)+COUNTA($G298:$H298)+COUNTA($Q298))&gt;0),"",IF(AND(AND($D298&lt;&gt;"",$V298="Macro"),N($AM298)&gt;0),CHOOSE(MATCH($D298,ListaPuestos,0),INDEX('Cronograma R. Operacional'!$O$5:$O$1000,$AM298),INDEX('Cronograma R. Normativo'!$O$5:$O$1000,$AM298),INDEX('Cronograma R. Financiero'!$O$5:$O$1000,$AM298),INDEX('Cronograma Asistente Técnico'!$O$5:$O$1000,$AM298))&amp;"",IF(ISNUMBER($G298),IF(AND(ISNUMBER($AS298),$G298&gt;$AS298),"Cumplida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f>IF(NOT((COUNTA($B298:$D298)+COUNTA($G298:$H298)+COUNTA($Q298))&gt;0),"",IF($D298="","Propia",IF($V298&lt;&gt;"Macro","Solo se delegan macroactividades",IF(N($AM298)&gt;0,"✔ Recibida por "&amp;$D298,"⚠ "&amp;$D298&amp;" aún no la agrega"))))</f>
        <v/>
      </c>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f>IF(NOT(AND($D298&lt;&gt;"",$V298="Macro")),"",IFERROR(CHOOSE(MATCH($D298,ListaPuestos,0),MATCH("[Jefatura] "&amp;$C298,'Cronograma R. Operacional'!$C$5:$C$1000,0),MATCH("[Jefatura] "&amp;$C298,'Cronograma R. Normativo'!$C$5:$C$1000,0),MATCH("[Jefatura] "&amp;$C298,'Cronograma R. Financiero'!$C$5:$C$1000,0),MATCH("[Jefatura] "&amp;$C298,'Cronograma Asistente Técnico'!$C$5:$C$1000,0)),0))</f>
        <v/>
      </c>
      <c r="AN298" s="62">
        <f>IF(AND(AND($D298&lt;&gt;"",$V298="Macro"),$S298=MesCiclo),COUNTIFS($D$5:$D298,$D298,$S$5:$S298,MesCiclo,$V$5:$V298,"Macro"),"")</f>
        <v/>
      </c>
      <c r="AO298" s="62">
        <f>IF($AN298="","",$D298&amp;"|"&amp;$AN298)</f>
        <v/>
      </c>
      <c r="AP298" s="62">
        <f>IF(AND($D298&lt;&gt;"",$V298="Macro"),$D298&amp;"|"&amp;$C298,"")</f>
        <v/>
      </c>
      <c r="AQ298" s="62">
        <f>""</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t="n"/>
      <c r="F299" s="59" t="n"/>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IF(NOT((COUNTA($B299:$D299)+COUNTA($G299:$H299)+COUNTA($Q299))&gt;0),"",IF(AND($D299&lt;&gt;"",$V299="Macro"),IF(N($AM299)&gt;0,N(CHOOSE(MATCH($D299,ListaPuestos,0),INDEX('Cronograma R. Operacional'!$M$5:$M$1000,$AM299),INDEX('Cronograma R. Normativo'!$M$5:$M$1000,$AM299),INDEX('Cronograma R. Financiero'!$M$5:$M$1000,$AM299),INDEX('Cronograma Asistente Técnico'!$M$5:$M$1000,$AM299))),0),IF(ISNUMBER($G299),1,IF(N($W299)&gt;0,MIN(1,SUMIFS($Y$5:$Y$1000,$U$5:$U$1000,ROW(),$V$5:$V$1000,"Sub")),$Y299))))</f>
        <v/>
      </c>
      <c r="N299" s="56">
        <f>IF(OR($M299="",$V299="Sub"),"",IF($M299&gt;=1,"Completado",IF($M299&gt;0,"En curso","Pendiente")))</f>
        <v/>
      </c>
      <c r="O299" s="56">
        <f>IF(NOT((COUNTA($B299:$D299)+COUNTA($G299:$H299)+COUNTA($Q299))&gt;0),"",IF(AND(AND($D299&lt;&gt;"",$V299="Macro"),N($AM299)&gt;0),CHOOSE(MATCH($D299,ListaPuestos,0),INDEX('Cronograma R. Operacional'!$O$5:$O$1000,$AM299),INDEX('Cronograma R. Normativo'!$O$5:$O$1000,$AM299),INDEX('Cronograma R. Financiero'!$O$5:$O$1000,$AM299),INDEX('Cronograma Asistente Técnico'!$O$5:$O$1000,$AM299))&amp;"",IF(ISNUMBER($G299),IF(AND(ISNUMBER($AS299),$G299&gt;$AS299),"Cumplida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f>IF(NOT((COUNTA($B299:$D299)+COUNTA($G299:$H299)+COUNTA($Q299))&gt;0),"",IF($D299="","Propia",IF($V299&lt;&gt;"Macro","Solo se delegan macroactividades",IF(N($AM299)&gt;0,"✔ Recibida por "&amp;$D299,"⚠ "&amp;$D299&amp;" aún no la agrega"))))</f>
        <v/>
      </c>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f>IF(NOT(AND($D299&lt;&gt;"",$V299="Macro")),"",IFERROR(CHOOSE(MATCH($D299,ListaPuestos,0),MATCH("[Jefatura] "&amp;$C299,'Cronograma R. Operacional'!$C$5:$C$1000,0),MATCH("[Jefatura] "&amp;$C299,'Cronograma R. Normativo'!$C$5:$C$1000,0),MATCH("[Jefatura] "&amp;$C299,'Cronograma R. Financiero'!$C$5:$C$1000,0),MATCH("[Jefatura] "&amp;$C299,'Cronograma Asistente Técnico'!$C$5:$C$1000,0)),0))</f>
        <v/>
      </c>
      <c r="AN299" s="62">
        <f>IF(AND(AND($D299&lt;&gt;"",$V299="Macro"),$S299=MesCiclo),COUNTIFS($D$5:$D299,$D299,$S$5:$S299,MesCiclo,$V$5:$V299,"Macro"),"")</f>
        <v/>
      </c>
      <c r="AO299" s="62">
        <f>IF($AN299="","",$D299&amp;"|"&amp;$AN299)</f>
        <v/>
      </c>
      <c r="AP299" s="62">
        <f>IF(AND($D299&lt;&gt;"",$V299="Macro"),$D299&amp;"|"&amp;$C299,"")</f>
        <v/>
      </c>
      <c r="AQ299" s="62">
        <f>""</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t="n"/>
      <c r="F300" s="59" t="n"/>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IF(NOT((COUNTA($B300:$D300)+COUNTA($G300:$H300)+COUNTA($Q300))&gt;0),"",IF(AND($D300&lt;&gt;"",$V300="Macro"),IF(N($AM300)&gt;0,N(CHOOSE(MATCH($D300,ListaPuestos,0),INDEX('Cronograma R. Operacional'!$M$5:$M$1000,$AM300),INDEX('Cronograma R. Normativo'!$M$5:$M$1000,$AM300),INDEX('Cronograma R. Financiero'!$M$5:$M$1000,$AM300),INDEX('Cronograma Asistente Técnico'!$M$5:$M$1000,$AM300))),0),IF(ISNUMBER($G300),1,IF(N($W300)&gt;0,MIN(1,SUMIFS($Y$5:$Y$1000,$U$5:$U$1000,ROW(),$V$5:$V$1000,"Sub")),$Y300))))</f>
        <v/>
      </c>
      <c r="N300" s="56">
        <f>IF(OR($M300="",$V300="Sub"),"",IF($M300&gt;=1,"Completado",IF($M300&gt;0,"En curso","Pendiente")))</f>
        <v/>
      </c>
      <c r="O300" s="56">
        <f>IF(NOT((COUNTA($B300:$D300)+COUNTA($G300:$H300)+COUNTA($Q300))&gt;0),"",IF(AND(AND($D300&lt;&gt;"",$V300="Macro"),N($AM300)&gt;0),CHOOSE(MATCH($D300,ListaPuestos,0),INDEX('Cronograma R. Operacional'!$O$5:$O$1000,$AM300),INDEX('Cronograma R. Normativo'!$O$5:$O$1000,$AM300),INDEX('Cronograma R. Financiero'!$O$5:$O$1000,$AM300),INDEX('Cronograma Asistente Técnico'!$O$5:$O$1000,$AM300))&amp;"",IF(ISNUMBER($G300),IF(AND(ISNUMBER($AS300),$G300&gt;$AS300),"Cumplida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f>IF(NOT((COUNTA($B300:$D300)+COUNTA($G300:$H300)+COUNTA($Q300))&gt;0),"",IF($D300="","Propia",IF($V300&lt;&gt;"Macro","Solo se delegan macroactividades",IF(N($AM300)&gt;0,"✔ Recibida por "&amp;$D300,"⚠ "&amp;$D300&amp;" aún no la agrega"))))</f>
        <v/>
      </c>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f>IF(NOT(AND($D300&lt;&gt;"",$V300="Macro")),"",IFERROR(CHOOSE(MATCH($D300,ListaPuestos,0),MATCH("[Jefatura] "&amp;$C300,'Cronograma R. Operacional'!$C$5:$C$1000,0),MATCH("[Jefatura] "&amp;$C300,'Cronograma R. Normativo'!$C$5:$C$1000,0),MATCH("[Jefatura] "&amp;$C300,'Cronograma R. Financiero'!$C$5:$C$1000,0),MATCH("[Jefatura] "&amp;$C300,'Cronograma Asistente Técnico'!$C$5:$C$1000,0)),0))</f>
        <v/>
      </c>
      <c r="AN300" s="62">
        <f>IF(AND(AND($D300&lt;&gt;"",$V300="Macro"),$S300=MesCiclo),COUNTIFS($D$5:$D300,$D300,$S$5:$S300,MesCiclo,$V$5:$V300,"Macro"),"")</f>
        <v/>
      </c>
      <c r="AO300" s="62">
        <f>IF($AN300="","",$D300&amp;"|"&amp;$AN300)</f>
        <v/>
      </c>
      <c r="AP300" s="62">
        <f>IF(AND($D300&lt;&gt;"",$V300="Macro"),$D300&amp;"|"&amp;$C300,"")</f>
        <v/>
      </c>
      <c r="AQ300" s="62">
        <f>""</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t="n"/>
      <c r="F301" s="59" t="n"/>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IF(NOT((COUNTA($B301:$D301)+COUNTA($G301:$H301)+COUNTA($Q301))&gt;0),"",IF(AND($D301&lt;&gt;"",$V301="Macro"),IF(N($AM301)&gt;0,N(CHOOSE(MATCH($D301,ListaPuestos,0),INDEX('Cronograma R. Operacional'!$M$5:$M$1000,$AM301),INDEX('Cronograma R. Normativo'!$M$5:$M$1000,$AM301),INDEX('Cronograma R. Financiero'!$M$5:$M$1000,$AM301),INDEX('Cronograma Asistente Técnico'!$M$5:$M$1000,$AM301))),0),IF(ISNUMBER($G301),1,IF(N($W301)&gt;0,MIN(1,SUMIFS($Y$5:$Y$1000,$U$5:$U$1000,ROW(),$V$5:$V$1000,"Sub")),$Y301))))</f>
        <v/>
      </c>
      <c r="N301" s="56">
        <f>IF(OR($M301="",$V301="Sub"),"",IF($M301&gt;=1,"Completado",IF($M301&gt;0,"En curso","Pendiente")))</f>
        <v/>
      </c>
      <c r="O301" s="56">
        <f>IF(NOT((COUNTA($B301:$D301)+COUNTA($G301:$H301)+COUNTA($Q301))&gt;0),"",IF(AND(AND($D301&lt;&gt;"",$V301="Macro"),N($AM301)&gt;0),CHOOSE(MATCH($D301,ListaPuestos,0),INDEX('Cronograma R. Operacional'!$O$5:$O$1000,$AM301),INDEX('Cronograma R. Normativo'!$O$5:$O$1000,$AM301),INDEX('Cronograma R. Financiero'!$O$5:$O$1000,$AM301),INDEX('Cronograma Asistente Técnico'!$O$5:$O$1000,$AM301))&amp;"",IF(ISNUMBER($G301),IF(AND(ISNUMBER($AS301),$G301&gt;$AS301),"Cumplida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f>IF(NOT((COUNTA($B301:$D301)+COUNTA($G301:$H301)+COUNTA($Q301))&gt;0),"",IF($D301="","Propia",IF($V301&lt;&gt;"Macro","Solo se delegan macroactividades",IF(N($AM301)&gt;0,"✔ Recibida por "&amp;$D301,"⚠ "&amp;$D301&amp;" aún no la agrega"))))</f>
        <v/>
      </c>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f>IF(NOT(AND($D301&lt;&gt;"",$V301="Macro")),"",IFERROR(CHOOSE(MATCH($D301,ListaPuestos,0),MATCH("[Jefatura] "&amp;$C301,'Cronograma R. Operacional'!$C$5:$C$1000,0),MATCH("[Jefatura] "&amp;$C301,'Cronograma R. Normativo'!$C$5:$C$1000,0),MATCH("[Jefatura] "&amp;$C301,'Cronograma R. Financiero'!$C$5:$C$1000,0),MATCH("[Jefatura] "&amp;$C301,'Cronograma Asistente Técnico'!$C$5:$C$1000,0)),0))</f>
        <v/>
      </c>
      <c r="AN301" s="62">
        <f>IF(AND(AND($D301&lt;&gt;"",$V301="Macro"),$S301=MesCiclo),COUNTIFS($D$5:$D301,$D301,$S$5:$S301,MesCiclo,$V$5:$V301,"Macro"),"")</f>
        <v/>
      </c>
      <c r="AO301" s="62">
        <f>IF($AN301="","",$D301&amp;"|"&amp;$AN301)</f>
        <v/>
      </c>
      <c r="AP301" s="62">
        <f>IF(AND($D301&lt;&gt;"",$V301="Macro"),$D301&amp;"|"&amp;$C301,"")</f>
        <v/>
      </c>
      <c r="AQ301" s="62">
        <f>""</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t="n"/>
      <c r="F302" s="59" t="n"/>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IF(NOT((COUNTA($B302:$D302)+COUNTA($G302:$H302)+COUNTA($Q302))&gt;0),"",IF(AND($D302&lt;&gt;"",$V302="Macro"),IF(N($AM302)&gt;0,N(CHOOSE(MATCH($D302,ListaPuestos,0),INDEX('Cronograma R. Operacional'!$M$5:$M$1000,$AM302),INDEX('Cronograma R. Normativo'!$M$5:$M$1000,$AM302),INDEX('Cronograma R. Financiero'!$M$5:$M$1000,$AM302),INDEX('Cronograma Asistente Técnico'!$M$5:$M$1000,$AM302))),0),IF(ISNUMBER($G302),1,IF(N($W302)&gt;0,MIN(1,SUMIFS($Y$5:$Y$1000,$U$5:$U$1000,ROW(),$V$5:$V$1000,"Sub")),$Y302))))</f>
        <v/>
      </c>
      <c r="N302" s="56">
        <f>IF(OR($M302="",$V302="Sub"),"",IF($M302&gt;=1,"Completado",IF($M302&gt;0,"En curso","Pendiente")))</f>
        <v/>
      </c>
      <c r="O302" s="56">
        <f>IF(NOT((COUNTA($B302:$D302)+COUNTA($G302:$H302)+COUNTA($Q302))&gt;0),"",IF(AND(AND($D302&lt;&gt;"",$V302="Macro"),N($AM302)&gt;0),CHOOSE(MATCH($D302,ListaPuestos,0),INDEX('Cronograma R. Operacional'!$O$5:$O$1000,$AM302),INDEX('Cronograma R. Normativo'!$O$5:$O$1000,$AM302),INDEX('Cronograma R. Financiero'!$O$5:$O$1000,$AM302),INDEX('Cronograma Asistente Técnico'!$O$5:$O$1000,$AM302))&amp;"",IF(ISNUMBER($G302),IF(AND(ISNUMBER($AS302),$G302&gt;$AS302),"Cumplida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f>IF(NOT((COUNTA($B302:$D302)+COUNTA($G302:$H302)+COUNTA($Q302))&gt;0),"",IF($D302="","Propia",IF($V302&lt;&gt;"Macro","Solo se delegan macroactividades",IF(N($AM302)&gt;0,"✔ Recibida por "&amp;$D302,"⚠ "&amp;$D302&amp;" aún no la agrega"))))</f>
        <v/>
      </c>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f>IF(NOT(AND($D302&lt;&gt;"",$V302="Macro")),"",IFERROR(CHOOSE(MATCH($D302,ListaPuestos,0),MATCH("[Jefatura] "&amp;$C302,'Cronograma R. Operacional'!$C$5:$C$1000,0),MATCH("[Jefatura] "&amp;$C302,'Cronograma R. Normativo'!$C$5:$C$1000,0),MATCH("[Jefatura] "&amp;$C302,'Cronograma R. Financiero'!$C$5:$C$1000,0),MATCH("[Jefatura] "&amp;$C302,'Cronograma Asistente Técnico'!$C$5:$C$1000,0)),0))</f>
        <v/>
      </c>
      <c r="AN302" s="62">
        <f>IF(AND(AND($D302&lt;&gt;"",$V302="Macro"),$S302=MesCiclo),COUNTIFS($D$5:$D302,$D302,$S$5:$S302,MesCiclo,$V$5:$V302,"Macro"),"")</f>
        <v/>
      </c>
      <c r="AO302" s="62">
        <f>IF($AN302="","",$D302&amp;"|"&amp;$AN302)</f>
        <v/>
      </c>
      <c r="AP302" s="62">
        <f>IF(AND($D302&lt;&gt;"",$V302="Macro"),$D302&amp;"|"&amp;$C302,"")</f>
        <v/>
      </c>
      <c r="AQ302" s="62">
        <f>""</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t="n"/>
      <c r="F303" s="59" t="n"/>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IF(NOT((COUNTA($B303:$D303)+COUNTA($G303:$H303)+COUNTA($Q303))&gt;0),"",IF(AND($D303&lt;&gt;"",$V303="Macro"),IF(N($AM303)&gt;0,N(CHOOSE(MATCH($D303,ListaPuestos,0),INDEX('Cronograma R. Operacional'!$M$5:$M$1000,$AM303),INDEX('Cronograma R. Normativo'!$M$5:$M$1000,$AM303),INDEX('Cronograma R. Financiero'!$M$5:$M$1000,$AM303),INDEX('Cronograma Asistente Técnico'!$M$5:$M$1000,$AM303))),0),IF(ISNUMBER($G303),1,IF(N($W303)&gt;0,MIN(1,SUMIFS($Y$5:$Y$1000,$U$5:$U$1000,ROW(),$V$5:$V$1000,"Sub")),$Y303))))</f>
        <v/>
      </c>
      <c r="N303" s="56">
        <f>IF(OR($M303="",$V303="Sub"),"",IF($M303&gt;=1,"Completado",IF($M303&gt;0,"En curso","Pendiente")))</f>
        <v/>
      </c>
      <c r="O303" s="56">
        <f>IF(NOT((COUNTA($B303:$D303)+COUNTA($G303:$H303)+COUNTA($Q303))&gt;0),"",IF(AND(AND($D303&lt;&gt;"",$V303="Macro"),N($AM303)&gt;0),CHOOSE(MATCH($D303,ListaPuestos,0),INDEX('Cronograma R. Operacional'!$O$5:$O$1000,$AM303),INDEX('Cronograma R. Normativo'!$O$5:$O$1000,$AM303),INDEX('Cronograma R. Financiero'!$O$5:$O$1000,$AM303),INDEX('Cronograma Asistente Técnico'!$O$5:$O$1000,$AM303))&amp;"",IF(ISNUMBER($G303),IF(AND(ISNUMBER($AS303),$G303&gt;$AS303),"Cumplida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f>IF(NOT((COUNTA($B303:$D303)+COUNTA($G303:$H303)+COUNTA($Q303))&gt;0),"",IF($D303="","Propia",IF($V303&lt;&gt;"Macro","Solo se delegan macroactividades",IF(N($AM303)&gt;0,"✔ Recibida por "&amp;$D303,"⚠ "&amp;$D303&amp;" aún no la agrega"))))</f>
        <v/>
      </c>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f>IF(NOT(AND($D303&lt;&gt;"",$V303="Macro")),"",IFERROR(CHOOSE(MATCH($D303,ListaPuestos,0),MATCH("[Jefatura] "&amp;$C303,'Cronograma R. Operacional'!$C$5:$C$1000,0),MATCH("[Jefatura] "&amp;$C303,'Cronograma R. Normativo'!$C$5:$C$1000,0),MATCH("[Jefatura] "&amp;$C303,'Cronograma R. Financiero'!$C$5:$C$1000,0),MATCH("[Jefatura] "&amp;$C303,'Cronograma Asistente Técnico'!$C$5:$C$1000,0)),0))</f>
        <v/>
      </c>
      <c r="AN303" s="62">
        <f>IF(AND(AND($D303&lt;&gt;"",$V303="Macro"),$S303=MesCiclo),COUNTIFS($D$5:$D303,$D303,$S$5:$S303,MesCiclo,$V$5:$V303,"Macro"),"")</f>
        <v/>
      </c>
      <c r="AO303" s="62">
        <f>IF($AN303="","",$D303&amp;"|"&amp;$AN303)</f>
        <v/>
      </c>
      <c r="AP303" s="62">
        <f>IF(AND($D303&lt;&gt;"",$V303="Macro"),$D303&amp;"|"&amp;$C303,"")</f>
        <v/>
      </c>
      <c r="AQ303" s="62">
        <f>""</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t="n"/>
      <c r="F304" s="59" t="n"/>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IF(NOT((COUNTA($B304:$D304)+COUNTA($G304:$H304)+COUNTA($Q304))&gt;0),"",IF(AND($D304&lt;&gt;"",$V304="Macro"),IF(N($AM304)&gt;0,N(CHOOSE(MATCH($D304,ListaPuestos,0),INDEX('Cronograma R. Operacional'!$M$5:$M$1000,$AM304),INDEX('Cronograma R. Normativo'!$M$5:$M$1000,$AM304),INDEX('Cronograma R. Financiero'!$M$5:$M$1000,$AM304),INDEX('Cronograma Asistente Técnico'!$M$5:$M$1000,$AM304))),0),IF(ISNUMBER($G304),1,IF(N($W304)&gt;0,MIN(1,SUMIFS($Y$5:$Y$1000,$U$5:$U$1000,ROW(),$V$5:$V$1000,"Sub")),$Y304))))</f>
        <v/>
      </c>
      <c r="N304" s="56">
        <f>IF(OR($M304="",$V304="Sub"),"",IF($M304&gt;=1,"Completado",IF($M304&gt;0,"En curso","Pendiente")))</f>
        <v/>
      </c>
      <c r="O304" s="56">
        <f>IF(NOT((COUNTA($B304:$D304)+COUNTA($G304:$H304)+COUNTA($Q304))&gt;0),"",IF(AND(AND($D304&lt;&gt;"",$V304="Macro"),N($AM304)&gt;0),CHOOSE(MATCH($D304,ListaPuestos,0),INDEX('Cronograma R. Operacional'!$O$5:$O$1000,$AM304),INDEX('Cronograma R. Normativo'!$O$5:$O$1000,$AM304),INDEX('Cronograma R. Financiero'!$O$5:$O$1000,$AM304),INDEX('Cronograma Asistente Técnico'!$O$5:$O$1000,$AM304))&amp;"",IF(ISNUMBER($G304),IF(AND(ISNUMBER($AS304),$G304&gt;$AS304),"Cumplida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f>IF(NOT((COUNTA($B304:$D304)+COUNTA($G304:$H304)+COUNTA($Q304))&gt;0),"",IF($D304="","Propia",IF($V304&lt;&gt;"Macro","Solo se delegan macroactividades",IF(N($AM304)&gt;0,"✔ Recibida por "&amp;$D304,"⚠ "&amp;$D304&amp;" aún no la agrega"))))</f>
        <v/>
      </c>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f>IF(NOT(AND($D304&lt;&gt;"",$V304="Macro")),"",IFERROR(CHOOSE(MATCH($D304,ListaPuestos,0),MATCH("[Jefatura] "&amp;$C304,'Cronograma R. Operacional'!$C$5:$C$1000,0),MATCH("[Jefatura] "&amp;$C304,'Cronograma R. Normativo'!$C$5:$C$1000,0),MATCH("[Jefatura] "&amp;$C304,'Cronograma R. Financiero'!$C$5:$C$1000,0),MATCH("[Jefatura] "&amp;$C304,'Cronograma Asistente Técnico'!$C$5:$C$1000,0)),0))</f>
        <v/>
      </c>
      <c r="AN304" s="62">
        <f>IF(AND(AND($D304&lt;&gt;"",$V304="Macro"),$S304=MesCiclo),COUNTIFS($D$5:$D304,$D304,$S$5:$S304,MesCiclo,$V$5:$V304,"Macro"),"")</f>
        <v/>
      </c>
      <c r="AO304" s="62">
        <f>IF($AN304="","",$D304&amp;"|"&amp;$AN304)</f>
        <v/>
      </c>
      <c r="AP304" s="62">
        <f>IF(AND($D304&lt;&gt;"",$V304="Macro"),$D304&amp;"|"&amp;$C304,"")</f>
        <v/>
      </c>
      <c r="AQ304" s="62">
        <f>""</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I3:L3">
    <cfRule type="expression" priority="4" dxfId="1">
      <formula>COLUMN(I3)-8=SemanaActual</formula>
    </cfRule>
  </conditionalFormatting>
  <conditionalFormatting sqref="C5:C1000">
    <cfRule type="expression" priority="5" dxfId="10" stopIfTrue="1">
      <formula>LEFT($C5,11)="[Jefatura] "</formula>
    </cfRule>
    <cfRule type="expression" priority="8" dxfId="11">
      <formula>$V5="Sub"</formula>
    </cfRule>
  </conditionalFormatting>
  <conditionalFormatting sqref="A5:C1000">
    <cfRule type="expression" priority="6" dxfId="5" stopIfTrue="1">
      <formula>AND($V5="Macro",$C5="")</formula>
    </cfRule>
    <cfRule type="expression" priority="7" dxfId="12">
      <formula>$V5="Macro"</formula>
    </cfRule>
  </conditionalFormatting>
  <conditionalFormatting sqref="P5:P1000">
    <cfRule type="expression" priority="9" dxfId="0">
      <formula>LEFT($P5,1)="✔"</formula>
    </cfRule>
    <cfRule type="expression" priority="10" dxfId="2">
      <formula>LEFT($P5,1)="⚠"</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E5:E1000 F5:F1000" showDropDown="0" showInputMessage="0" showErrorMessage="1" allowBlank="1" errorTitle="Fecha no válida" error="Ingrese una fecha válida (dd/mm/aaaa)." type="date" operator="greaterThan">
      <formula1>36526</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D5:D1000" showDropDown="0" showInputMessage="1" showErrorMessage="1" allowBlank="1" errorTitle="Puesto no válido" error="Elija un puesto de la lista o deje vacío (actividad de la jefatura)." promptTitle="Delegar a" prompt="Elija el puesto al que delega esta macroactividad. Vacío = la hace la jefatura." type="list">
      <formula1>ListaPuestos</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B1:Q29"/>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8" customWidth="1" min="11" max="11"/>
    <col hidden="1" width="13" customWidth="1" min="13" max="13"/>
    <col hidden="1" width="13" customWidth="1" min="14" max="14"/>
    <col hidden="1" width="13" customWidth="1" min="15" max="15"/>
    <col hidden="1" width="13" customWidth="1" min="16" max="16"/>
    <col hidden="1" width="13" customWidth="1" min="17" max="17"/>
  </cols>
  <sheetData>
    <row r="1" ht="28" customHeight="1">
      <c r="B1" s="65" t="inlineStr">
        <is>
          <t>Historial mensual de actividades</t>
        </is>
      </c>
      <c r="C1" s="65" t="n"/>
      <c r="D1" s="65" t="n"/>
      <c r="E1" s="65" t="n"/>
      <c r="F1" s="65" t="n"/>
      <c r="G1" s="65" t="n"/>
      <c r="H1" s="65" t="n"/>
      <c r="I1" s="65" t="n"/>
      <c r="J1" s="65" t="n"/>
      <c r="K1" s="65" t="n"/>
    </row>
    <row r="2" ht="32" customHeight="1">
      <c r="B2" s="48" t="inlineStr">
        <is>
          <t>HOJA AUTOMÁTICA: resume cada mes con las actividades guardadas en los Cronogramas (nada se borra al empezar un mes). Empieza en octubre 2026 y muestra 24 meses (el mes actual se resalta en amarillo). «Sin datos» = el puesto no registró actividades ese mes; «Pesos ≠ 100%» = los pesos de ese mes no suman 100%.</t>
        </is>
      </c>
      <c r="C2" s="48" t="n"/>
      <c r="D2" s="48" t="n"/>
      <c r="E2" s="48" t="n"/>
      <c r="F2" s="48" t="n"/>
      <c r="G2" s="48" t="n"/>
      <c r="H2" s="48" t="n"/>
      <c r="I2" s="48" t="n"/>
      <c r="J2" s="48" t="n"/>
      <c r="K2" s="48" t="n"/>
    </row>
    <row r="4">
      <c r="B4" s="66" t="inlineStr">
        <is>
          <t>Mes</t>
        </is>
      </c>
      <c r="C4" s="67" t="inlineStr">
        <is>
          <t>Riesgo Operacional</t>
        </is>
      </c>
      <c r="D4" s="67" t="n"/>
      <c r="E4" s="68" t="inlineStr">
        <is>
          <t>Riesgo Normativo</t>
        </is>
      </c>
      <c r="F4" s="68" t="n"/>
      <c r="G4" s="69" t="inlineStr">
        <is>
          <t>Riesgo Financiero</t>
        </is>
      </c>
      <c r="H4" s="69" t="n"/>
      <c r="I4" s="7" t="inlineStr">
        <is>
          <t>Asistente Técnico de Riesgo</t>
        </is>
      </c>
      <c r="J4" s="7" t="n"/>
      <c r="K4" s="66" t="inlineStr">
        <is>
          <t>Avance general</t>
        </is>
      </c>
    </row>
    <row r="5" ht="28" customHeight="1">
      <c r="B5" s="66" t="n"/>
      <c r="C5" s="31" t="inlineStr">
        <is>
          <t>Avance</t>
        </is>
      </c>
      <c r="D5" s="31" t="inlineStr">
        <is>
          <t>Completadas / total</t>
        </is>
      </c>
      <c r="E5" s="31" t="inlineStr">
        <is>
          <t>Avance</t>
        </is>
      </c>
      <c r="F5" s="31" t="inlineStr">
        <is>
          <t>Completadas / total</t>
        </is>
      </c>
      <c r="G5" s="31" t="inlineStr">
        <is>
          <t>Avance</t>
        </is>
      </c>
      <c r="H5" s="31" t="inlineStr">
        <is>
          <t>Completadas / total</t>
        </is>
      </c>
      <c r="I5" s="31" t="inlineStr">
        <is>
          <t>Avance</t>
        </is>
      </c>
      <c r="J5" s="31" t="inlineStr">
        <is>
          <t>Completadas / total</t>
        </is>
      </c>
      <c r="K5" s="66" t="n"/>
      <c r="M5" t="inlineStr">
        <is>
          <t>Mes (gráfico)</t>
        </is>
      </c>
      <c r="N5" t="inlineStr">
        <is>
          <t>R. Operacional</t>
        </is>
      </c>
      <c r="O5" t="inlineStr">
        <is>
          <t>R. Normativo</t>
        </is>
      </c>
      <c r="P5" t="inlineStr">
        <is>
          <t>R. Financiero</t>
        </is>
      </c>
      <c r="Q5" t="inlineStr">
        <is>
          <t>Asistente Técnico</t>
        </is>
      </c>
    </row>
    <row r="6" ht="20" customHeight="1">
      <c r="B6" s="70">
        <f>DATE(YEAR(HistInicio),MONTH(HistInicio)+0,1)</f>
        <v/>
      </c>
      <c r="C6" s="20">
        <f>IF(COUNTIFS(rMes_RO,$B6,rTipo_RO,"Macro")=0,"Sin datos",IF(ABS(SUMIFS(rPeso_RO,rMes_RO,$B6,rTipo_RO,"Macro")-1)&gt;0.0001,"Pesos ≠ 100%",SUMPRODUCT(--((rMes_RO=$B6)*(rTipo_RO="Macro")),rPeso_RO,rAvance_RO)))</f>
        <v/>
      </c>
      <c r="D6" s="22">
        <f>IF(COUNTIFS(rMes_RO,$B6,rTipo_RO,"Macro")=0,"",COUNTIFS(rEstado_RO,"Completado",rMes_RO,$B6,rTipo_RO,"Macro")&amp;" / "&amp;COUNTIFS(rMes_RO,$B6,rTipo_RO,"Macro"))</f>
        <v/>
      </c>
      <c r="E6" s="20">
        <f>IF(COUNTIFS(rMes_RN,$B6,rTipo_RN,"Macro")=0,"Sin datos",IF(ABS(SUMIFS(rPeso_RN,rMes_RN,$B6,rTipo_RN,"Macro")-1)&gt;0.0001,"Pesos ≠ 100%",SUMPRODUCT(--((rMes_RN=$B6)*(rTipo_RN="Macro")),rPeso_RN,rAvance_RN)))</f>
        <v/>
      </c>
      <c r="F6" s="22">
        <f>IF(COUNTIFS(rMes_RN,$B6,rTipo_RN,"Macro")=0,"",COUNTIFS(rEstado_RN,"Completado",rMes_RN,$B6,rTipo_RN,"Macro")&amp;" / "&amp;COUNTIFS(rMes_RN,$B6,rTipo_RN,"Macro"))</f>
        <v/>
      </c>
      <c r="G6" s="20">
        <f>IF(COUNTIFS(rMes_RF,$B6,rTipo_RF,"Macro")=0,"Sin datos",IF(ABS(SUMIFS(rPeso_RF,rMes_RF,$B6,rTipo_RF,"Macro")-1)&gt;0.0001,"Pesos ≠ 100%",SUMPRODUCT(--((rMes_RF=$B6)*(rTipo_RF="Macro")),rPeso_RF,rAvance_RF)))</f>
        <v/>
      </c>
      <c r="H6" s="22">
        <f>IF(COUNTIFS(rMes_RF,$B6,rTipo_RF,"Macro")=0,"",COUNTIFS(rEstado_RF,"Completado",rMes_RF,$B6,rTipo_RF,"Macro")&amp;" / "&amp;COUNTIFS(rMes_RF,$B6,rTipo_RF,"Macro"))</f>
        <v/>
      </c>
      <c r="I6" s="20">
        <f>IF(COUNTIFS(rMes_ATR,$B6,rTipo_ATR,"Macro")=0,"Sin datos",IF(ABS(SUMIFS(rPeso_ATR,rMes_ATR,$B6,rTipo_ATR,"Macro")-1)&gt;0.0001,"Pesos ≠ 100%",SUMPRODUCT(--((rMes_ATR=$B6)*(rTipo_ATR="Macro")),rPeso_ATR,rAvance_ATR)))</f>
        <v/>
      </c>
      <c r="J6" s="22">
        <f>IF(COUNTIFS(rMes_ATR,$B6,rTipo_ATR,"Macro")=0,"",COUNTIFS(rEstado_ATR,"Completado",rMes_ATR,$B6,rTipo_ATR,"Macro")&amp;" / "&amp;COUNTIFS(rMes_ATR,$B6,rTipo_ATR,"Macro"))</f>
        <v/>
      </c>
      <c r="K6" s="71">
        <f>IF(COUNT(C6,E6,G6,I6)=4,AVERAGE(C6,E6,G6,I6),IF(COUNTIF(C6:J6,"Sin datos")=4,"Sin datos","No definitivo"))</f>
        <v/>
      </c>
      <c r="M6">
        <f>CHOOSE(MONTH(DATE(YEAR(MAX(HistInicio,EDATE(MesCiclo,-5))),MONTH(MAX(HistInicio,EDATE(MesCiclo,-5)))+0,1)),"ene","feb","mar","abr","may","jun","jul","ago","sep","oct","nov","dic")&amp;" "&amp;YEAR(DATE(YEAR(MAX(HistInicio,EDATE(MesCiclo,-5))),MONTH(MAX(HistInicio,EDATE(MesCiclo,-5)))+0,1))</f>
        <v/>
      </c>
      <c r="N6">
        <f>IFERROR(N(INDEX(C6:C29,MATCH(DATE(YEAR(MAX(HistInicio,EDATE(MesCiclo,-5))),MONTH(MAX(HistInicio,EDATE(MesCiclo,-5)))+0,1),B6:B29,0))),0)</f>
        <v/>
      </c>
      <c r="O6">
        <f>IFERROR(N(INDEX(E6:E29,MATCH(DATE(YEAR(MAX(HistInicio,EDATE(MesCiclo,-5))),MONTH(MAX(HistInicio,EDATE(MesCiclo,-5)))+0,1),B6:B29,0))),0)</f>
        <v/>
      </c>
      <c r="P6">
        <f>IFERROR(N(INDEX(G6:G29,MATCH(DATE(YEAR(MAX(HistInicio,EDATE(MesCiclo,-5))),MONTH(MAX(HistInicio,EDATE(MesCiclo,-5)))+0,1),B6:B29,0))),0)</f>
        <v/>
      </c>
      <c r="Q6">
        <f>IFERROR(N(INDEX(I6:I29,MATCH(DATE(YEAR(MAX(HistInicio,EDATE(MesCiclo,-5))),MONTH(MAX(HistInicio,EDATE(MesCiclo,-5)))+0,1),B6:B29,0))),0)</f>
        <v/>
      </c>
    </row>
    <row r="7" ht="20" customHeight="1">
      <c r="B7" s="70">
        <f>DATE(YEAR(HistInicio),MONTH(HistInicio)+1,1)</f>
        <v/>
      </c>
      <c r="C7" s="20">
        <f>IF(COUNTIFS(rMes_RO,$B7,rTipo_RO,"Macro")=0,"Sin datos",IF(ABS(SUMIFS(rPeso_RO,rMes_RO,$B7,rTipo_RO,"Macro")-1)&gt;0.0001,"Pesos ≠ 100%",SUMPRODUCT(--((rMes_RO=$B7)*(rTipo_RO="Macro")),rPeso_RO,rAvance_RO)))</f>
        <v/>
      </c>
      <c r="D7" s="22">
        <f>IF(COUNTIFS(rMes_RO,$B7,rTipo_RO,"Macro")=0,"",COUNTIFS(rEstado_RO,"Completado",rMes_RO,$B7,rTipo_RO,"Macro")&amp;" / "&amp;COUNTIFS(rMes_RO,$B7,rTipo_RO,"Macro"))</f>
        <v/>
      </c>
      <c r="E7" s="20">
        <f>IF(COUNTIFS(rMes_RN,$B7,rTipo_RN,"Macro")=0,"Sin datos",IF(ABS(SUMIFS(rPeso_RN,rMes_RN,$B7,rTipo_RN,"Macro")-1)&gt;0.0001,"Pesos ≠ 100%",SUMPRODUCT(--((rMes_RN=$B7)*(rTipo_RN="Macro")),rPeso_RN,rAvance_RN)))</f>
        <v/>
      </c>
      <c r="F7" s="22">
        <f>IF(COUNTIFS(rMes_RN,$B7,rTipo_RN,"Macro")=0,"",COUNTIFS(rEstado_RN,"Completado",rMes_RN,$B7,rTipo_RN,"Macro")&amp;" / "&amp;COUNTIFS(rMes_RN,$B7,rTipo_RN,"Macro"))</f>
        <v/>
      </c>
      <c r="G7" s="20">
        <f>IF(COUNTIFS(rMes_RF,$B7,rTipo_RF,"Macro")=0,"Sin datos",IF(ABS(SUMIFS(rPeso_RF,rMes_RF,$B7,rTipo_RF,"Macro")-1)&gt;0.0001,"Pesos ≠ 100%",SUMPRODUCT(--((rMes_RF=$B7)*(rTipo_RF="Macro")),rPeso_RF,rAvance_RF)))</f>
        <v/>
      </c>
      <c r="H7" s="22">
        <f>IF(COUNTIFS(rMes_RF,$B7,rTipo_RF,"Macro")=0,"",COUNTIFS(rEstado_RF,"Completado",rMes_RF,$B7,rTipo_RF,"Macro")&amp;" / "&amp;COUNTIFS(rMes_RF,$B7,rTipo_RF,"Macro"))</f>
        <v/>
      </c>
      <c r="I7" s="20">
        <f>IF(COUNTIFS(rMes_ATR,$B7,rTipo_ATR,"Macro")=0,"Sin datos",IF(ABS(SUMIFS(rPeso_ATR,rMes_ATR,$B7,rTipo_ATR,"Macro")-1)&gt;0.0001,"Pesos ≠ 100%",SUMPRODUCT(--((rMes_ATR=$B7)*(rTipo_ATR="Macro")),rPeso_ATR,rAvance_ATR)))</f>
        <v/>
      </c>
      <c r="J7" s="22">
        <f>IF(COUNTIFS(rMes_ATR,$B7,rTipo_ATR,"Macro")=0,"",COUNTIFS(rEstado_ATR,"Completado",rMes_ATR,$B7,rTipo_ATR,"Macro")&amp;" / "&amp;COUNTIFS(rMes_ATR,$B7,rTipo_ATR,"Macro"))</f>
        <v/>
      </c>
      <c r="K7" s="71">
        <f>IF(COUNT(C7,E7,G7,I7)=4,AVERAGE(C7,E7,G7,I7),IF(COUNTIF(C7:J7,"Sin datos")=4,"Sin datos","No definitivo"))</f>
        <v/>
      </c>
      <c r="M7">
        <f>CHOOSE(MONTH(DATE(YEAR(MAX(HistInicio,EDATE(MesCiclo,-5))),MONTH(MAX(HistInicio,EDATE(MesCiclo,-5)))+1,1)),"ene","feb","mar","abr","may","jun","jul","ago","sep","oct","nov","dic")&amp;" "&amp;YEAR(DATE(YEAR(MAX(HistInicio,EDATE(MesCiclo,-5))),MONTH(MAX(HistInicio,EDATE(MesCiclo,-5)))+1,1))</f>
        <v/>
      </c>
      <c r="N7">
        <f>IFERROR(N(INDEX(C6:C29,MATCH(DATE(YEAR(MAX(HistInicio,EDATE(MesCiclo,-5))),MONTH(MAX(HistInicio,EDATE(MesCiclo,-5)))+1,1),B6:B29,0))),0)</f>
        <v/>
      </c>
      <c r="O7">
        <f>IFERROR(N(INDEX(E6:E29,MATCH(DATE(YEAR(MAX(HistInicio,EDATE(MesCiclo,-5))),MONTH(MAX(HistInicio,EDATE(MesCiclo,-5)))+1,1),B6:B29,0))),0)</f>
        <v/>
      </c>
      <c r="P7">
        <f>IFERROR(N(INDEX(G6:G29,MATCH(DATE(YEAR(MAX(HistInicio,EDATE(MesCiclo,-5))),MONTH(MAX(HistInicio,EDATE(MesCiclo,-5)))+1,1),B6:B29,0))),0)</f>
        <v/>
      </c>
      <c r="Q7">
        <f>IFERROR(N(INDEX(I6:I29,MATCH(DATE(YEAR(MAX(HistInicio,EDATE(MesCiclo,-5))),MONTH(MAX(HistInicio,EDATE(MesCiclo,-5)))+1,1),B6:B29,0))),0)</f>
        <v/>
      </c>
    </row>
    <row r="8" ht="20" customHeight="1">
      <c r="B8" s="70">
        <f>DATE(YEAR(HistInicio),MONTH(HistInicio)+2,1)</f>
        <v/>
      </c>
      <c r="C8" s="20">
        <f>IF(COUNTIFS(rMes_RO,$B8,rTipo_RO,"Macro")=0,"Sin datos",IF(ABS(SUMIFS(rPeso_RO,rMes_RO,$B8,rTipo_RO,"Macro")-1)&gt;0.0001,"Pesos ≠ 100%",SUMPRODUCT(--((rMes_RO=$B8)*(rTipo_RO="Macro")),rPeso_RO,rAvance_RO)))</f>
        <v/>
      </c>
      <c r="D8" s="22">
        <f>IF(COUNTIFS(rMes_RO,$B8,rTipo_RO,"Macro")=0,"",COUNTIFS(rEstado_RO,"Completado",rMes_RO,$B8,rTipo_RO,"Macro")&amp;" / "&amp;COUNTIFS(rMes_RO,$B8,rTipo_RO,"Macro"))</f>
        <v/>
      </c>
      <c r="E8" s="20">
        <f>IF(COUNTIFS(rMes_RN,$B8,rTipo_RN,"Macro")=0,"Sin datos",IF(ABS(SUMIFS(rPeso_RN,rMes_RN,$B8,rTipo_RN,"Macro")-1)&gt;0.0001,"Pesos ≠ 100%",SUMPRODUCT(--((rMes_RN=$B8)*(rTipo_RN="Macro")),rPeso_RN,rAvance_RN)))</f>
        <v/>
      </c>
      <c r="F8" s="22">
        <f>IF(COUNTIFS(rMes_RN,$B8,rTipo_RN,"Macro")=0,"",COUNTIFS(rEstado_RN,"Completado",rMes_RN,$B8,rTipo_RN,"Macro")&amp;" / "&amp;COUNTIFS(rMes_RN,$B8,rTipo_RN,"Macro"))</f>
        <v/>
      </c>
      <c r="G8" s="20">
        <f>IF(COUNTIFS(rMes_RF,$B8,rTipo_RF,"Macro")=0,"Sin datos",IF(ABS(SUMIFS(rPeso_RF,rMes_RF,$B8,rTipo_RF,"Macro")-1)&gt;0.0001,"Pesos ≠ 100%",SUMPRODUCT(--((rMes_RF=$B8)*(rTipo_RF="Macro")),rPeso_RF,rAvance_RF)))</f>
        <v/>
      </c>
      <c r="H8" s="22">
        <f>IF(COUNTIFS(rMes_RF,$B8,rTipo_RF,"Macro")=0,"",COUNTIFS(rEstado_RF,"Completado",rMes_RF,$B8,rTipo_RF,"Macro")&amp;" / "&amp;COUNTIFS(rMes_RF,$B8,rTipo_RF,"Macro"))</f>
        <v/>
      </c>
      <c r="I8" s="20">
        <f>IF(COUNTIFS(rMes_ATR,$B8,rTipo_ATR,"Macro")=0,"Sin datos",IF(ABS(SUMIFS(rPeso_ATR,rMes_ATR,$B8,rTipo_ATR,"Macro")-1)&gt;0.0001,"Pesos ≠ 100%",SUMPRODUCT(--((rMes_ATR=$B8)*(rTipo_ATR="Macro")),rPeso_ATR,rAvance_ATR)))</f>
        <v/>
      </c>
      <c r="J8" s="22">
        <f>IF(COUNTIFS(rMes_ATR,$B8,rTipo_ATR,"Macro")=0,"",COUNTIFS(rEstado_ATR,"Completado",rMes_ATR,$B8,rTipo_ATR,"Macro")&amp;" / "&amp;COUNTIFS(rMes_ATR,$B8,rTipo_ATR,"Macro"))</f>
        <v/>
      </c>
      <c r="K8" s="71">
        <f>IF(COUNT(C8,E8,G8,I8)=4,AVERAGE(C8,E8,G8,I8),IF(COUNTIF(C8:J8,"Sin datos")=4,"Sin datos","No definitivo"))</f>
        <v/>
      </c>
      <c r="M8">
        <f>CHOOSE(MONTH(DATE(YEAR(MAX(HistInicio,EDATE(MesCiclo,-5))),MONTH(MAX(HistInicio,EDATE(MesCiclo,-5)))+2,1)),"ene","feb","mar","abr","may","jun","jul","ago","sep","oct","nov","dic")&amp;" "&amp;YEAR(DATE(YEAR(MAX(HistInicio,EDATE(MesCiclo,-5))),MONTH(MAX(HistInicio,EDATE(MesCiclo,-5)))+2,1))</f>
        <v/>
      </c>
      <c r="N8">
        <f>IFERROR(N(INDEX(C6:C29,MATCH(DATE(YEAR(MAX(HistInicio,EDATE(MesCiclo,-5))),MONTH(MAX(HistInicio,EDATE(MesCiclo,-5)))+2,1),B6:B29,0))),0)</f>
        <v/>
      </c>
      <c r="O8">
        <f>IFERROR(N(INDEX(E6:E29,MATCH(DATE(YEAR(MAX(HistInicio,EDATE(MesCiclo,-5))),MONTH(MAX(HistInicio,EDATE(MesCiclo,-5)))+2,1),B6:B29,0))),0)</f>
        <v/>
      </c>
      <c r="P8">
        <f>IFERROR(N(INDEX(G6:G29,MATCH(DATE(YEAR(MAX(HistInicio,EDATE(MesCiclo,-5))),MONTH(MAX(HistInicio,EDATE(MesCiclo,-5)))+2,1),B6:B29,0))),0)</f>
        <v/>
      </c>
      <c r="Q8">
        <f>IFERROR(N(INDEX(I6:I29,MATCH(DATE(YEAR(MAX(HistInicio,EDATE(MesCiclo,-5))),MONTH(MAX(HistInicio,EDATE(MesCiclo,-5)))+2,1),B6:B29,0))),0)</f>
        <v/>
      </c>
    </row>
    <row r="9" ht="20" customHeight="1">
      <c r="B9" s="70">
        <f>DATE(YEAR(HistInicio),MONTH(HistInicio)+3,1)</f>
        <v/>
      </c>
      <c r="C9" s="20">
        <f>IF(COUNTIFS(rMes_RO,$B9,rTipo_RO,"Macro")=0,"Sin datos",IF(ABS(SUMIFS(rPeso_RO,rMes_RO,$B9,rTipo_RO,"Macro")-1)&gt;0.0001,"Pesos ≠ 100%",SUMPRODUCT(--((rMes_RO=$B9)*(rTipo_RO="Macro")),rPeso_RO,rAvance_RO)))</f>
        <v/>
      </c>
      <c r="D9" s="22">
        <f>IF(COUNTIFS(rMes_RO,$B9,rTipo_RO,"Macro")=0,"",COUNTIFS(rEstado_RO,"Completado",rMes_RO,$B9,rTipo_RO,"Macro")&amp;" / "&amp;COUNTIFS(rMes_RO,$B9,rTipo_RO,"Macro"))</f>
        <v/>
      </c>
      <c r="E9" s="20">
        <f>IF(COUNTIFS(rMes_RN,$B9,rTipo_RN,"Macro")=0,"Sin datos",IF(ABS(SUMIFS(rPeso_RN,rMes_RN,$B9,rTipo_RN,"Macro")-1)&gt;0.0001,"Pesos ≠ 100%",SUMPRODUCT(--((rMes_RN=$B9)*(rTipo_RN="Macro")),rPeso_RN,rAvance_RN)))</f>
        <v/>
      </c>
      <c r="F9" s="22">
        <f>IF(COUNTIFS(rMes_RN,$B9,rTipo_RN,"Macro")=0,"",COUNTIFS(rEstado_RN,"Completado",rMes_RN,$B9,rTipo_RN,"Macro")&amp;" / "&amp;COUNTIFS(rMes_RN,$B9,rTipo_RN,"Macro"))</f>
        <v/>
      </c>
      <c r="G9" s="20">
        <f>IF(COUNTIFS(rMes_RF,$B9,rTipo_RF,"Macro")=0,"Sin datos",IF(ABS(SUMIFS(rPeso_RF,rMes_RF,$B9,rTipo_RF,"Macro")-1)&gt;0.0001,"Pesos ≠ 100%",SUMPRODUCT(--((rMes_RF=$B9)*(rTipo_RF="Macro")),rPeso_RF,rAvance_RF)))</f>
        <v/>
      </c>
      <c r="H9" s="22">
        <f>IF(COUNTIFS(rMes_RF,$B9,rTipo_RF,"Macro")=0,"",COUNTIFS(rEstado_RF,"Completado",rMes_RF,$B9,rTipo_RF,"Macro")&amp;" / "&amp;COUNTIFS(rMes_RF,$B9,rTipo_RF,"Macro"))</f>
        <v/>
      </c>
      <c r="I9" s="20">
        <f>IF(COUNTIFS(rMes_ATR,$B9,rTipo_ATR,"Macro")=0,"Sin datos",IF(ABS(SUMIFS(rPeso_ATR,rMes_ATR,$B9,rTipo_ATR,"Macro")-1)&gt;0.0001,"Pesos ≠ 100%",SUMPRODUCT(--((rMes_ATR=$B9)*(rTipo_ATR="Macro")),rPeso_ATR,rAvance_ATR)))</f>
        <v/>
      </c>
      <c r="J9" s="22">
        <f>IF(COUNTIFS(rMes_ATR,$B9,rTipo_ATR,"Macro")=0,"",COUNTIFS(rEstado_ATR,"Completado",rMes_ATR,$B9,rTipo_ATR,"Macro")&amp;" / "&amp;COUNTIFS(rMes_ATR,$B9,rTipo_ATR,"Macro"))</f>
        <v/>
      </c>
      <c r="K9" s="71">
        <f>IF(COUNT(C9,E9,G9,I9)=4,AVERAGE(C9,E9,G9,I9),IF(COUNTIF(C9:J9,"Sin datos")=4,"Sin datos","No definitivo"))</f>
        <v/>
      </c>
      <c r="M9">
        <f>CHOOSE(MONTH(DATE(YEAR(MAX(HistInicio,EDATE(MesCiclo,-5))),MONTH(MAX(HistInicio,EDATE(MesCiclo,-5)))+3,1)),"ene","feb","mar","abr","may","jun","jul","ago","sep","oct","nov","dic")&amp;" "&amp;YEAR(DATE(YEAR(MAX(HistInicio,EDATE(MesCiclo,-5))),MONTH(MAX(HistInicio,EDATE(MesCiclo,-5)))+3,1))</f>
        <v/>
      </c>
      <c r="N9">
        <f>IFERROR(N(INDEX(C6:C29,MATCH(DATE(YEAR(MAX(HistInicio,EDATE(MesCiclo,-5))),MONTH(MAX(HistInicio,EDATE(MesCiclo,-5)))+3,1),B6:B29,0))),0)</f>
        <v/>
      </c>
      <c r="O9">
        <f>IFERROR(N(INDEX(E6:E29,MATCH(DATE(YEAR(MAX(HistInicio,EDATE(MesCiclo,-5))),MONTH(MAX(HistInicio,EDATE(MesCiclo,-5)))+3,1),B6:B29,0))),0)</f>
        <v/>
      </c>
      <c r="P9">
        <f>IFERROR(N(INDEX(G6:G29,MATCH(DATE(YEAR(MAX(HistInicio,EDATE(MesCiclo,-5))),MONTH(MAX(HistInicio,EDATE(MesCiclo,-5)))+3,1),B6:B29,0))),0)</f>
        <v/>
      </c>
      <c r="Q9">
        <f>IFERROR(N(INDEX(I6:I29,MATCH(DATE(YEAR(MAX(HistInicio,EDATE(MesCiclo,-5))),MONTH(MAX(HistInicio,EDATE(MesCiclo,-5)))+3,1),B6:B29,0))),0)</f>
        <v/>
      </c>
    </row>
    <row r="10" ht="20" customHeight="1">
      <c r="B10" s="70">
        <f>DATE(YEAR(HistInicio),MONTH(HistInicio)+4,1)</f>
        <v/>
      </c>
      <c r="C10" s="20">
        <f>IF(COUNTIFS(rMes_RO,$B10,rTipo_RO,"Macro")=0,"Sin datos",IF(ABS(SUMIFS(rPeso_RO,rMes_RO,$B10,rTipo_RO,"Macro")-1)&gt;0.0001,"Pesos ≠ 100%",SUMPRODUCT(--((rMes_RO=$B10)*(rTipo_RO="Macro")),rPeso_RO,rAvance_RO)))</f>
        <v/>
      </c>
      <c r="D10" s="22">
        <f>IF(COUNTIFS(rMes_RO,$B10,rTipo_RO,"Macro")=0,"",COUNTIFS(rEstado_RO,"Completado",rMes_RO,$B10,rTipo_RO,"Macro")&amp;" / "&amp;COUNTIFS(rMes_RO,$B10,rTipo_RO,"Macro"))</f>
        <v/>
      </c>
      <c r="E10" s="20">
        <f>IF(COUNTIFS(rMes_RN,$B10,rTipo_RN,"Macro")=0,"Sin datos",IF(ABS(SUMIFS(rPeso_RN,rMes_RN,$B10,rTipo_RN,"Macro")-1)&gt;0.0001,"Pesos ≠ 100%",SUMPRODUCT(--((rMes_RN=$B10)*(rTipo_RN="Macro")),rPeso_RN,rAvance_RN)))</f>
        <v/>
      </c>
      <c r="F10" s="22">
        <f>IF(COUNTIFS(rMes_RN,$B10,rTipo_RN,"Macro")=0,"",COUNTIFS(rEstado_RN,"Completado",rMes_RN,$B10,rTipo_RN,"Macro")&amp;" / "&amp;COUNTIFS(rMes_RN,$B10,rTipo_RN,"Macro"))</f>
        <v/>
      </c>
      <c r="G10" s="20">
        <f>IF(COUNTIFS(rMes_RF,$B10,rTipo_RF,"Macro")=0,"Sin datos",IF(ABS(SUMIFS(rPeso_RF,rMes_RF,$B10,rTipo_RF,"Macro")-1)&gt;0.0001,"Pesos ≠ 100%",SUMPRODUCT(--((rMes_RF=$B10)*(rTipo_RF="Macro")),rPeso_RF,rAvance_RF)))</f>
        <v/>
      </c>
      <c r="H10" s="22">
        <f>IF(COUNTIFS(rMes_RF,$B10,rTipo_RF,"Macro")=0,"",COUNTIFS(rEstado_RF,"Completado",rMes_RF,$B10,rTipo_RF,"Macro")&amp;" / "&amp;COUNTIFS(rMes_RF,$B10,rTipo_RF,"Macro"))</f>
        <v/>
      </c>
      <c r="I10" s="20">
        <f>IF(COUNTIFS(rMes_ATR,$B10,rTipo_ATR,"Macro")=0,"Sin datos",IF(ABS(SUMIFS(rPeso_ATR,rMes_ATR,$B10,rTipo_ATR,"Macro")-1)&gt;0.0001,"Pesos ≠ 100%",SUMPRODUCT(--((rMes_ATR=$B10)*(rTipo_ATR="Macro")),rPeso_ATR,rAvance_ATR)))</f>
        <v/>
      </c>
      <c r="J10" s="22">
        <f>IF(COUNTIFS(rMes_ATR,$B10,rTipo_ATR,"Macro")=0,"",COUNTIFS(rEstado_ATR,"Completado",rMes_ATR,$B10,rTipo_ATR,"Macro")&amp;" / "&amp;COUNTIFS(rMes_ATR,$B10,rTipo_ATR,"Macro"))</f>
        <v/>
      </c>
      <c r="K10" s="71">
        <f>IF(COUNT(C10,E10,G10,I10)=4,AVERAGE(C10,E10,G10,I10),IF(COUNTIF(C10:J10,"Sin datos")=4,"Sin datos","No definitivo"))</f>
        <v/>
      </c>
      <c r="M10">
        <f>CHOOSE(MONTH(DATE(YEAR(MAX(HistInicio,EDATE(MesCiclo,-5))),MONTH(MAX(HistInicio,EDATE(MesCiclo,-5)))+4,1)),"ene","feb","mar","abr","may","jun","jul","ago","sep","oct","nov","dic")&amp;" "&amp;YEAR(DATE(YEAR(MAX(HistInicio,EDATE(MesCiclo,-5))),MONTH(MAX(HistInicio,EDATE(MesCiclo,-5)))+4,1))</f>
        <v/>
      </c>
      <c r="N10">
        <f>IFERROR(N(INDEX(C6:C29,MATCH(DATE(YEAR(MAX(HistInicio,EDATE(MesCiclo,-5))),MONTH(MAX(HistInicio,EDATE(MesCiclo,-5)))+4,1),B6:B29,0))),0)</f>
        <v/>
      </c>
      <c r="O10">
        <f>IFERROR(N(INDEX(E6:E29,MATCH(DATE(YEAR(MAX(HistInicio,EDATE(MesCiclo,-5))),MONTH(MAX(HistInicio,EDATE(MesCiclo,-5)))+4,1),B6:B29,0))),0)</f>
        <v/>
      </c>
      <c r="P10">
        <f>IFERROR(N(INDEX(G6:G29,MATCH(DATE(YEAR(MAX(HistInicio,EDATE(MesCiclo,-5))),MONTH(MAX(HistInicio,EDATE(MesCiclo,-5)))+4,1),B6:B29,0))),0)</f>
        <v/>
      </c>
      <c r="Q10">
        <f>IFERROR(N(INDEX(I6:I29,MATCH(DATE(YEAR(MAX(HistInicio,EDATE(MesCiclo,-5))),MONTH(MAX(HistInicio,EDATE(MesCiclo,-5)))+4,1),B6:B29,0))),0)</f>
        <v/>
      </c>
    </row>
    <row r="11" ht="20" customHeight="1">
      <c r="B11" s="70">
        <f>DATE(YEAR(HistInicio),MONTH(HistInicio)+5,1)</f>
        <v/>
      </c>
      <c r="C11" s="20">
        <f>IF(COUNTIFS(rMes_RO,$B11,rTipo_RO,"Macro")=0,"Sin datos",IF(ABS(SUMIFS(rPeso_RO,rMes_RO,$B11,rTipo_RO,"Macro")-1)&gt;0.0001,"Pesos ≠ 100%",SUMPRODUCT(--((rMes_RO=$B11)*(rTipo_RO="Macro")),rPeso_RO,rAvance_RO)))</f>
        <v/>
      </c>
      <c r="D11" s="22">
        <f>IF(COUNTIFS(rMes_RO,$B11,rTipo_RO,"Macro")=0,"",COUNTIFS(rEstado_RO,"Completado",rMes_RO,$B11,rTipo_RO,"Macro")&amp;" / "&amp;COUNTIFS(rMes_RO,$B11,rTipo_RO,"Macro"))</f>
        <v/>
      </c>
      <c r="E11" s="20">
        <f>IF(COUNTIFS(rMes_RN,$B11,rTipo_RN,"Macro")=0,"Sin datos",IF(ABS(SUMIFS(rPeso_RN,rMes_RN,$B11,rTipo_RN,"Macro")-1)&gt;0.0001,"Pesos ≠ 100%",SUMPRODUCT(--((rMes_RN=$B11)*(rTipo_RN="Macro")),rPeso_RN,rAvance_RN)))</f>
        <v/>
      </c>
      <c r="F11" s="22">
        <f>IF(COUNTIFS(rMes_RN,$B11,rTipo_RN,"Macro")=0,"",COUNTIFS(rEstado_RN,"Completado",rMes_RN,$B11,rTipo_RN,"Macro")&amp;" / "&amp;COUNTIFS(rMes_RN,$B11,rTipo_RN,"Macro"))</f>
        <v/>
      </c>
      <c r="G11" s="20">
        <f>IF(COUNTIFS(rMes_RF,$B11,rTipo_RF,"Macro")=0,"Sin datos",IF(ABS(SUMIFS(rPeso_RF,rMes_RF,$B11,rTipo_RF,"Macro")-1)&gt;0.0001,"Pesos ≠ 100%",SUMPRODUCT(--((rMes_RF=$B11)*(rTipo_RF="Macro")),rPeso_RF,rAvance_RF)))</f>
        <v/>
      </c>
      <c r="H11" s="22">
        <f>IF(COUNTIFS(rMes_RF,$B11,rTipo_RF,"Macro")=0,"",COUNTIFS(rEstado_RF,"Completado",rMes_RF,$B11,rTipo_RF,"Macro")&amp;" / "&amp;COUNTIFS(rMes_RF,$B11,rTipo_RF,"Macro"))</f>
        <v/>
      </c>
      <c r="I11" s="20">
        <f>IF(COUNTIFS(rMes_ATR,$B11,rTipo_ATR,"Macro")=0,"Sin datos",IF(ABS(SUMIFS(rPeso_ATR,rMes_ATR,$B11,rTipo_ATR,"Macro")-1)&gt;0.0001,"Pesos ≠ 100%",SUMPRODUCT(--((rMes_ATR=$B11)*(rTipo_ATR="Macro")),rPeso_ATR,rAvance_ATR)))</f>
        <v/>
      </c>
      <c r="J11" s="22">
        <f>IF(COUNTIFS(rMes_ATR,$B11,rTipo_ATR,"Macro")=0,"",COUNTIFS(rEstado_ATR,"Completado",rMes_ATR,$B11,rTipo_ATR,"Macro")&amp;" / "&amp;COUNTIFS(rMes_ATR,$B11,rTipo_ATR,"Macro"))</f>
        <v/>
      </c>
      <c r="K11" s="71">
        <f>IF(COUNT(C11,E11,G11,I11)=4,AVERAGE(C11,E11,G11,I11),IF(COUNTIF(C11:J11,"Sin datos")=4,"Sin datos","No definitivo"))</f>
        <v/>
      </c>
      <c r="M11">
        <f>CHOOSE(MONTH(DATE(YEAR(MAX(HistInicio,EDATE(MesCiclo,-5))),MONTH(MAX(HistInicio,EDATE(MesCiclo,-5)))+5,1)),"ene","feb","mar","abr","may","jun","jul","ago","sep","oct","nov","dic")&amp;" "&amp;YEAR(DATE(YEAR(MAX(HistInicio,EDATE(MesCiclo,-5))),MONTH(MAX(HistInicio,EDATE(MesCiclo,-5)))+5,1))</f>
        <v/>
      </c>
      <c r="N11">
        <f>IFERROR(N(INDEX(C6:C29,MATCH(DATE(YEAR(MAX(HistInicio,EDATE(MesCiclo,-5))),MONTH(MAX(HistInicio,EDATE(MesCiclo,-5)))+5,1),B6:B29,0))),0)</f>
        <v/>
      </c>
      <c r="O11">
        <f>IFERROR(N(INDEX(E6:E29,MATCH(DATE(YEAR(MAX(HistInicio,EDATE(MesCiclo,-5))),MONTH(MAX(HistInicio,EDATE(MesCiclo,-5)))+5,1),B6:B29,0))),0)</f>
        <v/>
      </c>
      <c r="P11">
        <f>IFERROR(N(INDEX(G6:G29,MATCH(DATE(YEAR(MAX(HistInicio,EDATE(MesCiclo,-5))),MONTH(MAX(HistInicio,EDATE(MesCiclo,-5)))+5,1),B6:B29,0))),0)</f>
        <v/>
      </c>
      <c r="Q11">
        <f>IFERROR(N(INDEX(I6:I29,MATCH(DATE(YEAR(MAX(HistInicio,EDATE(MesCiclo,-5))),MONTH(MAX(HistInicio,EDATE(MesCiclo,-5)))+5,1),B6:B29,0))),0)</f>
        <v/>
      </c>
    </row>
    <row r="12" ht="20" customHeight="1">
      <c r="B12" s="70">
        <f>DATE(YEAR(HistInicio),MONTH(HistInicio)+6,1)</f>
        <v/>
      </c>
      <c r="C12" s="20">
        <f>IF(COUNTIFS(rMes_RO,$B12,rTipo_RO,"Macro")=0,"Sin datos",IF(ABS(SUMIFS(rPeso_RO,rMes_RO,$B12,rTipo_RO,"Macro")-1)&gt;0.0001,"Pesos ≠ 100%",SUMPRODUCT(--((rMes_RO=$B12)*(rTipo_RO="Macro")),rPeso_RO,rAvance_RO)))</f>
        <v/>
      </c>
      <c r="D12" s="22">
        <f>IF(COUNTIFS(rMes_RO,$B12,rTipo_RO,"Macro")=0,"",COUNTIFS(rEstado_RO,"Completado",rMes_RO,$B12,rTipo_RO,"Macro")&amp;" / "&amp;COUNTIFS(rMes_RO,$B12,rTipo_RO,"Macro"))</f>
        <v/>
      </c>
      <c r="E12" s="20">
        <f>IF(COUNTIFS(rMes_RN,$B12,rTipo_RN,"Macro")=0,"Sin datos",IF(ABS(SUMIFS(rPeso_RN,rMes_RN,$B12,rTipo_RN,"Macro")-1)&gt;0.0001,"Pesos ≠ 100%",SUMPRODUCT(--((rMes_RN=$B12)*(rTipo_RN="Macro")),rPeso_RN,rAvance_RN)))</f>
        <v/>
      </c>
      <c r="F12" s="22">
        <f>IF(COUNTIFS(rMes_RN,$B12,rTipo_RN,"Macro")=0,"",COUNTIFS(rEstado_RN,"Completado",rMes_RN,$B12,rTipo_RN,"Macro")&amp;" / "&amp;COUNTIFS(rMes_RN,$B12,rTipo_RN,"Macro"))</f>
        <v/>
      </c>
      <c r="G12" s="20">
        <f>IF(COUNTIFS(rMes_RF,$B12,rTipo_RF,"Macro")=0,"Sin datos",IF(ABS(SUMIFS(rPeso_RF,rMes_RF,$B12,rTipo_RF,"Macro")-1)&gt;0.0001,"Pesos ≠ 100%",SUMPRODUCT(--((rMes_RF=$B12)*(rTipo_RF="Macro")),rPeso_RF,rAvance_RF)))</f>
        <v/>
      </c>
      <c r="H12" s="22">
        <f>IF(COUNTIFS(rMes_RF,$B12,rTipo_RF,"Macro")=0,"",COUNTIFS(rEstado_RF,"Completado",rMes_RF,$B12,rTipo_RF,"Macro")&amp;" / "&amp;COUNTIFS(rMes_RF,$B12,rTipo_RF,"Macro"))</f>
        <v/>
      </c>
      <c r="I12" s="20">
        <f>IF(COUNTIFS(rMes_ATR,$B12,rTipo_ATR,"Macro")=0,"Sin datos",IF(ABS(SUMIFS(rPeso_ATR,rMes_ATR,$B12,rTipo_ATR,"Macro")-1)&gt;0.0001,"Pesos ≠ 100%",SUMPRODUCT(--((rMes_ATR=$B12)*(rTipo_ATR="Macro")),rPeso_ATR,rAvance_ATR)))</f>
        <v/>
      </c>
      <c r="J12" s="22">
        <f>IF(COUNTIFS(rMes_ATR,$B12,rTipo_ATR,"Macro")=0,"",COUNTIFS(rEstado_ATR,"Completado",rMes_ATR,$B12,rTipo_ATR,"Macro")&amp;" / "&amp;COUNTIFS(rMes_ATR,$B12,rTipo_ATR,"Macro"))</f>
        <v/>
      </c>
      <c r="K12" s="71">
        <f>IF(COUNT(C12,E12,G12,I12)=4,AVERAGE(C12,E12,G12,I12),IF(COUNTIF(C12:J12,"Sin datos")=4,"Sin datos","No definitivo"))</f>
        <v/>
      </c>
    </row>
    <row r="13" ht="20" customHeight="1">
      <c r="B13" s="70">
        <f>DATE(YEAR(HistInicio),MONTH(HistInicio)+7,1)</f>
        <v/>
      </c>
      <c r="C13" s="20">
        <f>IF(COUNTIFS(rMes_RO,$B13,rTipo_RO,"Macro")=0,"Sin datos",IF(ABS(SUMIFS(rPeso_RO,rMes_RO,$B13,rTipo_RO,"Macro")-1)&gt;0.0001,"Pesos ≠ 100%",SUMPRODUCT(--((rMes_RO=$B13)*(rTipo_RO="Macro")),rPeso_RO,rAvance_RO)))</f>
        <v/>
      </c>
      <c r="D13" s="22">
        <f>IF(COUNTIFS(rMes_RO,$B13,rTipo_RO,"Macro")=0,"",COUNTIFS(rEstado_RO,"Completado",rMes_RO,$B13,rTipo_RO,"Macro")&amp;" / "&amp;COUNTIFS(rMes_RO,$B13,rTipo_RO,"Macro"))</f>
        <v/>
      </c>
      <c r="E13" s="20">
        <f>IF(COUNTIFS(rMes_RN,$B13,rTipo_RN,"Macro")=0,"Sin datos",IF(ABS(SUMIFS(rPeso_RN,rMes_RN,$B13,rTipo_RN,"Macro")-1)&gt;0.0001,"Pesos ≠ 100%",SUMPRODUCT(--((rMes_RN=$B13)*(rTipo_RN="Macro")),rPeso_RN,rAvance_RN)))</f>
        <v/>
      </c>
      <c r="F13" s="22">
        <f>IF(COUNTIFS(rMes_RN,$B13,rTipo_RN,"Macro")=0,"",COUNTIFS(rEstado_RN,"Completado",rMes_RN,$B13,rTipo_RN,"Macro")&amp;" / "&amp;COUNTIFS(rMes_RN,$B13,rTipo_RN,"Macro"))</f>
        <v/>
      </c>
      <c r="G13" s="20">
        <f>IF(COUNTIFS(rMes_RF,$B13,rTipo_RF,"Macro")=0,"Sin datos",IF(ABS(SUMIFS(rPeso_RF,rMes_RF,$B13,rTipo_RF,"Macro")-1)&gt;0.0001,"Pesos ≠ 100%",SUMPRODUCT(--((rMes_RF=$B13)*(rTipo_RF="Macro")),rPeso_RF,rAvance_RF)))</f>
        <v/>
      </c>
      <c r="H13" s="22">
        <f>IF(COUNTIFS(rMes_RF,$B13,rTipo_RF,"Macro")=0,"",COUNTIFS(rEstado_RF,"Completado",rMes_RF,$B13,rTipo_RF,"Macro")&amp;" / "&amp;COUNTIFS(rMes_RF,$B13,rTipo_RF,"Macro"))</f>
        <v/>
      </c>
      <c r="I13" s="20">
        <f>IF(COUNTIFS(rMes_ATR,$B13,rTipo_ATR,"Macro")=0,"Sin datos",IF(ABS(SUMIFS(rPeso_ATR,rMes_ATR,$B13,rTipo_ATR,"Macro")-1)&gt;0.0001,"Pesos ≠ 100%",SUMPRODUCT(--((rMes_ATR=$B13)*(rTipo_ATR="Macro")),rPeso_ATR,rAvance_ATR)))</f>
        <v/>
      </c>
      <c r="J13" s="22">
        <f>IF(COUNTIFS(rMes_ATR,$B13,rTipo_ATR,"Macro")=0,"",COUNTIFS(rEstado_ATR,"Completado",rMes_ATR,$B13,rTipo_ATR,"Macro")&amp;" / "&amp;COUNTIFS(rMes_ATR,$B13,rTipo_ATR,"Macro"))</f>
        <v/>
      </c>
      <c r="K13" s="71">
        <f>IF(COUNT(C13,E13,G13,I13)=4,AVERAGE(C13,E13,G13,I13),IF(COUNTIF(C13:J13,"Sin datos")=4,"Sin datos","No definitivo"))</f>
        <v/>
      </c>
    </row>
    <row r="14" ht="20" customHeight="1">
      <c r="B14" s="70">
        <f>DATE(YEAR(HistInicio),MONTH(HistInicio)+8,1)</f>
        <v/>
      </c>
      <c r="C14" s="20">
        <f>IF(COUNTIFS(rMes_RO,$B14,rTipo_RO,"Macro")=0,"Sin datos",IF(ABS(SUMIFS(rPeso_RO,rMes_RO,$B14,rTipo_RO,"Macro")-1)&gt;0.0001,"Pesos ≠ 100%",SUMPRODUCT(--((rMes_RO=$B14)*(rTipo_RO="Macro")),rPeso_RO,rAvance_RO)))</f>
        <v/>
      </c>
      <c r="D14" s="22">
        <f>IF(COUNTIFS(rMes_RO,$B14,rTipo_RO,"Macro")=0,"",COUNTIFS(rEstado_RO,"Completado",rMes_RO,$B14,rTipo_RO,"Macro")&amp;" / "&amp;COUNTIFS(rMes_RO,$B14,rTipo_RO,"Macro"))</f>
        <v/>
      </c>
      <c r="E14" s="20">
        <f>IF(COUNTIFS(rMes_RN,$B14,rTipo_RN,"Macro")=0,"Sin datos",IF(ABS(SUMIFS(rPeso_RN,rMes_RN,$B14,rTipo_RN,"Macro")-1)&gt;0.0001,"Pesos ≠ 100%",SUMPRODUCT(--((rMes_RN=$B14)*(rTipo_RN="Macro")),rPeso_RN,rAvance_RN)))</f>
        <v/>
      </c>
      <c r="F14" s="22">
        <f>IF(COUNTIFS(rMes_RN,$B14,rTipo_RN,"Macro")=0,"",COUNTIFS(rEstado_RN,"Completado",rMes_RN,$B14,rTipo_RN,"Macro")&amp;" / "&amp;COUNTIFS(rMes_RN,$B14,rTipo_RN,"Macro"))</f>
        <v/>
      </c>
      <c r="G14" s="20">
        <f>IF(COUNTIFS(rMes_RF,$B14,rTipo_RF,"Macro")=0,"Sin datos",IF(ABS(SUMIFS(rPeso_RF,rMes_RF,$B14,rTipo_RF,"Macro")-1)&gt;0.0001,"Pesos ≠ 100%",SUMPRODUCT(--((rMes_RF=$B14)*(rTipo_RF="Macro")),rPeso_RF,rAvance_RF)))</f>
        <v/>
      </c>
      <c r="H14" s="22">
        <f>IF(COUNTIFS(rMes_RF,$B14,rTipo_RF,"Macro")=0,"",COUNTIFS(rEstado_RF,"Completado",rMes_RF,$B14,rTipo_RF,"Macro")&amp;" / "&amp;COUNTIFS(rMes_RF,$B14,rTipo_RF,"Macro"))</f>
        <v/>
      </c>
      <c r="I14" s="20">
        <f>IF(COUNTIFS(rMes_ATR,$B14,rTipo_ATR,"Macro")=0,"Sin datos",IF(ABS(SUMIFS(rPeso_ATR,rMes_ATR,$B14,rTipo_ATR,"Macro")-1)&gt;0.0001,"Pesos ≠ 100%",SUMPRODUCT(--((rMes_ATR=$B14)*(rTipo_ATR="Macro")),rPeso_ATR,rAvance_ATR)))</f>
        <v/>
      </c>
      <c r="J14" s="22">
        <f>IF(COUNTIFS(rMes_ATR,$B14,rTipo_ATR,"Macro")=0,"",COUNTIFS(rEstado_ATR,"Completado",rMes_ATR,$B14,rTipo_ATR,"Macro")&amp;" / "&amp;COUNTIFS(rMes_ATR,$B14,rTipo_ATR,"Macro"))</f>
        <v/>
      </c>
      <c r="K14" s="71">
        <f>IF(COUNT(C14,E14,G14,I14)=4,AVERAGE(C14,E14,G14,I14),IF(COUNTIF(C14:J14,"Sin datos")=4,"Sin datos","No definitivo"))</f>
        <v/>
      </c>
    </row>
    <row r="15" ht="20" customHeight="1">
      <c r="B15" s="70">
        <f>DATE(YEAR(HistInicio),MONTH(HistInicio)+9,1)</f>
        <v/>
      </c>
      <c r="C15" s="20">
        <f>IF(COUNTIFS(rMes_RO,$B15,rTipo_RO,"Macro")=0,"Sin datos",IF(ABS(SUMIFS(rPeso_RO,rMes_RO,$B15,rTipo_RO,"Macro")-1)&gt;0.0001,"Pesos ≠ 100%",SUMPRODUCT(--((rMes_RO=$B15)*(rTipo_RO="Macro")),rPeso_RO,rAvance_RO)))</f>
        <v/>
      </c>
      <c r="D15" s="22">
        <f>IF(COUNTIFS(rMes_RO,$B15,rTipo_RO,"Macro")=0,"",COUNTIFS(rEstado_RO,"Completado",rMes_RO,$B15,rTipo_RO,"Macro")&amp;" / "&amp;COUNTIFS(rMes_RO,$B15,rTipo_RO,"Macro"))</f>
        <v/>
      </c>
      <c r="E15" s="20">
        <f>IF(COUNTIFS(rMes_RN,$B15,rTipo_RN,"Macro")=0,"Sin datos",IF(ABS(SUMIFS(rPeso_RN,rMes_RN,$B15,rTipo_RN,"Macro")-1)&gt;0.0001,"Pesos ≠ 100%",SUMPRODUCT(--((rMes_RN=$B15)*(rTipo_RN="Macro")),rPeso_RN,rAvance_RN)))</f>
        <v/>
      </c>
      <c r="F15" s="22">
        <f>IF(COUNTIFS(rMes_RN,$B15,rTipo_RN,"Macro")=0,"",COUNTIFS(rEstado_RN,"Completado",rMes_RN,$B15,rTipo_RN,"Macro")&amp;" / "&amp;COUNTIFS(rMes_RN,$B15,rTipo_RN,"Macro"))</f>
        <v/>
      </c>
      <c r="G15" s="20">
        <f>IF(COUNTIFS(rMes_RF,$B15,rTipo_RF,"Macro")=0,"Sin datos",IF(ABS(SUMIFS(rPeso_RF,rMes_RF,$B15,rTipo_RF,"Macro")-1)&gt;0.0001,"Pesos ≠ 100%",SUMPRODUCT(--((rMes_RF=$B15)*(rTipo_RF="Macro")),rPeso_RF,rAvance_RF)))</f>
        <v/>
      </c>
      <c r="H15" s="22">
        <f>IF(COUNTIFS(rMes_RF,$B15,rTipo_RF,"Macro")=0,"",COUNTIFS(rEstado_RF,"Completado",rMes_RF,$B15,rTipo_RF,"Macro")&amp;" / "&amp;COUNTIFS(rMes_RF,$B15,rTipo_RF,"Macro"))</f>
        <v/>
      </c>
      <c r="I15" s="20">
        <f>IF(COUNTIFS(rMes_ATR,$B15,rTipo_ATR,"Macro")=0,"Sin datos",IF(ABS(SUMIFS(rPeso_ATR,rMes_ATR,$B15,rTipo_ATR,"Macro")-1)&gt;0.0001,"Pesos ≠ 100%",SUMPRODUCT(--((rMes_ATR=$B15)*(rTipo_ATR="Macro")),rPeso_ATR,rAvance_ATR)))</f>
        <v/>
      </c>
      <c r="J15" s="22">
        <f>IF(COUNTIFS(rMes_ATR,$B15,rTipo_ATR,"Macro")=0,"",COUNTIFS(rEstado_ATR,"Completado",rMes_ATR,$B15,rTipo_ATR,"Macro")&amp;" / "&amp;COUNTIFS(rMes_ATR,$B15,rTipo_ATR,"Macro"))</f>
        <v/>
      </c>
      <c r="K15" s="71">
        <f>IF(COUNT(C15,E15,G15,I15)=4,AVERAGE(C15,E15,G15,I15),IF(COUNTIF(C15:J15,"Sin datos")=4,"Sin datos","No definitivo"))</f>
        <v/>
      </c>
    </row>
    <row r="16" ht="20" customHeight="1">
      <c r="B16" s="70">
        <f>DATE(YEAR(HistInicio),MONTH(HistInicio)+10,1)</f>
        <v/>
      </c>
      <c r="C16" s="20">
        <f>IF(COUNTIFS(rMes_RO,$B16,rTipo_RO,"Macro")=0,"Sin datos",IF(ABS(SUMIFS(rPeso_RO,rMes_RO,$B16,rTipo_RO,"Macro")-1)&gt;0.0001,"Pesos ≠ 100%",SUMPRODUCT(--((rMes_RO=$B16)*(rTipo_RO="Macro")),rPeso_RO,rAvance_RO)))</f>
        <v/>
      </c>
      <c r="D16" s="22">
        <f>IF(COUNTIFS(rMes_RO,$B16,rTipo_RO,"Macro")=0,"",COUNTIFS(rEstado_RO,"Completado",rMes_RO,$B16,rTipo_RO,"Macro")&amp;" / "&amp;COUNTIFS(rMes_RO,$B16,rTipo_RO,"Macro"))</f>
        <v/>
      </c>
      <c r="E16" s="20">
        <f>IF(COUNTIFS(rMes_RN,$B16,rTipo_RN,"Macro")=0,"Sin datos",IF(ABS(SUMIFS(rPeso_RN,rMes_RN,$B16,rTipo_RN,"Macro")-1)&gt;0.0001,"Pesos ≠ 100%",SUMPRODUCT(--((rMes_RN=$B16)*(rTipo_RN="Macro")),rPeso_RN,rAvance_RN)))</f>
        <v/>
      </c>
      <c r="F16" s="22">
        <f>IF(COUNTIFS(rMes_RN,$B16,rTipo_RN,"Macro")=0,"",COUNTIFS(rEstado_RN,"Completado",rMes_RN,$B16,rTipo_RN,"Macro")&amp;" / "&amp;COUNTIFS(rMes_RN,$B16,rTipo_RN,"Macro"))</f>
        <v/>
      </c>
      <c r="G16" s="20">
        <f>IF(COUNTIFS(rMes_RF,$B16,rTipo_RF,"Macro")=0,"Sin datos",IF(ABS(SUMIFS(rPeso_RF,rMes_RF,$B16,rTipo_RF,"Macro")-1)&gt;0.0001,"Pesos ≠ 100%",SUMPRODUCT(--((rMes_RF=$B16)*(rTipo_RF="Macro")),rPeso_RF,rAvance_RF)))</f>
        <v/>
      </c>
      <c r="H16" s="22">
        <f>IF(COUNTIFS(rMes_RF,$B16,rTipo_RF,"Macro")=0,"",COUNTIFS(rEstado_RF,"Completado",rMes_RF,$B16,rTipo_RF,"Macro")&amp;" / "&amp;COUNTIFS(rMes_RF,$B16,rTipo_RF,"Macro"))</f>
        <v/>
      </c>
      <c r="I16" s="20">
        <f>IF(COUNTIFS(rMes_ATR,$B16,rTipo_ATR,"Macro")=0,"Sin datos",IF(ABS(SUMIFS(rPeso_ATR,rMes_ATR,$B16,rTipo_ATR,"Macro")-1)&gt;0.0001,"Pesos ≠ 100%",SUMPRODUCT(--((rMes_ATR=$B16)*(rTipo_ATR="Macro")),rPeso_ATR,rAvance_ATR)))</f>
        <v/>
      </c>
      <c r="J16" s="22">
        <f>IF(COUNTIFS(rMes_ATR,$B16,rTipo_ATR,"Macro")=0,"",COUNTIFS(rEstado_ATR,"Completado",rMes_ATR,$B16,rTipo_ATR,"Macro")&amp;" / "&amp;COUNTIFS(rMes_ATR,$B16,rTipo_ATR,"Macro"))</f>
        <v/>
      </c>
      <c r="K16" s="71">
        <f>IF(COUNT(C16,E16,G16,I16)=4,AVERAGE(C16,E16,G16,I16),IF(COUNTIF(C16:J16,"Sin datos")=4,"Sin datos","No definitivo"))</f>
        <v/>
      </c>
    </row>
    <row r="17" ht="20" customHeight="1">
      <c r="B17" s="70">
        <f>DATE(YEAR(HistInicio),MONTH(HistInicio)+11,1)</f>
        <v/>
      </c>
      <c r="C17" s="20">
        <f>IF(COUNTIFS(rMes_RO,$B17,rTipo_RO,"Macro")=0,"Sin datos",IF(ABS(SUMIFS(rPeso_RO,rMes_RO,$B17,rTipo_RO,"Macro")-1)&gt;0.0001,"Pesos ≠ 100%",SUMPRODUCT(--((rMes_RO=$B17)*(rTipo_RO="Macro")),rPeso_RO,rAvance_RO)))</f>
        <v/>
      </c>
      <c r="D17" s="22">
        <f>IF(COUNTIFS(rMes_RO,$B17,rTipo_RO,"Macro")=0,"",COUNTIFS(rEstado_RO,"Completado",rMes_RO,$B17,rTipo_RO,"Macro")&amp;" / "&amp;COUNTIFS(rMes_RO,$B17,rTipo_RO,"Macro"))</f>
        <v/>
      </c>
      <c r="E17" s="20">
        <f>IF(COUNTIFS(rMes_RN,$B17,rTipo_RN,"Macro")=0,"Sin datos",IF(ABS(SUMIFS(rPeso_RN,rMes_RN,$B17,rTipo_RN,"Macro")-1)&gt;0.0001,"Pesos ≠ 100%",SUMPRODUCT(--((rMes_RN=$B17)*(rTipo_RN="Macro")),rPeso_RN,rAvance_RN)))</f>
        <v/>
      </c>
      <c r="F17" s="22">
        <f>IF(COUNTIFS(rMes_RN,$B17,rTipo_RN,"Macro")=0,"",COUNTIFS(rEstado_RN,"Completado",rMes_RN,$B17,rTipo_RN,"Macro")&amp;" / "&amp;COUNTIFS(rMes_RN,$B17,rTipo_RN,"Macro"))</f>
        <v/>
      </c>
      <c r="G17" s="20">
        <f>IF(COUNTIFS(rMes_RF,$B17,rTipo_RF,"Macro")=0,"Sin datos",IF(ABS(SUMIFS(rPeso_RF,rMes_RF,$B17,rTipo_RF,"Macro")-1)&gt;0.0001,"Pesos ≠ 100%",SUMPRODUCT(--((rMes_RF=$B17)*(rTipo_RF="Macro")),rPeso_RF,rAvance_RF)))</f>
        <v/>
      </c>
      <c r="H17" s="22">
        <f>IF(COUNTIFS(rMes_RF,$B17,rTipo_RF,"Macro")=0,"",COUNTIFS(rEstado_RF,"Completado",rMes_RF,$B17,rTipo_RF,"Macro")&amp;" / "&amp;COUNTIFS(rMes_RF,$B17,rTipo_RF,"Macro"))</f>
        <v/>
      </c>
      <c r="I17" s="20">
        <f>IF(COUNTIFS(rMes_ATR,$B17,rTipo_ATR,"Macro")=0,"Sin datos",IF(ABS(SUMIFS(rPeso_ATR,rMes_ATR,$B17,rTipo_ATR,"Macro")-1)&gt;0.0001,"Pesos ≠ 100%",SUMPRODUCT(--((rMes_ATR=$B17)*(rTipo_ATR="Macro")),rPeso_ATR,rAvance_ATR)))</f>
        <v/>
      </c>
      <c r="J17" s="22">
        <f>IF(COUNTIFS(rMes_ATR,$B17,rTipo_ATR,"Macro")=0,"",COUNTIFS(rEstado_ATR,"Completado",rMes_ATR,$B17,rTipo_ATR,"Macro")&amp;" / "&amp;COUNTIFS(rMes_ATR,$B17,rTipo_ATR,"Macro"))</f>
        <v/>
      </c>
      <c r="K17" s="71">
        <f>IF(COUNT(C17,E17,G17,I17)=4,AVERAGE(C17,E17,G17,I17),IF(COUNTIF(C17:J17,"Sin datos")=4,"Sin datos","No definitivo"))</f>
        <v/>
      </c>
    </row>
    <row r="18" ht="20" customHeight="1">
      <c r="B18" s="70">
        <f>DATE(YEAR(HistInicio),MONTH(HistInicio)+12,1)</f>
        <v/>
      </c>
      <c r="C18" s="20">
        <f>IF(COUNTIFS(rMes_RO,$B18,rTipo_RO,"Macro")=0,"Sin datos",IF(ABS(SUMIFS(rPeso_RO,rMes_RO,$B18,rTipo_RO,"Macro")-1)&gt;0.0001,"Pesos ≠ 100%",SUMPRODUCT(--((rMes_RO=$B18)*(rTipo_RO="Macro")),rPeso_RO,rAvance_RO)))</f>
        <v/>
      </c>
      <c r="D18" s="22">
        <f>IF(COUNTIFS(rMes_RO,$B18,rTipo_RO,"Macro")=0,"",COUNTIFS(rEstado_RO,"Completado",rMes_RO,$B18,rTipo_RO,"Macro")&amp;" / "&amp;COUNTIFS(rMes_RO,$B18,rTipo_RO,"Macro"))</f>
        <v/>
      </c>
      <c r="E18" s="20">
        <f>IF(COUNTIFS(rMes_RN,$B18,rTipo_RN,"Macro")=0,"Sin datos",IF(ABS(SUMIFS(rPeso_RN,rMes_RN,$B18,rTipo_RN,"Macro")-1)&gt;0.0001,"Pesos ≠ 100%",SUMPRODUCT(--((rMes_RN=$B18)*(rTipo_RN="Macro")),rPeso_RN,rAvance_RN)))</f>
        <v/>
      </c>
      <c r="F18" s="22">
        <f>IF(COUNTIFS(rMes_RN,$B18,rTipo_RN,"Macro")=0,"",COUNTIFS(rEstado_RN,"Completado",rMes_RN,$B18,rTipo_RN,"Macro")&amp;" / "&amp;COUNTIFS(rMes_RN,$B18,rTipo_RN,"Macro"))</f>
        <v/>
      </c>
      <c r="G18" s="20">
        <f>IF(COUNTIFS(rMes_RF,$B18,rTipo_RF,"Macro")=0,"Sin datos",IF(ABS(SUMIFS(rPeso_RF,rMes_RF,$B18,rTipo_RF,"Macro")-1)&gt;0.0001,"Pesos ≠ 100%",SUMPRODUCT(--((rMes_RF=$B18)*(rTipo_RF="Macro")),rPeso_RF,rAvance_RF)))</f>
        <v/>
      </c>
      <c r="H18" s="22">
        <f>IF(COUNTIFS(rMes_RF,$B18,rTipo_RF,"Macro")=0,"",COUNTIFS(rEstado_RF,"Completado",rMes_RF,$B18,rTipo_RF,"Macro")&amp;" / "&amp;COUNTIFS(rMes_RF,$B18,rTipo_RF,"Macro"))</f>
        <v/>
      </c>
      <c r="I18" s="20">
        <f>IF(COUNTIFS(rMes_ATR,$B18,rTipo_ATR,"Macro")=0,"Sin datos",IF(ABS(SUMIFS(rPeso_ATR,rMes_ATR,$B18,rTipo_ATR,"Macro")-1)&gt;0.0001,"Pesos ≠ 100%",SUMPRODUCT(--((rMes_ATR=$B18)*(rTipo_ATR="Macro")),rPeso_ATR,rAvance_ATR)))</f>
        <v/>
      </c>
      <c r="J18" s="22">
        <f>IF(COUNTIFS(rMes_ATR,$B18,rTipo_ATR,"Macro")=0,"",COUNTIFS(rEstado_ATR,"Completado",rMes_ATR,$B18,rTipo_ATR,"Macro")&amp;" / "&amp;COUNTIFS(rMes_ATR,$B18,rTipo_ATR,"Macro"))</f>
        <v/>
      </c>
      <c r="K18" s="71">
        <f>IF(COUNT(C18,E18,G18,I18)=4,AVERAGE(C18,E18,G18,I18),IF(COUNTIF(C18:J18,"Sin datos")=4,"Sin datos","No definitivo"))</f>
        <v/>
      </c>
    </row>
    <row r="19" ht="20" customHeight="1">
      <c r="B19" s="70">
        <f>DATE(YEAR(HistInicio),MONTH(HistInicio)+13,1)</f>
        <v/>
      </c>
      <c r="C19" s="20">
        <f>IF(COUNTIFS(rMes_RO,$B19,rTipo_RO,"Macro")=0,"Sin datos",IF(ABS(SUMIFS(rPeso_RO,rMes_RO,$B19,rTipo_RO,"Macro")-1)&gt;0.0001,"Pesos ≠ 100%",SUMPRODUCT(--((rMes_RO=$B19)*(rTipo_RO="Macro")),rPeso_RO,rAvance_RO)))</f>
        <v/>
      </c>
      <c r="D19" s="22">
        <f>IF(COUNTIFS(rMes_RO,$B19,rTipo_RO,"Macro")=0,"",COUNTIFS(rEstado_RO,"Completado",rMes_RO,$B19,rTipo_RO,"Macro")&amp;" / "&amp;COUNTIFS(rMes_RO,$B19,rTipo_RO,"Macro"))</f>
        <v/>
      </c>
      <c r="E19" s="20">
        <f>IF(COUNTIFS(rMes_RN,$B19,rTipo_RN,"Macro")=0,"Sin datos",IF(ABS(SUMIFS(rPeso_RN,rMes_RN,$B19,rTipo_RN,"Macro")-1)&gt;0.0001,"Pesos ≠ 100%",SUMPRODUCT(--((rMes_RN=$B19)*(rTipo_RN="Macro")),rPeso_RN,rAvance_RN)))</f>
        <v/>
      </c>
      <c r="F19" s="22">
        <f>IF(COUNTIFS(rMes_RN,$B19,rTipo_RN,"Macro")=0,"",COUNTIFS(rEstado_RN,"Completado",rMes_RN,$B19,rTipo_RN,"Macro")&amp;" / "&amp;COUNTIFS(rMes_RN,$B19,rTipo_RN,"Macro"))</f>
        <v/>
      </c>
      <c r="G19" s="20">
        <f>IF(COUNTIFS(rMes_RF,$B19,rTipo_RF,"Macro")=0,"Sin datos",IF(ABS(SUMIFS(rPeso_RF,rMes_RF,$B19,rTipo_RF,"Macro")-1)&gt;0.0001,"Pesos ≠ 100%",SUMPRODUCT(--((rMes_RF=$B19)*(rTipo_RF="Macro")),rPeso_RF,rAvance_RF)))</f>
        <v/>
      </c>
      <c r="H19" s="22">
        <f>IF(COUNTIFS(rMes_RF,$B19,rTipo_RF,"Macro")=0,"",COUNTIFS(rEstado_RF,"Completado",rMes_RF,$B19,rTipo_RF,"Macro")&amp;" / "&amp;COUNTIFS(rMes_RF,$B19,rTipo_RF,"Macro"))</f>
        <v/>
      </c>
      <c r="I19" s="20">
        <f>IF(COUNTIFS(rMes_ATR,$B19,rTipo_ATR,"Macro")=0,"Sin datos",IF(ABS(SUMIFS(rPeso_ATR,rMes_ATR,$B19,rTipo_ATR,"Macro")-1)&gt;0.0001,"Pesos ≠ 100%",SUMPRODUCT(--((rMes_ATR=$B19)*(rTipo_ATR="Macro")),rPeso_ATR,rAvance_ATR)))</f>
        <v/>
      </c>
      <c r="J19" s="22">
        <f>IF(COUNTIFS(rMes_ATR,$B19,rTipo_ATR,"Macro")=0,"",COUNTIFS(rEstado_ATR,"Completado",rMes_ATR,$B19,rTipo_ATR,"Macro")&amp;" / "&amp;COUNTIFS(rMes_ATR,$B19,rTipo_ATR,"Macro"))</f>
        <v/>
      </c>
      <c r="K19" s="71">
        <f>IF(COUNT(C19,E19,G19,I19)=4,AVERAGE(C19,E19,G19,I19),IF(COUNTIF(C19:J19,"Sin datos")=4,"Sin datos","No definitivo"))</f>
        <v/>
      </c>
    </row>
    <row r="20" ht="20" customHeight="1">
      <c r="B20" s="70">
        <f>DATE(YEAR(HistInicio),MONTH(HistInicio)+14,1)</f>
        <v/>
      </c>
      <c r="C20" s="20">
        <f>IF(COUNTIFS(rMes_RO,$B20,rTipo_RO,"Macro")=0,"Sin datos",IF(ABS(SUMIFS(rPeso_RO,rMes_RO,$B20,rTipo_RO,"Macro")-1)&gt;0.0001,"Pesos ≠ 100%",SUMPRODUCT(--((rMes_RO=$B20)*(rTipo_RO="Macro")),rPeso_RO,rAvance_RO)))</f>
        <v/>
      </c>
      <c r="D20" s="22">
        <f>IF(COUNTIFS(rMes_RO,$B20,rTipo_RO,"Macro")=0,"",COUNTIFS(rEstado_RO,"Completado",rMes_RO,$B20,rTipo_RO,"Macro")&amp;" / "&amp;COUNTIFS(rMes_RO,$B20,rTipo_RO,"Macro"))</f>
        <v/>
      </c>
      <c r="E20" s="20">
        <f>IF(COUNTIFS(rMes_RN,$B20,rTipo_RN,"Macro")=0,"Sin datos",IF(ABS(SUMIFS(rPeso_RN,rMes_RN,$B20,rTipo_RN,"Macro")-1)&gt;0.0001,"Pesos ≠ 100%",SUMPRODUCT(--((rMes_RN=$B20)*(rTipo_RN="Macro")),rPeso_RN,rAvance_RN)))</f>
        <v/>
      </c>
      <c r="F20" s="22">
        <f>IF(COUNTIFS(rMes_RN,$B20,rTipo_RN,"Macro")=0,"",COUNTIFS(rEstado_RN,"Completado",rMes_RN,$B20,rTipo_RN,"Macro")&amp;" / "&amp;COUNTIFS(rMes_RN,$B20,rTipo_RN,"Macro"))</f>
        <v/>
      </c>
      <c r="G20" s="20">
        <f>IF(COUNTIFS(rMes_RF,$B20,rTipo_RF,"Macro")=0,"Sin datos",IF(ABS(SUMIFS(rPeso_RF,rMes_RF,$B20,rTipo_RF,"Macro")-1)&gt;0.0001,"Pesos ≠ 100%",SUMPRODUCT(--((rMes_RF=$B20)*(rTipo_RF="Macro")),rPeso_RF,rAvance_RF)))</f>
        <v/>
      </c>
      <c r="H20" s="22">
        <f>IF(COUNTIFS(rMes_RF,$B20,rTipo_RF,"Macro")=0,"",COUNTIFS(rEstado_RF,"Completado",rMes_RF,$B20,rTipo_RF,"Macro")&amp;" / "&amp;COUNTIFS(rMes_RF,$B20,rTipo_RF,"Macro"))</f>
        <v/>
      </c>
      <c r="I20" s="20">
        <f>IF(COUNTIFS(rMes_ATR,$B20,rTipo_ATR,"Macro")=0,"Sin datos",IF(ABS(SUMIFS(rPeso_ATR,rMes_ATR,$B20,rTipo_ATR,"Macro")-1)&gt;0.0001,"Pesos ≠ 100%",SUMPRODUCT(--((rMes_ATR=$B20)*(rTipo_ATR="Macro")),rPeso_ATR,rAvance_ATR)))</f>
        <v/>
      </c>
      <c r="J20" s="22">
        <f>IF(COUNTIFS(rMes_ATR,$B20,rTipo_ATR,"Macro")=0,"",COUNTIFS(rEstado_ATR,"Completado",rMes_ATR,$B20,rTipo_ATR,"Macro")&amp;" / "&amp;COUNTIFS(rMes_ATR,$B20,rTipo_ATR,"Macro"))</f>
        <v/>
      </c>
      <c r="K20" s="71">
        <f>IF(COUNT(C20,E20,G20,I20)=4,AVERAGE(C20,E20,G20,I20),IF(COUNTIF(C20:J20,"Sin datos")=4,"Sin datos","No definitivo"))</f>
        <v/>
      </c>
    </row>
    <row r="21" ht="20" customHeight="1">
      <c r="B21" s="70">
        <f>DATE(YEAR(HistInicio),MONTH(HistInicio)+15,1)</f>
        <v/>
      </c>
      <c r="C21" s="20">
        <f>IF(COUNTIFS(rMes_RO,$B21,rTipo_RO,"Macro")=0,"Sin datos",IF(ABS(SUMIFS(rPeso_RO,rMes_RO,$B21,rTipo_RO,"Macro")-1)&gt;0.0001,"Pesos ≠ 100%",SUMPRODUCT(--((rMes_RO=$B21)*(rTipo_RO="Macro")),rPeso_RO,rAvance_RO)))</f>
        <v/>
      </c>
      <c r="D21" s="22">
        <f>IF(COUNTIFS(rMes_RO,$B21,rTipo_RO,"Macro")=0,"",COUNTIFS(rEstado_RO,"Completado",rMes_RO,$B21,rTipo_RO,"Macro")&amp;" / "&amp;COUNTIFS(rMes_RO,$B21,rTipo_RO,"Macro"))</f>
        <v/>
      </c>
      <c r="E21" s="20">
        <f>IF(COUNTIFS(rMes_RN,$B21,rTipo_RN,"Macro")=0,"Sin datos",IF(ABS(SUMIFS(rPeso_RN,rMes_RN,$B21,rTipo_RN,"Macro")-1)&gt;0.0001,"Pesos ≠ 100%",SUMPRODUCT(--((rMes_RN=$B21)*(rTipo_RN="Macro")),rPeso_RN,rAvance_RN)))</f>
        <v/>
      </c>
      <c r="F21" s="22">
        <f>IF(COUNTIFS(rMes_RN,$B21,rTipo_RN,"Macro")=0,"",COUNTIFS(rEstado_RN,"Completado",rMes_RN,$B21,rTipo_RN,"Macro")&amp;" / "&amp;COUNTIFS(rMes_RN,$B21,rTipo_RN,"Macro"))</f>
        <v/>
      </c>
      <c r="G21" s="20">
        <f>IF(COUNTIFS(rMes_RF,$B21,rTipo_RF,"Macro")=0,"Sin datos",IF(ABS(SUMIFS(rPeso_RF,rMes_RF,$B21,rTipo_RF,"Macro")-1)&gt;0.0001,"Pesos ≠ 100%",SUMPRODUCT(--((rMes_RF=$B21)*(rTipo_RF="Macro")),rPeso_RF,rAvance_RF)))</f>
        <v/>
      </c>
      <c r="H21" s="22">
        <f>IF(COUNTIFS(rMes_RF,$B21,rTipo_RF,"Macro")=0,"",COUNTIFS(rEstado_RF,"Completado",rMes_RF,$B21,rTipo_RF,"Macro")&amp;" / "&amp;COUNTIFS(rMes_RF,$B21,rTipo_RF,"Macro"))</f>
        <v/>
      </c>
      <c r="I21" s="20">
        <f>IF(COUNTIFS(rMes_ATR,$B21,rTipo_ATR,"Macro")=0,"Sin datos",IF(ABS(SUMIFS(rPeso_ATR,rMes_ATR,$B21,rTipo_ATR,"Macro")-1)&gt;0.0001,"Pesos ≠ 100%",SUMPRODUCT(--((rMes_ATR=$B21)*(rTipo_ATR="Macro")),rPeso_ATR,rAvance_ATR)))</f>
        <v/>
      </c>
      <c r="J21" s="22">
        <f>IF(COUNTIFS(rMes_ATR,$B21,rTipo_ATR,"Macro")=0,"",COUNTIFS(rEstado_ATR,"Completado",rMes_ATR,$B21,rTipo_ATR,"Macro")&amp;" / "&amp;COUNTIFS(rMes_ATR,$B21,rTipo_ATR,"Macro"))</f>
        <v/>
      </c>
      <c r="K21" s="71">
        <f>IF(COUNT(C21,E21,G21,I21)=4,AVERAGE(C21,E21,G21,I21),IF(COUNTIF(C21:J21,"Sin datos")=4,"Sin datos","No definitivo"))</f>
        <v/>
      </c>
    </row>
    <row r="22" ht="20" customHeight="1">
      <c r="B22" s="70">
        <f>DATE(YEAR(HistInicio),MONTH(HistInicio)+16,1)</f>
        <v/>
      </c>
      <c r="C22" s="20">
        <f>IF(COUNTIFS(rMes_RO,$B22,rTipo_RO,"Macro")=0,"Sin datos",IF(ABS(SUMIFS(rPeso_RO,rMes_RO,$B22,rTipo_RO,"Macro")-1)&gt;0.0001,"Pesos ≠ 100%",SUMPRODUCT(--((rMes_RO=$B22)*(rTipo_RO="Macro")),rPeso_RO,rAvance_RO)))</f>
        <v/>
      </c>
      <c r="D22" s="22">
        <f>IF(COUNTIFS(rMes_RO,$B22,rTipo_RO,"Macro")=0,"",COUNTIFS(rEstado_RO,"Completado",rMes_RO,$B22,rTipo_RO,"Macro")&amp;" / "&amp;COUNTIFS(rMes_RO,$B22,rTipo_RO,"Macro"))</f>
        <v/>
      </c>
      <c r="E22" s="20">
        <f>IF(COUNTIFS(rMes_RN,$B22,rTipo_RN,"Macro")=0,"Sin datos",IF(ABS(SUMIFS(rPeso_RN,rMes_RN,$B22,rTipo_RN,"Macro")-1)&gt;0.0001,"Pesos ≠ 100%",SUMPRODUCT(--((rMes_RN=$B22)*(rTipo_RN="Macro")),rPeso_RN,rAvance_RN)))</f>
        <v/>
      </c>
      <c r="F22" s="22">
        <f>IF(COUNTIFS(rMes_RN,$B22,rTipo_RN,"Macro")=0,"",COUNTIFS(rEstado_RN,"Completado",rMes_RN,$B22,rTipo_RN,"Macro")&amp;" / "&amp;COUNTIFS(rMes_RN,$B22,rTipo_RN,"Macro"))</f>
        <v/>
      </c>
      <c r="G22" s="20">
        <f>IF(COUNTIFS(rMes_RF,$B22,rTipo_RF,"Macro")=0,"Sin datos",IF(ABS(SUMIFS(rPeso_RF,rMes_RF,$B22,rTipo_RF,"Macro")-1)&gt;0.0001,"Pesos ≠ 100%",SUMPRODUCT(--((rMes_RF=$B22)*(rTipo_RF="Macro")),rPeso_RF,rAvance_RF)))</f>
        <v/>
      </c>
      <c r="H22" s="22">
        <f>IF(COUNTIFS(rMes_RF,$B22,rTipo_RF,"Macro")=0,"",COUNTIFS(rEstado_RF,"Completado",rMes_RF,$B22,rTipo_RF,"Macro")&amp;" / "&amp;COUNTIFS(rMes_RF,$B22,rTipo_RF,"Macro"))</f>
        <v/>
      </c>
      <c r="I22" s="20">
        <f>IF(COUNTIFS(rMes_ATR,$B22,rTipo_ATR,"Macro")=0,"Sin datos",IF(ABS(SUMIFS(rPeso_ATR,rMes_ATR,$B22,rTipo_ATR,"Macro")-1)&gt;0.0001,"Pesos ≠ 100%",SUMPRODUCT(--((rMes_ATR=$B22)*(rTipo_ATR="Macro")),rPeso_ATR,rAvance_ATR)))</f>
        <v/>
      </c>
      <c r="J22" s="22">
        <f>IF(COUNTIFS(rMes_ATR,$B22,rTipo_ATR,"Macro")=0,"",COUNTIFS(rEstado_ATR,"Completado",rMes_ATR,$B22,rTipo_ATR,"Macro")&amp;" / "&amp;COUNTIFS(rMes_ATR,$B22,rTipo_ATR,"Macro"))</f>
        <v/>
      </c>
      <c r="K22" s="71">
        <f>IF(COUNT(C22,E22,G22,I22)=4,AVERAGE(C22,E22,G22,I22),IF(COUNTIF(C22:J22,"Sin datos")=4,"Sin datos","No definitivo"))</f>
        <v/>
      </c>
    </row>
    <row r="23" ht="20" customHeight="1">
      <c r="B23" s="70">
        <f>DATE(YEAR(HistInicio),MONTH(HistInicio)+17,1)</f>
        <v/>
      </c>
      <c r="C23" s="20">
        <f>IF(COUNTIFS(rMes_RO,$B23,rTipo_RO,"Macro")=0,"Sin datos",IF(ABS(SUMIFS(rPeso_RO,rMes_RO,$B23,rTipo_RO,"Macro")-1)&gt;0.0001,"Pesos ≠ 100%",SUMPRODUCT(--((rMes_RO=$B23)*(rTipo_RO="Macro")),rPeso_RO,rAvance_RO)))</f>
        <v/>
      </c>
      <c r="D23" s="22">
        <f>IF(COUNTIFS(rMes_RO,$B23,rTipo_RO,"Macro")=0,"",COUNTIFS(rEstado_RO,"Completado",rMes_RO,$B23,rTipo_RO,"Macro")&amp;" / "&amp;COUNTIFS(rMes_RO,$B23,rTipo_RO,"Macro"))</f>
        <v/>
      </c>
      <c r="E23" s="20">
        <f>IF(COUNTIFS(rMes_RN,$B23,rTipo_RN,"Macro")=0,"Sin datos",IF(ABS(SUMIFS(rPeso_RN,rMes_RN,$B23,rTipo_RN,"Macro")-1)&gt;0.0001,"Pesos ≠ 100%",SUMPRODUCT(--((rMes_RN=$B23)*(rTipo_RN="Macro")),rPeso_RN,rAvance_RN)))</f>
        <v/>
      </c>
      <c r="F23" s="22">
        <f>IF(COUNTIFS(rMes_RN,$B23,rTipo_RN,"Macro")=0,"",COUNTIFS(rEstado_RN,"Completado",rMes_RN,$B23,rTipo_RN,"Macro")&amp;" / "&amp;COUNTIFS(rMes_RN,$B23,rTipo_RN,"Macro"))</f>
        <v/>
      </c>
      <c r="G23" s="20">
        <f>IF(COUNTIFS(rMes_RF,$B23,rTipo_RF,"Macro")=0,"Sin datos",IF(ABS(SUMIFS(rPeso_RF,rMes_RF,$B23,rTipo_RF,"Macro")-1)&gt;0.0001,"Pesos ≠ 100%",SUMPRODUCT(--((rMes_RF=$B23)*(rTipo_RF="Macro")),rPeso_RF,rAvance_RF)))</f>
        <v/>
      </c>
      <c r="H23" s="22">
        <f>IF(COUNTIFS(rMes_RF,$B23,rTipo_RF,"Macro")=0,"",COUNTIFS(rEstado_RF,"Completado",rMes_RF,$B23,rTipo_RF,"Macro")&amp;" / "&amp;COUNTIFS(rMes_RF,$B23,rTipo_RF,"Macro"))</f>
        <v/>
      </c>
      <c r="I23" s="20">
        <f>IF(COUNTIFS(rMes_ATR,$B23,rTipo_ATR,"Macro")=0,"Sin datos",IF(ABS(SUMIFS(rPeso_ATR,rMes_ATR,$B23,rTipo_ATR,"Macro")-1)&gt;0.0001,"Pesos ≠ 100%",SUMPRODUCT(--((rMes_ATR=$B23)*(rTipo_ATR="Macro")),rPeso_ATR,rAvance_ATR)))</f>
        <v/>
      </c>
      <c r="J23" s="22">
        <f>IF(COUNTIFS(rMes_ATR,$B23,rTipo_ATR,"Macro")=0,"",COUNTIFS(rEstado_ATR,"Completado",rMes_ATR,$B23,rTipo_ATR,"Macro")&amp;" / "&amp;COUNTIFS(rMes_ATR,$B23,rTipo_ATR,"Macro"))</f>
        <v/>
      </c>
      <c r="K23" s="71">
        <f>IF(COUNT(C23,E23,G23,I23)=4,AVERAGE(C23,E23,G23,I23),IF(COUNTIF(C23:J23,"Sin datos")=4,"Sin datos","No definitivo"))</f>
        <v/>
      </c>
    </row>
    <row r="24" ht="20" customHeight="1">
      <c r="B24" s="70">
        <f>DATE(YEAR(HistInicio),MONTH(HistInicio)+18,1)</f>
        <v/>
      </c>
      <c r="C24" s="20">
        <f>IF(COUNTIFS(rMes_RO,$B24,rTipo_RO,"Macro")=0,"Sin datos",IF(ABS(SUMIFS(rPeso_RO,rMes_RO,$B24,rTipo_RO,"Macro")-1)&gt;0.0001,"Pesos ≠ 100%",SUMPRODUCT(--((rMes_RO=$B24)*(rTipo_RO="Macro")),rPeso_RO,rAvance_RO)))</f>
        <v/>
      </c>
      <c r="D24" s="22">
        <f>IF(COUNTIFS(rMes_RO,$B24,rTipo_RO,"Macro")=0,"",COUNTIFS(rEstado_RO,"Completado",rMes_RO,$B24,rTipo_RO,"Macro")&amp;" / "&amp;COUNTIFS(rMes_RO,$B24,rTipo_RO,"Macro"))</f>
        <v/>
      </c>
      <c r="E24" s="20">
        <f>IF(COUNTIFS(rMes_RN,$B24,rTipo_RN,"Macro")=0,"Sin datos",IF(ABS(SUMIFS(rPeso_RN,rMes_RN,$B24,rTipo_RN,"Macro")-1)&gt;0.0001,"Pesos ≠ 100%",SUMPRODUCT(--((rMes_RN=$B24)*(rTipo_RN="Macro")),rPeso_RN,rAvance_RN)))</f>
        <v/>
      </c>
      <c r="F24" s="22">
        <f>IF(COUNTIFS(rMes_RN,$B24,rTipo_RN,"Macro")=0,"",COUNTIFS(rEstado_RN,"Completado",rMes_RN,$B24,rTipo_RN,"Macro")&amp;" / "&amp;COUNTIFS(rMes_RN,$B24,rTipo_RN,"Macro"))</f>
        <v/>
      </c>
      <c r="G24" s="20">
        <f>IF(COUNTIFS(rMes_RF,$B24,rTipo_RF,"Macro")=0,"Sin datos",IF(ABS(SUMIFS(rPeso_RF,rMes_RF,$B24,rTipo_RF,"Macro")-1)&gt;0.0001,"Pesos ≠ 100%",SUMPRODUCT(--((rMes_RF=$B24)*(rTipo_RF="Macro")),rPeso_RF,rAvance_RF)))</f>
        <v/>
      </c>
      <c r="H24" s="22">
        <f>IF(COUNTIFS(rMes_RF,$B24,rTipo_RF,"Macro")=0,"",COUNTIFS(rEstado_RF,"Completado",rMes_RF,$B24,rTipo_RF,"Macro")&amp;" / "&amp;COUNTIFS(rMes_RF,$B24,rTipo_RF,"Macro"))</f>
        <v/>
      </c>
      <c r="I24" s="20">
        <f>IF(COUNTIFS(rMes_ATR,$B24,rTipo_ATR,"Macro")=0,"Sin datos",IF(ABS(SUMIFS(rPeso_ATR,rMes_ATR,$B24,rTipo_ATR,"Macro")-1)&gt;0.0001,"Pesos ≠ 100%",SUMPRODUCT(--((rMes_ATR=$B24)*(rTipo_ATR="Macro")),rPeso_ATR,rAvance_ATR)))</f>
        <v/>
      </c>
      <c r="J24" s="22">
        <f>IF(COUNTIFS(rMes_ATR,$B24,rTipo_ATR,"Macro")=0,"",COUNTIFS(rEstado_ATR,"Completado",rMes_ATR,$B24,rTipo_ATR,"Macro")&amp;" / "&amp;COUNTIFS(rMes_ATR,$B24,rTipo_ATR,"Macro"))</f>
        <v/>
      </c>
      <c r="K24" s="71">
        <f>IF(COUNT(C24,E24,G24,I24)=4,AVERAGE(C24,E24,G24,I24),IF(COUNTIF(C24:J24,"Sin datos")=4,"Sin datos","No definitivo"))</f>
        <v/>
      </c>
    </row>
    <row r="25" ht="20" customHeight="1">
      <c r="B25" s="70">
        <f>DATE(YEAR(HistInicio),MONTH(HistInicio)+19,1)</f>
        <v/>
      </c>
      <c r="C25" s="20">
        <f>IF(COUNTIFS(rMes_RO,$B25,rTipo_RO,"Macro")=0,"Sin datos",IF(ABS(SUMIFS(rPeso_RO,rMes_RO,$B25,rTipo_RO,"Macro")-1)&gt;0.0001,"Pesos ≠ 100%",SUMPRODUCT(--((rMes_RO=$B25)*(rTipo_RO="Macro")),rPeso_RO,rAvance_RO)))</f>
        <v/>
      </c>
      <c r="D25" s="22">
        <f>IF(COUNTIFS(rMes_RO,$B25,rTipo_RO,"Macro")=0,"",COUNTIFS(rEstado_RO,"Completado",rMes_RO,$B25,rTipo_RO,"Macro")&amp;" / "&amp;COUNTIFS(rMes_RO,$B25,rTipo_RO,"Macro"))</f>
        <v/>
      </c>
      <c r="E25" s="20">
        <f>IF(COUNTIFS(rMes_RN,$B25,rTipo_RN,"Macro")=0,"Sin datos",IF(ABS(SUMIFS(rPeso_RN,rMes_RN,$B25,rTipo_RN,"Macro")-1)&gt;0.0001,"Pesos ≠ 100%",SUMPRODUCT(--((rMes_RN=$B25)*(rTipo_RN="Macro")),rPeso_RN,rAvance_RN)))</f>
        <v/>
      </c>
      <c r="F25" s="22">
        <f>IF(COUNTIFS(rMes_RN,$B25,rTipo_RN,"Macro")=0,"",COUNTIFS(rEstado_RN,"Completado",rMes_RN,$B25,rTipo_RN,"Macro")&amp;" / "&amp;COUNTIFS(rMes_RN,$B25,rTipo_RN,"Macro"))</f>
        <v/>
      </c>
      <c r="G25" s="20">
        <f>IF(COUNTIFS(rMes_RF,$B25,rTipo_RF,"Macro")=0,"Sin datos",IF(ABS(SUMIFS(rPeso_RF,rMes_RF,$B25,rTipo_RF,"Macro")-1)&gt;0.0001,"Pesos ≠ 100%",SUMPRODUCT(--((rMes_RF=$B25)*(rTipo_RF="Macro")),rPeso_RF,rAvance_RF)))</f>
        <v/>
      </c>
      <c r="H25" s="22">
        <f>IF(COUNTIFS(rMes_RF,$B25,rTipo_RF,"Macro")=0,"",COUNTIFS(rEstado_RF,"Completado",rMes_RF,$B25,rTipo_RF,"Macro")&amp;" / "&amp;COUNTIFS(rMes_RF,$B25,rTipo_RF,"Macro"))</f>
        <v/>
      </c>
      <c r="I25" s="20">
        <f>IF(COUNTIFS(rMes_ATR,$B25,rTipo_ATR,"Macro")=0,"Sin datos",IF(ABS(SUMIFS(rPeso_ATR,rMes_ATR,$B25,rTipo_ATR,"Macro")-1)&gt;0.0001,"Pesos ≠ 100%",SUMPRODUCT(--((rMes_ATR=$B25)*(rTipo_ATR="Macro")),rPeso_ATR,rAvance_ATR)))</f>
        <v/>
      </c>
      <c r="J25" s="22">
        <f>IF(COUNTIFS(rMes_ATR,$B25,rTipo_ATR,"Macro")=0,"",COUNTIFS(rEstado_ATR,"Completado",rMes_ATR,$B25,rTipo_ATR,"Macro")&amp;" / "&amp;COUNTIFS(rMes_ATR,$B25,rTipo_ATR,"Macro"))</f>
        <v/>
      </c>
      <c r="K25" s="71">
        <f>IF(COUNT(C25,E25,G25,I25)=4,AVERAGE(C25,E25,G25,I25),IF(COUNTIF(C25:J25,"Sin datos")=4,"Sin datos","No definitivo"))</f>
        <v/>
      </c>
    </row>
    <row r="26" ht="20" customHeight="1">
      <c r="B26" s="70">
        <f>DATE(YEAR(HistInicio),MONTH(HistInicio)+20,1)</f>
        <v/>
      </c>
      <c r="C26" s="20">
        <f>IF(COUNTIFS(rMes_RO,$B26,rTipo_RO,"Macro")=0,"Sin datos",IF(ABS(SUMIFS(rPeso_RO,rMes_RO,$B26,rTipo_RO,"Macro")-1)&gt;0.0001,"Pesos ≠ 100%",SUMPRODUCT(--((rMes_RO=$B26)*(rTipo_RO="Macro")),rPeso_RO,rAvance_RO)))</f>
        <v/>
      </c>
      <c r="D26" s="22">
        <f>IF(COUNTIFS(rMes_RO,$B26,rTipo_RO,"Macro")=0,"",COUNTIFS(rEstado_RO,"Completado",rMes_RO,$B26,rTipo_RO,"Macro")&amp;" / "&amp;COUNTIFS(rMes_RO,$B26,rTipo_RO,"Macro"))</f>
        <v/>
      </c>
      <c r="E26" s="20">
        <f>IF(COUNTIFS(rMes_RN,$B26,rTipo_RN,"Macro")=0,"Sin datos",IF(ABS(SUMIFS(rPeso_RN,rMes_RN,$B26,rTipo_RN,"Macro")-1)&gt;0.0001,"Pesos ≠ 100%",SUMPRODUCT(--((rMes_RN=$B26)*(rTipo_RN="Macro")),rPeso_RN,rAvance_RN)))</f>
        <v/>
      </c>
      <c r="F26" s="22">
        <f>IF(COUNTIFS(rMes_RN,$B26,rTipo_RN,"Macro")=0,"",COUNTIFS(rEstado_RN,"Completado",rMes_RN,$B26,rTipo_RN,"Macro")&amp;" / "&amp;COUNTIFS(rMes_RN,$B26,rTipo_RN,"Macro"))</f>
        <v/>
      </c>
      <c r="G26" s="20">
        <f>IF(COUNTIFS(rMes_RF,$B26,rTipo_RF,"Macro")=0,"Sin datos",IF(ABS(SUMIFS(rPeso_RF,rMes_RF,$B26,rTipo_RF,"Macro")-1)&gt;0.0001,"Pesos ≠ 100%",SUMPRODUCT(--((rMes_RF=$B26)*(rTipo_RF="Macro")),rPeso_RF,rAvance_RF)))</f>
        <v/>
      </c>
      <c r="H26" s="22">
        <f>IF(COUNTIFS(rMes_RF,$B26,rTipo_RF,"Macro")=0,"",COUNTIFS(rEstado_RF,"Completado",rMes_RF,$B26,rTipo_RF,"Macro")&amp;" / "&amp;COUNTIFS(rMes_RF,$B26,rTipo_RF,"Macro"))</f>
        <v/>
      </c>
      <c r="I26" s="20">
        <f>IF(COUNTIFS(rMes_ATR,$B26,rTipo_ATR,"Macro")=0,"Sin datos",IF(ABS(SUMIFS(rPeso_ATR,rMes_ATR,$B26,rTipo_ATR,"Macro")-1)&gt;0.0001,"Pesos ≠ 100%",SUMPRODUCT(--((rMes_ATR=$B26)*(rTipo_ATR="Macro")),rPeso_ATR,rAvance_ATR)))</f>
        <v/>
      </c>
      <c r="J26" s="22">
        <f>IF(COUNTIFS(rMes_ATR,$B26,rTipo_ATR,"Macro")=0,"",COUNTIFS(rEstado_ATR,"Completado",rMes_ATR,$B26,rTipo_ATR,"Macro")&amp;" / "&amp;COUNTIFS(rMes_ATR,$B26,rTipo_ATR,"Macro"))</f>
        <v/>
      </c>
      <c r="K26" s="71">
        <f>IF(COUNT(C26,E26,G26,I26)=4,AVERAGE(C26,E26,G26,I26),IF(COUNTIF(C26:J26,"Sin datos")=4,"Sin datos","No definitivo"))</f>
        <v/>
      </c>
    </row>
    <row r="27" ht="20" customHeight="1">
      <c r="B27" s="70">
        <f>DATE(YEAR(HistInicio),MONTH(HistInicio)+21,1)</f>
        <v/>
      </c>
      <c r="C27" s="20">
        <f>IF(COUNTIFS(rMes_RO,$B27,rTipo_RO,"Macro")=0,"Sin datos",IF(ABS(SUMIFS(rPeso_RO,rMes_RO,$B27,rTipo_RO,"Macro")-1)&gt;0.0001,"Pesos ≠ 100%",SUMPRODUCT(--((rMes_RO=$B27)*(rTipo_RO="Macro")),rPeso_RO,rAvance_RO)))</f>
        <v/>
      </c>
      <c r="D27" s="22">
        <f>IF(COUNTIFS(rMes_RO,$B27,rTipo_RO,"Macro")=0,"",COUNTIFS(rEstado_RO,"Completado",rMes_RO,$B27,rTipo_RO,"Macro")&amp;" / "&amp;COUNTIFS(rMes_RO,$B27,rTipo_RO,"Macro"))</f>
        <v/>
      </c>
      <c r="E27" s="20">
        <f>IF(COUNTIFS(rMes_RN,$B27,rTipo_RN,"Macro")=0,"Sin datos",IF(ABS(SUMIFS(rPeso_RN,rMes_RN,$B27,rTipo_RN,"Macro")-1)&gt;0.0001,"Pesos ≠ 100%",SUMPRODUCT(--((rMes_RN=$B27)*(rTipo_RN="Macro")),rPeso_RN,rAvance_RN)))</f>
        <v/>
      </c>
      <c r="F27" s="22">
        <f>IF(COUNTIFS(rMes_RN,$B27,rTipo_RN,"Macro")=0,"",COUNTIFS(rEstado_RN,"Completado",rMes_RN,$B27,rTipo_RN,"Macro")&amp;" / "&amp;COUNTIFS(rMes_RN,$B27,rTipo_RN,"Macro"))</f>
        <v/>
      </c>
      <c r="G27" s="20">
        <f>IF(COUNTIFS(rMes_RF,$B27,rTipo_RF,"Macro")=0,"Sin datos",IF(ABS(SUMIFS(rPeso_RF,rMes_RF,$B27,rTipo_RF,"Macro")-1)&gt;0.0001,"Pesos ≠ 100%",SUMPRODUCT(--((rMes_RF=$B27)*(rTipo_RF="Macro")),rPeso_RF,rAvance_RF)))</f>
        <v/>
      </c>
      <c r="H27" s="22">
        <f>IF(COUNTIFS(rMes_RF,$B27,rTipo_RF,"Macro")=0,"",COUNTIFS(rEstado_RF,"Completado",rMes_RF,$B27,rTipo_RF,"Macro")&amp;" / "&amp;COUNTIFS(rMes_RF,$B27,rTipo_RF,"Macro"))</f>
        <v/>
      </c>
      <c r="I27" s="20">
        <f>IF(COUNTIFS(rMes_ATR,$B27,rTipo_ATR,"Macro")=0,"Sin datos",IF(ABS(SUMIFS(rPeso_ATR,rMes_ATR,$B27,rTipo_ATR,"Macro")-1)&gt;0.0001,"Pesos ≠ 100%",SUMPRODUCT(--((rMes_ATR=$B27)*(rTipo_ATR="Macro")),rPeso_ATR,rAvance_ATR)))</f>
        <v/>
      </c>
      <c r="J27" s="22">
        <f>IF(COUNTIFS(rMes_ATR,$B27,rTipo_ATR,"Macro")=0,"",COUNTIFS(rEstado_ATR,"Completado",rMes_ATR,$B27,rTipo_ATR,"Macro")&amp;" / "&amp;COUNTIFS(rMes_ATR,$B27,rTipo_ATR,"Macro"))</f>
        <v/>
      </c>
      <c r="K27" s="71">
        <f>IF(COUNT(C27,E27,G27,I27)=4,AVERAGE(C27,E27,G27,I27),IF(COUNTIF(C27:J27,"Sin datos")=4,"Sin datos","No definitivo"))</f>
        <v/>
      </c>
    </row>
    <row r="28" ht="20" customHeight="1">
      <c r="B28" s="70">
        <f>DATE(YEAR(HistInicio),MONTH(HistInicio)+22,1)</f>
        <v/>
      </c>
      <c r="C28" s="20">
        <f>IF(COUNTIFS(rMes_RO,$B28,rTipo_RO,"Macro")=0,"Sin datos",IF(ABS(SUMIFS(rPeso_RO,rMes_RO,$B28,rTipo_RO,"Macro")-1)&gt;0.0001,"Pesos ≠ 100%",SUMPRODUCT(--((rMes_RO=$B28)*(rTipo_RO="Macro")),rPeso_RO,rAvance_RO)))</f>
        <v/>
      </c>
      <c r="D28" s="22">
        <f>IF(COUNTIFS(rMes_RO,$B28,rTipo_RO,"Macro")=0,"",COUNTIFS(rEstado_RO,"Completado",rMes_RO,$B28,rTipo_RO,"Macro")&amp;" / "&amp;COUNTIFS(rMes_RO,$B28,rTipo_RO,"Macro"))</f>
        <v/>
      </c>
      <c r="E28" s="20">
        <f>IF(COUNTIFS(rMes_RN,$B28,rTipo_RN,"Macro")=0,"Sin datos",IF(ABS(SUMIFS(rPeso_RN,rMes_RN,$B28,rTipo_RN,"Macro")-1)&gt;0.0001,"Pesos ≠ 100%",SUMPRODUCT(--((rMes_RN=$B28)*(rTipo_RN="Macro")),rPeso_RN,rAvance_RN)))</f>
        <v/>
      </c>
      <c r="F28" s="22">
        <f>IF(COUNTIFS(rMes_RN,$B28,rTipo_RN,"Macro")=0,"",COUNTIFS(rEstado_RN,"Completado",rMes_RN,$B28,rTipo_RN,"Macro")&amp;" / "&amp;COUNTIFS(rMes_RN,$B28,rTipo_RN,"Macro"))</f>
        <v/>
      </c>
      <c r="G28" s="20">
        <f>IF(COUNTIFS(rMes_RF,$B28,rTipo_RF,"Macro")=0,"Sin datos",IF(ABS(SUMIFS(rPeso_RF,rMes_RF,$B28,rTipo_RF,"Macro")-1)&gt;0.0001,"Pesos ≠ 100%",SUMPRODUCT(--((rMes_RF=$B28)*(rTipo_RF="Macro")),rPeso_RF,rAvance_RF)))</f>
        <v/>
      </c>
      <c r="H28" s="22">
        <f>IF(COUNTIFS(rMes_RF,$B28,rTipo_RF,"Macro")=0,"",COUNTIFS(rEstado_RF,"Completado",rMes_RF,$B28,rTipo_RF,"Macro")&amp;" / "&amp;COUNTIFS(rMes_RF,$B28,rTipo_RF,"Macro"))</f>
        <v/>
      </c>
      <c r="I28" s="20">
        <f>IF(COUNTIFS(rMes_ATR,$B28,rTipo_ATR,"Macro")=0,"Sin datos",IF(ABS(SUMIFS(rPeso_ATR,rMes_ATR,$B28,rTipo_ATR,"Macro")-1)&gt;0.0001,"Pesos ≠ 100%",SUMPRODUCT(--((rMes_ATR=$B28)*(rTipo_ATR="Macro")),rPeso_ATR,rAvance_ATR)))</f>
        <v/>
      </c>
      <c r="J28" s="22">
        <f>IF(COUNTIFS(rMes_ATR,$B28,rTipo_ATR,"Macro")=0,"",COUNTIFS(rEstado_ATR,"Completado",rMes_ATR,$B28,rTipo_ATR,"Macro")&amp;" / "&amp;COUNTIFS(rMes_ATR,$B28,rTipo_ATR,"Macro"))</f>
        <v/>
      </c>
      <c r="K28" s="71">
        <f>IF(COUNT(C28,E28,G28,I28)=4,AVERAGE(C28,E28,G28,I28),IF(COUNTIF(C28:J28,"Sin datos")=4,"Sin datos","No definitivo"))</f>
        <v/>
      </c>
    </row>
    <row r="29" ht="20" customHeight="1">
      <c r="B29" s="70">
        <f>DATE(YEAR(HistInicio),MONTH(HistInicio)+23,1)</f>
        <v/>
      </c>
      <c r="C29" s="20">
        <f>IF(COUNTIFS(rMes_RO,$B29,rTipo_RO,"Macro")=0,"Sin datos",IF(ABS(SUMIFS(rPeso_RO,rMes_RO,$B29,rTipo_RO,"Macro")-1)&gt;0.0001,"Pesos ≠ 100%",SUMPRODUCT(--((rMes_RO=$B29)*(rTipo_RO="Macro")),rPeso_RO,rAvance_RO)))</f>
        <v/>
      </c>
      <c r="D29" s="22">
        <f>IF(COUNTIFS(rMes_RO,$B29,rTipo_RO,"Macro")=0,"",COUNTIFS(rEstado_RO,"Completado",rMes_RO,$B29,rTipo_RO,"Macro")&amp;" / "&amp;COUNTIFS(rMes_RO,$B29,rTipo_RO,"Macro"))</f>
        <v/>
      </c>
      <c r="E29" s="20">
        <f>IF(COUNTIFS(rMes_RN,$B29,rTipo_RN,"Macro")=0,"Sin datos",IF(ABS(SUMIFS(rPeso_RN,rMes_RN,$B29,rTipo_RN,"Macro")-1)&gt;0.0001,"Pesos ≠ 100%",SUMPRODUCT(--((rMes_RN=$B29)*(rTipo_RN="Macro")),rPeso_RN,rAvance_RN)))</f>
        <v/>
      </c>
      <c r="F29" s="22">
        <f>IF(COUNTIFS(rMes_RN,$B29,rTipo_RN,"Macro")=0,"",COUNTIFS(rEstado_RN,"Completado",rMes_RN,$B29,rTipo_RN,"Macro")&amp;" / "&amp;COUNTIFS(rMes_RN,$B29,rTipo_RN,"Macro"))</f>
        <v/>
      </c>
      <c r="G29" s="20">
        <f>IF(COUNTIFS(rMes_RF,$B29,rTipo_RF,"Macro")=0,"Sin datos",IF(ABS(SUMIFS(rPeso_RF,rMes_RF,$B29,rTipo_RF,"Macro")-1)&gt;0.0001,"Pesos ≠ 100%",SUMPRODUCT(--((rMes_RF=$B29)*(rTipo_RF="Macro")),rPeso_RF,rAvance_RF)))</f>
        <v/>
      </c>
      <c r="H29" s="22">
        <f>IF(COUNTIFS(rMes_RF,$B29,rTipo_RF,"Macro")=0,"",COUNTIFS(rEstado_RF,"Completado",rMes_RF,$B29,rTipo_RF,"Macro")&amp;" / "&amp;COUNTIFS(rMes_RF,$B29,rTipo_RF,"Macro"))</f>
        <v/>
      </c>
      <c r="I29" s="20">
        <f>IF(COUNTIFS(rMes_ATR,$B29,rTipo_ATR,"Macro")=0,"Sin datos",IF(ABS(SUMIFS(rPeso_ATR,rMes_ATR,$B29,rTipo_ATR,"Macro")-1)&gt;0.0001,"Pesos ≠ 100%",SUMPRODUCT(--((rMes_ATR=$B29)*(rTipo_ATR="Macro")),rPeso_ATR,rAvance_ATR)))</f>
        <v/>
      </c>
      <c r="J29" s="22">
        <f>IF(COUNTIFS(rMes_ATR,$B29,rTipo_ATR,"Macro")=0,"",COUNTIFS(rEstado_ATR,"Completado",rMes_ATR,$B29,rTipo_ATR,"Macro")&amp;" / "&amp;COUNTIFS(rMes_ATR,$B29,rTipo_ATR,"Macro"))</f>
        <v/>
      </c>
      <c r="K29" s="71">
        <f>IF(COUNT(C29,E29,G29,I29)=4,AVERAGE(C29,E29,G29,I29),IF(COUNTIF(C29:J29,"Sin datos")=4,"Sin datos","No definitivo"))</f>
        <v/>
      </c>
    </row>
  </sheetData>
  <sheetProtection selectLockedCells="0" selectUnlockedCells="0" sheet="1" objects="0" insertRows="1" insertHyperlinks="1" autoFilter="1" scenarios="0" formatColumns="1" deleteColumns="1" insertColumns="1" pivotTables="1" deleteRows="1" formatCells="1" formatRows="1" sort="1"/>
  <mergeCells count="8">
    <mergeCell ref="G4:H4"/>
    <mergeCell ref="E4:F4"/>
    <mergeCell ref="I4:J4"/>
    <mergeCell ref="B1:K1"/>
    <mergeCell ref="B4:B5"/>
    <mergeCell ref="K4:K5"/>
    <mergeCell ref="B2:K2"/>
    <mergeCell ref="C4:D4"/>
  </mergeCells>
  <conditionalFormatting sqref="C6:K29">
    <cfRule type="expression" priority="1" dxfId="0">
      <formula>AND(ISNUMBER(C6),C6&gt;=1)</formula>
    </cfRule>
    <cfRule type="expression" priority="2" dxfId="17">
      <formula>AND(ISNUMBER(C6),C6&lt;1)</formula>
    </cfRule>
    <cfRule type="expression" priority="3" dxfId="7">
      <formula>OR(C6="Pesos ≠ 100%",C6="No definitivo")</formula>
    </cfRule>
    <cfRule type="expression" priority="4" dxfId="18">
      <formula>C6="Sin datos"</formula>
    </cfRule>
  </conditionalFormatting>
  <conditionalFormatting sqref="B6:B29">
    <cfRule type="expression" priority="5" dxfId="1">
      <formula>$B6=MesCiclo</formula>
    </cfRule>
  </conditionalFormatting>
  <pageMargins left="0.75" right="0.75" top="1" bottom="1" header="0.5" footer="0.5"/>
  <pageSetup orientation="landscape" fitToHeight="0" fitToWidth="1"/>
  <rowBreaks count="1" manualBreakCount="1">
    <brk id="30" min="0" max="16383" man="1"/>
  </rowBreaks>
  <drawing xmlns:r="http://schemas.openxmlformats.org/officeDocument/2006/relationships" r:id="rId1"/>
</worksheet>
</file>

<file path=xl/worksheets/sheet4.xml><?xml version="1.0" encoding="utf-8"?>
<worksheet xmlns="http://schemas.openxmlformats.org/spreadsheetml/2006/main">
  <sheetPr>
    <tabColor rgb="00C55A11"/>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72" t="inlineStr">
        <is>
          <t>Cronograma – Riesgo Operacional</t>
        </is>
      </c>
      <c r="B1" s="72" t="n"/>
      <c r="C1" s="72" t="n"/>
      <c r="D1" s="72" t="n"/>
      <c r="E1" s="72" t="n"/>
      <c r="F1" s="72" t="n"/>
      <c r="G1" s="72" t="n"/>
      <c r="H1" s="72" t="n"/>
      <c r="I1" s="72" t="n"/>
      <c r="J1" s="72" t="n"/>
      <c r="K1" s="72" t="n"/>
      <c r="L1" s="72" t="n"/>
      <c r="M1" s="72" t="n"/>
      <c r="N1" s="72" t="n"/>
      <c r="O1" s="72" t="n"/>
      <c r="P1" s="72" t="n"/>
      <c r="Q1" s="72" t="n"/>
      <c r="R1" s="72" t="n"/>
      <c r="S1" s="72"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7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Operacional",'Administración'!$S$5:$S$1000,MesCiclo,'Administración'!$V$5:$V$1000,"Macro")=0,"Sin actividades delegadas por la jefatura este mes","★ La jefatura le delegó "&amp;COUNTIFS('Administración'!$D$5:$D$1000,"Riesgo Operacional",'Administración'!$S$5:$S$1000,MesCiclo,'Administración'!$V$5:$V$1000,"Macro")&amp;" actividad(es) este mes · "&amp;(COUNTIFS('Administración'!$D$5:$D$1000,"Riesgo Operacional",'Administración'!$S$5:$S$1000,MesCiclo,'Administración'!$V$5:$V$1000,"Macro")-COUNTIFS('Administración'!$D$5:$D$1000,"Riesgo Operacional",'Administración'!$S$5:$S$1000,MesCiclo,'Administración'!$V$5:$V$1000,"Macro",'Administración'!$AM$5:$AM$1000,"&gt;0"))&amp;" pendiente(s) de agregar (elíjalas en la lista de «Actividad»). Cuentan en su avance del mes.")</f>
        <v/>
      </c>
      <c r="R3" s="45" t="n"/>
      <c r="S3" s="45" t="n"/>
    </row>
    <row r="4" ht="42" customHeight="1">
      <c r="A4" s="54" t="inlineStr">
        <is>
          <t>N°</t>
        </is>
      </c>
      <c r="B4" s="67" t="inlineStr">
        <is>
          <t>Tipo</t>
        </is>
      </c>
      <c r="C4" s="67" t="inlineStr">
        <is>
          <t>Actividad</t>
        </is>
      </c>
      <c r="D4" s="67" t="inlineStr">
        <is>
          <t>Delegar a</t>
        </is>
      </c>
      <c r="E4" s="67" t="inlineStr">
        <is>
          <t>Fecha de inicio</t>
        </is>
      </c>
      <c r="F4" s="67" t="inlineStr">
        <is>
          <t>Fecha límite</t>
        </is>
      </c>
      <c r="G4" s="67" t="inlineStr">
        <is>
          <t>Fecha de cumplimiento</t>
        </is>
      </c>
      <c r="H4" s="67" t="inlineStr">
        <is>
          <t>Peso / % de la subactividad</t>
        </is>
      </c>
      <c r="I4" s="67" t="inlineStr">
        <is>
          <t>Avance Semana 1 (%)</t>
        </is>
      </c>
      <c r="J4" s="67" t="inlineStr">
        <is>
          <t>Avance Semana 2 (%)</t>
        </is>
      </c>
      <c r="K4" s="67" t="inlineStr">
        <is>
          <t>Avance Semana 3 (%)</t>
        </is>
      </c>
      <c r="L4" s="67" t="inlineStr">
        <is>
          <t>Avance Semana 4 (%)</t>
        </is>
      </c>
      <c r="M4" s="54" t="inlineStr">
        <is>
          <t>% de Avance Total Actual</t>
        </is>
      </c>
      <c r="N4" s="54" t="inlineStr">
        <is>
          <t>Estado</t>
        </is>
      </c>
      <c r="O4" s="54" t="inlineStr">
        <is>
          <t>Alerta de plazo</t>
        </is>
      </c>
      <c r="P4" s="54" t="inlineStr">
        <is>
          <t>Seguimiento de la delegación</t>
        </is>
      </c>
      <c r="Q4" s="6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inlineStr">
        <is>
          <t>Matriz de riesgos operativos</t>
        </is>
      </c>
      <c r="D5" s="58" t="n"/>
      <c r="E5" s="59" t="n">
        <v>46300</v>
      </c>
      <c r="F5" s="59" t="n">
        <v>46325</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Operacional|"&amp;MID($C5,12,500),rDname_ADM,0),0),"")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inlineStr">
        <is>
          <t>Subactividad</t>
        </is>
      </c>
      <c r="C6" s="58" t="inlineStr">
        <is>
          <t>Levantar información</t>
        </is>
      </c>
      <c r="D6" s="58" t="n"/>
      <c r="E6" s="59" t="n">
        <v>46300</v>
      </c>
      <c r="F6" s="59" t="n">
        <v>46325</v>
      </c>
      <c r="G6" s="59" t="n">
        <v>46304</v>
      </c>
      <c r="H6" s="60" t="n">
        <v>0.4</v>
      </c>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Operacional|"&amp;MID($C6,12,500),rDname_ADM,0),0),"")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inlineStr">
        <is>
          <t>Subactividad</t>
        </is>
      </c>
      <c r="C7" s="58" t="inlineStr">
        <is>
          <t>Validar con áreas</t>
        </is>
      </c>
      <c r="D7" s="58" t="n"/>
      <c r="E7" s="59" t="n">
        <v>46300</v>
      </c>
      <c r="F7" s="59" t="n">
        <v>46325</v>
      </c>
      <c r="G7" s="59" t="n">
        <v>46310</v>
      </c>
      <c r="H7" s="60" t="n">
        <v>0.3</v>
      </c>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Operacional|"&amp;MID($C7,12,500),rDname_ADM,0),0),"")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inlineStr">
        <is>
          <t>Subactividad</t>
        </is>
      </c>
      <c r="C8" s="58" t="inlineStr">
        <is>
          <t>Presentar a comité</t>
        </is>
      </c>
      <c r="D8" s="58" t="n"/>
      <c r="E8" s="59" t="n">
        <v>46300</v>
      </c>
      <c r="F8" s="59" t="n">
        <v>46325</v>
      </c>
      <c r="G8" s="59" t="n"/>
      <c r="H8" s="60" t="n">
        <v>0.3</v>
      </c>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Operacional|"&amp;MID($C8,12,500),rDname_ADM,0),0),"")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inlineStr">
        <is>
          <t>Informe de eventos de pérdida</t>
        </is>
      </c>
      <c r="D9" s="58" t="n"/>
      <c r="E9" s="59" t="n">
        <v>46300</v>
      </c>
      <c r="F9" s="59" t="n">
        <v>46325</v>
      </c>
      <c r="G9" s="59" t="n"/>
      <c r="H9" s="60" t="n"/>
      <c r="I9" s="60" t="n">
        <v>0.3</v>
      </c>
      <c r="J9" s="60" t="n">
        <v>0.6</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Operacional|"&amp;MID($C9,12,500),rDname_ADM,0),0),"")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Operacional|"&amp;MID($C10,12,500),rDname_ADM,0),0),"")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Operacional|"&amp;MID($C11,12,500),rDname_ADM,0),0),"")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Operacional|"&amp;MID($C12,12,500),rDname_ADM,0),0),"")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Operacional|"&amp;MID($C13,12,500),rDname_ADM,0),0),"")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Operacional|"&amp;MID($C14,12,500),rDname_ADM,0),0),"")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Operacional|"&amp;MID($C15,12,500),rDname_ADM,0),0),"")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Operacional|"&amp;MID($C16,12,500),rDname_ADM,0),0),"")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Operacional|"&amp;MID($C17,12,500),rDname_ADM,0),0),"")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Operacional|"&amp;MID($C18,12,500),rDname_ADM,0),0),"")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Operacional|"&amp;MID($C19,12,500),rDname_ADM,0),0),"")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Operacional|"&amp;MID($C20,12,500),rDname_ADM,0),0),"")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Operacional|"&amp;MID($C21,12,500),rDname_ADM,0),0),"")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Operacional|"&amp;MID($C22,12,500),rDname_ADM,0),0),"")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Operacional|"&amp;MID($C23,12,500),rDname_ADM,0),0),"")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Operacional|"&amp;MID($C24,12,500),rDname_ADM,0),0),"")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Operacional|"&amp;MID($C25,12,500),rDname_ADM,0),0),"")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Operacional|"&amp;MID($C26,12,500),rDname_ADM,0),0),"")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Operacional|"&amp;MID($C27,12,500),rDname_ADM,0),0),"")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Operacional|"&amp;MID($C28,12,500),rDname_ADM,0),0),"")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Operacional|"&amp;MID($C29,12,500),rDname_ADM,0),0),"")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Operacional|"&amp;MID($C30,12,500),rDname_ADM,0),0),"")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Operacional|"&amp;MID($C31,12,500),rDname_ADM,0),0),"")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Operacional|"&amp;MID($C32,12,500),rDname_ADM,0),0),"")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Operacional|"&amp;MID($C33,12,500),rDname_ADM,0),0),"")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Operacional|"&amp;MID($C34,12,500),rDname_ADM,0),0),"")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Operacional|"&amp;MID($C35,12,500),rDname_ADM,0),0),"")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Operacional|"&amp;MID($C36,12,500),rDname_ADM,0),0),"")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Operacional|"&amp;MID($C37,12,500),rDname_ADM,0),0),"")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Operacional|"&amp;MID($C38,12,500),rDname_ADM,0),0),"")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Operacional|"&amp;MID($C39,12,500),rDname_ADM,0),0),"")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Operacional|"&amp;MID($C40,12,500),rDname_ADM,0),0),"")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Operacional|"&amp;MID($C41,12,500),rDname_ADM,0),0),"")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Operacional|"&amp;MID($C42,12,500),rDname_ADM,0),0),"")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Operacional|"&amp;MID($C43,12,500),rDname_ADM,0),0),"")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Operacional|"&amp;MID($C44,12,500),rDname_ADM,0),0),"")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Operacional|"&amp;MID($C45,12,500),rDname_ADM,0),0),"")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Operacional|"&amp;MID($C46,12,500),rDname_ADM,0),0),"")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Operacional|"&amp;MID($C47,12,500),rDname_ADM,0),0),"")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Operacional|"&amp;MID($C48,12,500),rDname_ADM,0),0),"")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Operacional|"&amp;MID($C49,12,500),rDname_ADM,0),0),"")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Operacional|"&amp;MID($C50,12,500),rDname_ADM,0),0),"")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Operacional|"&amp;MID($C51,12,500),rDname_ADM,0),0),"")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Operacional|"&amp;MID($C52,12,500),rDname_ADM,0),0),"")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Operacional|"&amp;MID($C53,12,500),rDname_ADM,0),0),"")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Operacional|"&amp;MID($C54,12,500),rDname_ADM,0),0),"")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Operacional|"&amp;MID($C55,12,500),rDname_ADM,0),0),"")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Operacional|"&amp;MID($C56,12,500),rDname_ADM,0),0),"")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Operacional|"&amp;MID($C57,12,500),rDname_ADM,0),0),"")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Operacional|"&amp;MID($C58,12,500),rDname_ADM,0),0),"")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Operacional|"&amp;MID($C59,12,500),rDname_ADM,0),0),"")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Operacional|"&amp;MID($C60,12,500),rDname_ADM,0),0),"")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Operacional|"&amp;MID($C61,12,500),rDname_ADM,0),0),"")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Operacional|"&amp;MID($C62,12,500),rDname_ADM,0),0),"")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Operacional|"&amp;MID($C63,12,500),rDname_ADM,0),0),"")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Operacional|"&amp;MID($C64,12,500),rDname_ADM,0),0),"")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Operacional|"&amp;MID($C65,12,500),rDname_ADM,0),0),"")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Operacional|"&amp;MID($C66,12,500),rDname_ADM,0),0),"")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Operacional|"&amp;MID($C67,12,500),rDname_ADM,0),0),"")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Operacional|"&amp;MID($C68,12,500),rDname_ADM,0),0),"")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Operacional|"&amp;MID($C69,12,500),rDname_ADM,0),0),"")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Operacional|"&amp;MID($C70,12,500),rDname_ADM,0),0),"")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Operacional|"&amp;MID($C71,12,500),rDname_ADM,0),0),"")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Operacional|"&amp;MID($C72,12,500),rDname_ADM,0),0),"")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Operacional|"&amp;MID($C73,12,500),rDname_ADM,0),0),"")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Operacional|"&amp;MID($C74,12,500),rDname_ADM,0),0),"")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Operacional|"&amp;MID($C75,12,500),rDname_ADM,0),0),"")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Operacional|"&amp;MID($C76,12,500),rDname_ADM,0),0),"")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Operacional|"&amp;MID($C77,12,500),rDname_ADM,0),0),"")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Operacional|"&amp;MID($C78,12,500),rDname_ADM,0),0),"")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Operacional|"&amp;MID($C79,12,500),rDname_ADM,0),0),"")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Operacional|"&amp;MID($C80,12,500),rDname_ADM,0),0),"")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Operacional|"&amp;MID($C81,12,500),rDname_ADM,0),0),"")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Operacional|"&amp;MID($C82,12,500),rDname_ADM,0),0),"")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Operacional|"&amp;MID($C83,12,500),rDname_ADM,0),0),"")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Operacional|"&amp;MID($C84,12,500),rDname_ADM,0),0),"")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Operacional|"&amp;MID($C85,12,500),rDname_ADM,0),0),"")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Operacional|"&amp;MID($C86,12,500),rDname_ADM,0),0),"")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Operacional|"&amp;MID($C87,12,500),rDname_ADM,0),0),"")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Operacional|"&amp;MID($C88,12,500),rDname_ADM,0),0),"")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Operacional|"&amp;MID($C89,12,500),rDname_ADM,0),0),"")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Operacional|"&amp;MID($C90,12,500),rDname_ADM,0),0),"")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Operacional|"&amp;MID($C91,12,500),rDname_ADM,0),0),"")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Operacional|"&amp;MID($C92,12,500),rDname_ADM,0),0),"")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Operacional|"&amp;MID($C93,12,500),rDname_ADM,0),0),"")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Operacional|"&amp;MID($C94,12,500),rDname_ADM,0),0),"")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Operacional|"&amp;MID($C95,12,500),rDname_ADM,0),0),"")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Operacional|"&amp;MID($C96,12,500),rDname_ADM,0),0),"")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Operacional|"&amp;MID($C97,12,500),rDname_ADM,0),0),"")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Operacional|"&amp;MID($C98,12,500),rDname_ADM,0),0),"")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Operacional|"&amp;MID($C99,12,500),rDname_ADM,0),0),"")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Operacional|"&amp;MID($C100,12,500),rDname_ADM,0),0),"")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Operacional|"&amp;MID($C101,12,500),rDname_ADM,0),0),"")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Operacional|"&amp;MID($C102,12,500),rDname_ADM,0),0),"")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Operacional|"&amp;MID($C103,12,500),rDname_ADM,0),0),"")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Operacional|"&amp;MID($C104,12,500),rDname_ADM,0),0),"")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Operacional|"&amp;MID($C105,12,500),rDname_ADM,0),0),"")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Operacional|"&amp;MID($C106,12,500),rDname_ADM,0),0),"")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Operacional|"&amp;MID($C107,12,500),rDname_ADM,0),0),"")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Operacional|"&amp;MID($C108,12,500),rDname_ADM,0),0),"")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Operacional|"&amp;MID($C109,12,500),rDname_ADM,0),0),"")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Operacional|"&amp;MID($C110,12,500),rDname_ADM,0),0),"")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Operacional|"&amp;MID($C111,12,500),rDname_ADM,0),0),"")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Operacional|"&amp;MID($C112,12,500),rDname_ADM,0),0),"")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Operacional|"&amp;MID($C113,12,500),rDname_ADM,0),0),"")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Operacional|"&amp;MID($C114,12,500),rDname_ADM,0),0),"")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Operacional|"&amp;MID($C115,12,500),rDname_ADM,0),0),"")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Operacional|"&amp;MID($C116,12,500),rDname_ADM,0),0),"")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Operacional|"&amp;MID($C117,12,500),rDname_ADM,0),0),"")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Operacional|"&amp;MID($C118,12,500),rDname_ADM,0),0),"")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Operacional|"&amp;MID($C119,12,500),rDname_ADM,0),0),"")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Operacional|"&amp;MID($C120,12,500),rDname_ADM,0),0),"")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Operacional|"&amp;MID($C121,12,500),rDname_ADM,0),0),"")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Operacional|"&amp;MID($C122,12,500),rDname_ADM,0),0),"")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Operacional|"&amp;MID($C123,12,500),rDname_ADM,0),0),"")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Operacional|"&amp;MID($C124,12,500),rDname_ADM,0),0),"")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Operacional|"&amp;MID($C125,12,500),rDname_ADM,0),0),"")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Operacional|"&amp;MID($C126,12,500),rDname_ADM,0),0),"")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Operacional|"&amp;MID($C127,12,500),rDname_ADM,0),0),"")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Operacional|"&amp;MID($C128,12,500),rDname_ADM,0),0),"")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Operacional|"&amp;MID($C129,12,500),rDname_ADM,0),0),"")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Operacional|"&amp;MID($C130,12,500),rDname_ADM,0),0),"")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Operacional|"&amp;MID($C131,12,500),rDname_ADM,0),0),"")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Operacional|"&amp;MID($C132,12,500),rDname_ADM,0),0),"")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Operacional|"&amp;MID($C133,12,500),rDname_ADM,0),0),"")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Operacional|"&amp;MID($C134,12,500),rDname_ADM,0),0),"")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Operacional|"&amp;MID($C135,12,500),rDname_ADM,0),0),"")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Operacional|"&amp;MID($C136,12,500),rDname_ADM,0),0),"")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Operacional|"&amp;MID($C137,12,500),rDname_ADM,0),0),"")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Operacional|"&amp;MID($C138,12,500),rDname_ADM,0),0),"")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Operacional|"&amp;MID($C139,12,500),rDname_ADM,0),0),"")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Operacional|"&amp;MID($C140,12,500),rDname_ADM,0),0),"")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Operacional|"&amp;MID($C141,12,500),rDname_ADM,0),0),"")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Operacional|"&amp;MID($C142,12,500),rDname_ADM,0),0),"")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Operacional|"&amp;MID($C143,12,500),rDname_ADM,0),0),"")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Operacional|"&amp;MID($C144,12,500),rDname_ADM,0),0),"")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Operacional|"&amp;MID($C145,12,500),rDname_ADM,0),0),"")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Operacional|"&amp;MID($C146,12,500),rDname_ADM,0),0),"")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Operacional|"&amp;MID($C147,12,500),rDname_ADM,0),0),"")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Operacional|"&amp;MID($C148,12,500),rDname_ADM,0),0),"")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Operacional|"&amp;MID($C149,12,500),rDname_ADM,0),0),"")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Operacional|"&amp;MID($C150,12,500),rDname_ADM,0),0),"")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Operacional|"&amp;MID($C151,12,500),rDname_ADM,0),0),"")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Operacional|"&amp;MID($C152,12,500),rDname_ADM,0),0),"")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Operacional|"&amp;MID($C153,12,500),rDname_ADM,0),0),"")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Operacional|"&amp;MID($C154,12,500),rDname_ADM,0),0),"")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Operacional|"&amp;MID($C155,12,500),rDname_ADM,0),0),"")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Operacional|"&amp;MID($C156,12,500),rDname_ADM,0),0),"")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Operacional|"&amp;MID($C157,12,500),rDname_ADM,0),0),"")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Operacional|"&amp;MID($C158,12,500),rDname_ADM,0),0),"")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Operacional|"&amp;MID($C159,12,500),rDname_ADM,0),0),"")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Operacional|"&amp;MID($C160,12,500),rDname_ADM,0),0),"")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Operacional|"&amp;MID($C161,12,500),rDname_ADM,0),0),"")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Operacional|"&amp;MID($C162,12,500),rDname_ADM,0),0),"")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Operacional|"&amp;MID($C163,12,500),rDname_ADM,0),0),"")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Operacional|"&amp;MID($C164,12,500),rDname_ADM,0),0),"")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Operacional|"&amp;MID($C165,12,500),rDname_ADM,0),0),"")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Operacional|"&amp;MID($C166,12,500),rDname_ADM,0),0),"")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Operacional|"&amp;MID($C167,12,500),rDname_ADM,0),0),"")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Operacional|"&amp;MID($C168,12,500),rDname_ADM,0),0),"")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Operacional|"&amp;MID($C169,12,500),rDname_ADM,0),0),"")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Operacional|"&amp;MID($C170,12,500),rDname_ADM,0),0),"")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Operacional|"&amp;MID($C171,12,500),rDname_ADM,0),0),"")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Operacional|"&amp;MID($C172,12,500),rDname_ADM,0),0),"")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Operacional|"&amp;MID($C173,12,500),rDname_ADM,0),0),"")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Operacional|"&amp;MID($C174,12,500),rDname_ADM,0),0),"")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Operacional|"&amp;MID($C175,12,500),rDname_ADM,0),0),"")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Operacional|"&amp;MID($C176,12,500),rDname_ADM,0),0),"")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Operacional|"&amp;MID($C177,12,500),rDname_ADM,0),0),"")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Operacional|"&amp;MID($C178,12,500),rDname_ADM,0),0),"")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Operacional|"&amp;MID($C179,12,500),rDname_ADM,0),0),"")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Operacional|"&amp;MID($C180,12,500),rDname_ADM,0),0),"")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Operacional|"&amp;MID($C181,12,500),rDname_ADM,0),0),"")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Operacional|"&amp;MID($C182,12,500),rDname_ADM,0),0),"")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Operacional|"&amp;MID($C183,12,500),rDname_ADM,0),0),"")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Operacional|"&amp;MID($C184,12,500),rDname_ADM,0),0),"")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Operacional|"&amp;MID($C185,12,500),rDname_ADM,0),0),"")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Operacional|"&amp;MID($C186,12,500),rDname_ADM,0),0),"")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Operacional|"&amp;MID($C187,12,500),rDname_ADM,0),0),"")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Operacional|"&amp;MID($C188,12,500),rDname_ADM,0),0),"")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Operacional|"&amp;MID($C189,12,500),rDname_ADM,0),0),"")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Operacional|"&amp;MID($C190,12,500),rDname_ADM,0),0),"")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Operacional|"&amp;MID($C191,12,500),rDname_ADM,0),0),"")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Operacional|"&amp;MID($C192,12,500),rDname_ADM,0),0),"")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Operacional|"&amp;MID($C193,12,500),rDname_ADM,0),0),"")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Operacional|"&amp;MID($C194,12,500),rDname_ADM,0),0),"")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Operacional|"&amp;MID($C195,12,500),rDname_ADM,0),0),"")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Operacional|"&amp;MID($C196,12,500),rDname_ADM,0),0),"")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Operacional|"&amp;MID($C197,12,500),rDname_ADM,0),0),"")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Operacional|"&amp;MID($C198,12,500),rDname_ADM,0),0),"")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Operacional|"&amp;MID($C199,12,500),rDname_ADM,0),0),"")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Operacional|"&amp;MID($C200,12,500),rDname_ADM,0),0),"")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Operacional|"&amp;MID($C201,12,500),rDname_ADM,0),0),"")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Operacional|"&amp;MID($C202,12,500),rDname_ADM,0),0),"")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Operacional|"&amp;MID($C203,12,500),rDname_ADM,0),0),"")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Operacional|"&amp;MID($C204,12,500),rDname_ADM,0),0),"")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Operacional|"&amp;MID($C205,12,500),rDname_ADM,0),0),"")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Operacional|"&amp;MID($C206,12,500),rDname_ADM,0),0),"")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Operacional|"&amp;MID($C207,12,500),rDname_ADM,0),0),"")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Operacional|"&amp;MID($C208,12,500),rDname_ADM,0),0),"")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Operacional|"&amp;MID($C209,12,500),rDname_ADM,0),0),"")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Operacional|"&amp;MID($C210,12,500),rDname_ADM,0),0),"")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Operacional|"&amp;MID($C211,12,500),rDname_ADM,0),0),"")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Operacional|"&amp;MID($C212,12,500),rDname_ADM,0),0),"")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Operacional|"&amp;MID($C213,12,500),rDname_ADM,0),0),"")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Operacional|"&amp;MID($C214,12,500),rDname_ADM,0),0),"")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Operacional|"&amp;MID($C215,12,500),rDname_ADM,0),0),"")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Operacional|"&amp;MID($C216,12,500),rDname_ADM,0),0),"")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Operacional|"&amp;MID($C217,12,500),rDname_ADM,0),0),"")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Operacional|"&amp;MID($C218,12,500),rDname_ADM,0),0),"")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Operacional|"&amp;MID($C219,12,500),rDname_ADM,0),0),"")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Operacional|"&amp;MID($C220,12,500),rDname_ADM,0),0),"")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Operacional|"&amp;MID($C221,12,500),rDname_ADM,0),0),"")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Operacional|"&amp;MID($C222,12,500),rDname_ADM,0),0),"")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Operacional|"&amp;MID($C223,12,500),rDname_ADM,0),0),"")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Operacional|"&amp;MID($C224,12,500),rDname_ADM,0),0),"")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Operacional|"&amp;MID($C225,12,500),rDname_ADM,0),0),"")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Operacional|"&amp;MID($C226,12,500),rDname_ADM,0),0),"")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Operacional|"&amp;MID($C227,12,500),rDname_ADM,0),0),"")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Operacional|"&amp;MID($C228,12,500),rDname_ADM,0),0),"")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Operacional|"&amp;MID($C229,12,500),rDname_ADM,0),0),"")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Operacional|"&amp;MID($C230,12,500),rDname_ADM,0),0),"")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Operacional|"&amp;MID($C231,12,500),rDname_ADM,0),0),"")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Operacional|"&amp;MID($C232,12,500),rDname_ADM,0),0),"")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Operacional|"&amp;MID($C233,12,500),rDname_ADM,0),0),"")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Operacional|"&amp;MID($C234,12,500),rDname_ADM,0),0),"")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Operacional|"&amp;MID($C235,12,500),rDname_ADM,0),0),"")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Operacional|"&amp;MID($C236,12,500),rDname_ADM,0),0),"")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Operacional|"&amp;MID($C237,12,500),rDname_ADM,0),0),"")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Operacional|"&amp;MID($C238,12,500),rDname_ADM,0),0),"")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Operacional|"&amp;MID($C239,12,500),rDname_ADM,0),0),"")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Operacional|"&amp;MID($C240,12,500),rDname_ADM,0),0),"")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Operacional|"&amp;MID($C241,12,500),rDname_ADM,0),0),"")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Operacional|"&amp;MID($C242,12,500),rDname_ADM,0),0),"")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Operacional|"&amp;MID($C243,12,500),rDname_ADM,0),0),"")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Operacional|"&amp;MID($C244,12,500),rDname_ADM,0),0),"")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Operacional|"&amp;MID($C245,12,500),rDname_ADM,0),0),"")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Operacional|"&amp;MID($C246,12,500),rDname_ADM,0),0),"")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Operacional|"&amp;MID($C247,12,500),rDname_ADM,0),0),"")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Operacional|"&amp;MID($C248,12,500),rDname_ADM,0),0),"")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Operacional|"&amp;MID($C249,12,500),rDname_ADM,0),0),"")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Operacional|"&amp;MID($C250,12,500),rDname_ADM,0),0),"")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Operacional|"&amp;MID($C251,12,500),rDname_ADM,0),0),"")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Operacional|"&amp;MID($C252,12,500),rDname_ADM,0),0),"")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Operacional|"&amp;MID($C253,12,500),rDname_ADM,0),0),"")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Operacional|"&amp;MID($C254,12,500),rDname_ADM,0),0),"")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Operacional|"&amp;MID($C255,12,500),rDname_ADM,0),0),"")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Operacional|"&amp;MID($C256,12,500),rDname_ADM,0),0),"")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Operacional|"&amp;MID($C257,12,500),rDname_ADM,0),0),"")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Operacional|"&amp;MID($C258,12,500),rDname_ADM,0),0),"")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Operacional|"&amp;MID($C259,12,500),rDname_ADM,0),0),"")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Operacional|"&amp;MID($C260,12,500),rDname_ADM,0),0),"")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Operacional|"&amp;MID($C261,12,500),rDname_ADM,0),0),"")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Operacional|"&amp;MID($C262,12,500),rDname_ADM,0),0),"")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Operacional|"&amp;MID($C263,12,500),rDname_ADM,0),0),"")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Operacional|"&amp;MID($C264,12,500),rDname_ADM,0),0),"")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Operacional|"&amp;MID($C265,12,500),rDname_ADM,0),0),"")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Operacional|"&amp;MID($C266,12,500),rDname_ADM,0),0),"")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Operacional|"&amp;MID($C267,12,500),rDname_ADM,0),0),"")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Operacional|"&amp;MID($C268,12,500),rDname_ADM,0),0),"")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Operacional|"&amp;MID($C269,12,500),rDname_ADM,0),0),"")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Operacional|"&amp;MID($C270,12,500),rDname_ADM,0),0),"")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Operacional|"&amp;MID($C271,12,500),rDname_ADM,0),0),"")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Operacional|"&amp;MID($C272,12,500),rDname_ADM,0),0),"")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Operacional|"&amp;MID($C273,12,500),rDname_ADM,0),0),"")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Operacional|"&amp;MID($C274,12,500),rDname_ADM,0),0),"")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Operacional|"&amp;MID($C275,12,500),rDname_ADM,0),0),"")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Operacional|"&amp;MID($C276,12,500),rDname_ADM,0),0),"")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Operacional|"&amp;MID($C277,12,500),rDname_ADM,0),0),"")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Operacional|"&amp;MID($C278,12,500),rDname_ADM,0),0),"")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Operacional|"&amp;MID($C279,12,500),rDname_ADM,0),0),"")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Operacional|"&amp;MID($C280,12,500),rDname_ADM,0),0),"")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Operacional|"&amp;MID($C281,12,500),rDname_ADM,0),0),"")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Operacional|"&amp;MID($C282,12,500),rDname_ADM,0),0),"")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Operacional|"&amp;MID($C283,12,500),rDname_ADM,0),0),"")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Operacional|"&amp;MID($C284,12,500),rDname_ADM,0),0),"")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Operacional|"&amp;MID($C285,12,500),rDname_ADM,0),0),"")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Operacional|"&amp;MID($C286,12,500),rDname_ADM,0),0),"")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Operacional|"&amp;MID($C287,12,500),rDname_ADM,0),0),"")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Operacional|"&amp;MID($C288,12,500),rDname_ADM,0),0),"")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Operacional|"&amp;MID($C289,12,500),rDname_ADM,0),0),"")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Operacional|"&amp;MID($C290,12,500),rDname_ADM,0),0),"")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Operacional|"&amp;MID($C291,12,500),rDname_ADM,0),0),"")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Operacional|"&amp;MID($C292,12,500),rDname_ADM,0),0),"")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Operacional|"&amp;MID($C293,12,500),rDname_ADM,0),0),"")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Operacional|"&amp;MID($C294,12,500),rDname_ADM,0),0),"")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Operacional|"&amp;MID($C295,12,500),rDname_ADM,0),0),"")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Operacional|"&amp;MID($C296,12,500),rDname_ADM,0),0),"")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Operacional|"&amp;MID($C297,12,500),rDname_ADM,0),0),"")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Operacional|"&amp;MID($C298,12,500),rDname_ADM,0),0),"")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Operacional|"&amp;MID($C299,12,500),rDname_ADM,0),0),"")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Operacional|"&amp;MID($C300,12,500),rDname_ADM,0),0),"")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Operacional|"&amp;MID($C301,12,500),rDname_ADM,0),0),"")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Operacional|"&amp;MID($C302,12,500),rDname_ADM,0),0),"")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Operacional|"&amp;MID($C303,12,500),rDname_ADM,0),0),"")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Operacional|"&amp;MID($C304,12,500),rDname_ADM,0),0),"")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Operacional",'Administración'!$S$5:$S$1000,MesCiclo,'Administración'!$V$5:$V$1000,"Macro")-COUNTIFS('Administración'!$D$5:$D$1000,"Riesgo Operacional",'Administración'!$S$5:$S$1000,MesCiclo,'Administración'!$V$5:$V$1000,"Macro",'Administración'!$AM$5:$AM$1000,"&gt;0"))&gt;0</formula>
    </cfRule>
    <cfRule type="expression" priority="5" dxfId="0">
      <formula>COUNTIFS('Administración'!$D$5:$D$1000,"Riesgo Operacional",'Administración'!$S$5:$S$1000,MesCiclo,'Administración'!$V$5:$V$1000,"Macro")&gt;0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19">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ListaDeleg_RO</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C55A11"/>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72" t="inlineStr">
        <is>
          <t>Actividades del mes por semana – Riesgo Operacional</t>
        </is>
      </c>
      <c r="B1" s="72" t="n"/>
      <c r="C1" s="72" t="n"/>
      <c r="D1" s="72" t="n"/>
      <c r="E1" s="72" t="n"/>
      <c r="F1" s="72" t="n"/>
      <c r="G1" s="72" t="n"/>
      <c r="H1" s="72" t="n"/>
      <c r="I1" s="72" t="n"/>
      <c r="J1" s="72" t="n"/>
      <c r="K1" s="72" t="n"/>
      <c r="L1" s="72" t="n"/>
      <c r="M1" s="72" t="n"/>
    </row>
    <row r="2" ht="34" customHeight="1">
      <c r="A2" s="74" t="inlineStr">
        <is>
          <t>HOJA AUTOMÁTICA Y BLOQUEADA: muestra solo las actividades del mes indicado abajo, tomadas de «Cronograma R. Operacional».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7" t="inlineStr">
        <is>
          <t>Semana 1</t>
        </is>
      </c>
      <c r="G4" s="67" t="inlineStr">
        <is>
          <t>Semana 2</t>
        </is>
      </c>
      <c r="H4" s="67" t="inlineStr">
        <is>
          <t>Semana 3</t>
        </is>
      </c>
      <c r="I4" s="6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Operacional'!$A$5:$A$1000,$N5))</f>
        <v/>
      </c>
      <c r="B5" s="62">
        <f>IF($N5="","",IF($O5="Sub","      ↳  "&amp;INDEX('Cronograma R. Operacional'!$C$5:$C$1000,$N5),INDEX('Cronograma R. Operacional'!$C$5:$C$1000,$N5)&amp;""))</f>
        <v/>
      </c>
      <c r="C5" s="79">
        <f>IF($N5="","",IF(INDEX('Cronograma R. Operacional'!$AR$5:$AR$1000,$N5)="","",INDEX('Cronograma R. Operacional'!$AR$5:$AR$1000,$N5)))</f>
        <v/>
      </c>
      <c r="D5" s="79">
        <f>IF($N5="","",IF(INDEX('Cronograma R. Operacional'!$AS$5:$AS$1000,$N5)="","",INDEX('Cronograma R. Operacional'!$AS$5:$AS$1000,$N5)))</f>
        <v/>
      </c>
      <c r="E5" s="56">
        <f>IF($N5="","",IF(NOT(ISNUMBER($D5)),"",IF($D5&lt;InicioCiclo,"Antes del ciclo",IF($D5&gt;=InicioCiclo+28,"Después del ciclo","Semana "&amp;(INT(($D5-InicioCiclo)/7)+1)))))</f>
        <v/>
      </c>
      <c r="F5" s="61">
        <f>IF($N5="","",IF($P5&gt;0,IF(1&lt;=SemanaActual,INDEX('Cronograma R. Operacional'!$AH$5:$AH$1000,$N5),""),IF(INDEX('Cronograma R. Operacional'!$I$5:$I$1000,$N5)="","",INDEX('Cronograma R. Operacional'!$I$5:$I$1000,$N5))))</f>
        <v/>
      </c>
      <c r="G5" s="61">
        <f>IF($N5="","",IF($P5&gt;0,IF(2&lt;=SemanaActual,INDEX('Cronograma R. Operacional'!$AI$5:$AI$1000,$N5),""),IF(INDEX('Cronograma R. Operacional'!$J$5:$J$1000,$N5)="","",INDEX('Cronograma R. Operacional'!$J$5:$J$1000,$N5))))</f>
        <v/>
      </c>
      <c r="H5" s="61">
        <f>IF($N5="","",IF($P5&gt;0,IF(3&lt;=SemanaActual,INDEX('Cronograma R. Operacional'!$AJ$5:$AJ$1000,$N5),""),IF(INDEX('Cronograma R. Operacional'!$K$5:$K$1000,$N5)="","",INDEX('Cronograma R. Operacional'!$K$5:$K$1000,$N5))))</f>
        <v/>
      </c>
      <c r="I5" s="61">
        <f>IF($N5="","",IF($P5&gt;0,IF(4&lt;=SemanaActual,INDEX('Cronograma R. Operacional'!$AK$5:$AK$1000,$N5),""),IF(INDEX('Cronograma R. Operacional'!$L$5:$L$1000,$N5)="","",INDEX('Cronograma R. Operacional'!$L$5:$L$1000,$N5))))</f>
        <v/>
      </c>
      <c r="J5" s="61">
        <f>IF($N5="","",INDEX('Cronograma R. Operacional'!$M$5:$M$1000,$N5))</f>
        <v/>
      </c>
      <c r="K5" s="56">
        <f>IF($N5="","",IF(N($J5)&gt;=1,"Completado",IF(AND(ISNUMBER($D5),$D5&lt;FechaRef),"Vencida",IF(N($J5)&gt;0,"En curso","Pendiente"))))</f>
        <v/>
      </c>
      <c r="L5" s="56">
        <f>IF($N5="","",INDEX('Cronograma R. Operacional'!$O$5:$O$1000,$N5)&amp;"")</f>
        <v/>
      </c>
      <c r="M5" s="62">
        <f>IF($N5="","",INDEX('Cronograma R. Operacional'!$Q$5:$Q$1000,$N5)&amp;"")</f>
        <v/>
      </c>
      <c r="N5">
        <f>IFERROR(MATCH(ROW()-4,rOrden_RO,0),"")</f>
        <v/>
      </c>
      <c r="O5">
        <f>IF($N5="","",INDEX('Cronograma R. Operacional'!$V$5:$V$1000,$N5))</f>
        <v/>
      </c>
      <c r="P5">
        <f>IF($N5="","",N(INDEX('Cronograma R. Operacional'!$W$5:$W$1000,$N5)))</f>
        <v/>
      </c>
      <c r="Q5">
        <f>IF(OR(LEFT($L5,7)="Vencida",LEFT($L5,5)="Vence"),SUMPRODUCT(--(LEFT($L$5:$L5,7)="Vencida"))+SUMPRODUCT(--(LEFT($L$5:$L5,5)="Vence")),"")</f>
        <v/>
      </c>
    </row>
    <row r="6">
      <c r="A6" s="56">
        <f>IF($N6="","",INDEX('Cronograma R. Operacional'!$A$5:$A$1000,$N6))</f>
        <v/>
      </c>
      <c r="B6" s="62">
        <f>IF($N6="","",IF($O6="Sub","      ↳  "&amp;INDEX('Cronograma R. Operacional'!$C$5:$C$1000,$N6),INDEX('Cronograma R. Operacional'!$C$5:$C$1000,$N6)&amp;""))</f>
        <v/>
      </c>
      <c r="C6" s="79">
        <f>IF($N6="","",IF(INDEX('Cronograma R. Operacional'!$AR$5:$AR$1000,$N6)="","",INDEX('Cronograma R. Operacional'!$AR$5:$AR$1000,$N6)))</f>
        <v/>
      </c>
      <c r="D6" s="79">
        <f>IF($N6="","",IF(INDEX('Cronograma R. Operacional'!$AS$5:$AS$1000,$N6)="","",INDEX('Cronograma R. Operacional'!$AS$5:$AS$1000,$N6)))</f>
        <v/>
      </c>
      <c r="E6" s="56">
        <f>IF($N6="","",IF(NOT(ISNUMBER($D6)),"",IF($D6&lt;InicioCiclo,"Antes del ciclo",IF($D6&gt;=InicioCiclo+28,"Después del ciclo","Semana "&amp;(INT(($D6-InicioCiclo)/7)+1)))))</f>
        <v/>
      </c>
      <c r="F6" s="61">
        <f>IF($N6="","",IF($P6&gt;0,IF(1&lt;=SemanaActual,INDEX('Cronograma R. Operacional'!$AH$5:$AH$1000,$N6),""),IF(INDEX('Cronograma R. Operacional'!$I$5:$I$1000,$N6)="","",INDEX('Cronograma R. Operacional'!$I$5:$I$1000,$N6))))</f>
        <v/>
      </c>
      <c r="G6" s="61">
        <f>IF($N6="","",IF($P6&gt;0,IF(2&lt;=SemanaActual,INDEX('Cronograma R. Operacional'!$AI$5:$AI$1000,$N6),""),IF(INDEX('Cronograma R. Operacional'!$J$5:$J$1000,$N6)="","",INDEX('Cronograma R. Operacional'!$J$5:$J$1000,$N6))))</f>
        <v/>
      </c>
      <c r="H6" s="61">
        <f>IF($N6="","",IF($P6&gt;0,IF(3&lt;=SemanaActual,INDEX('Cronograma R. Operacional'!$AJ$5:$AJ$1000,$N6),""),IF(INDEX('Cronograma R. Operacional'!$K$5:$K$1000,$N6)="","",INDEX('Cronograma R. Operacional'!$K$5:$K$1000,$N6))))</f>
        <v/>
      </c>
      <c r="I6" s="61">
        <f>IF($N6="","",IF($P6&gt;0,IF(4&lt;=SemanaActual,INDEX('Cronograma R. Operacional'!$AK$5:$AK$1000,$N6),""),IF(INDEX('Cronograma R. Operacional'!$L$5:$L$1000,$N6)="","",INDEX('Cronograma R. Operacional'!$L$5:$L$1000,$N6))))</f>
        <v/>
      </c>
      <c r="J6" s="61">
        <f>IF($N6="","",INDEX('Cronograma R. Operacional'!$M$5:$M$1000,$N6))</f>
        <v/>
      </c>
      <c r="K6" s="56">
        <f>IF($N6="","",IF(N($J6)&gt;=1,"Completado",IF(AND(ISNUMBER($D6),$D6&lt;FechaRef),"Vencida",IF(N($J6)&gt;0,"En curso","Pendiente"))))</f>
        <v/>
      </c>
      <c r="L6" s="56">
        <f>IF($N6="","",INDEX('Cronograma R. Operacional'!$O$5:$O$1000,$N6)&amp;"")</f>
        <v/>
      </c>
      <c r="M6" s="62">
        <f>IF($N6="","",INDEX('Cronograma R. Operacional'!$Q$5:$Q$1000,$N6)&amp;"")</f>
        <v/>
      </c>
      <c r="N6">
        <f>IFERROR(MATCH(ROW()-4,rOrden_RO,0),"")</f>
        <v/>
      </c>
      <c r="O6">
        <f>IF($N6="","",INDEX('Cronograma R. Operacional'!$V$5:$V$1000,$N6))</f>
        <v/>
      </c>
      <c r="P6">
        <f>IF($N6="","",N(INDEX('Cronograma R. Operacional'!$W$5:$W$1000,$N6)))</f>
        <v/>
      </c>
      <c r="Q6">
        <f>IF(OR(LEFT($L6,7)="Vencida",LEFT($L6,5)="Vence"),SUMPRODUCT(--(LEFT($L$5:$L6,7)="Vencida"))+SUMPRODUCT(--(LEFT($L$5:$L6,5)="Vence")),"")</f>
        <v/>
      </c>
    </row>
    <row r="7">
      <c r="A7" s="56">
        <f>IF($N7="","",INDEX('Cronograma R. Operacional'!$A$5:$A$1000,$N7))</f>
        <v/>
      </c>
      <c r="B7" s="62">
        <f>IF($N7="","",IF($O7="Sub","      ↳  "&amp;INDEX('Cronograma R. Operacional'!$C$5:$C$1000,$N7),INDEX('Cronograma R. Operacional'!$C$5:$C$1000,$N7)&amp;""))</f>
        <v/>
      </c>
      <c r="C7" s="79">
        <f>IF($N7="","",IF(INDEX('Cronograma R. Operacional'!$AR$5:$AR$1000,$N7)="","",INDEX('Cronograma R. Operacional'!$AR$5:$AR$1000,$N7)))</f>
        <v/>
      </c>
      <c r="D7" s="79">
        <f>IF($N7="","",IF(INDEX('Cronograma R. Operacional'!$AS$5:$AS$1000,$N7)="","",INDEX('Cronograma R. Operacional'!$AS$5:$AS$1000,$N7)))</f>
        <v/>
      </c>
      <c r="E7" s="56">
        <f>IF($N7="","",IF(NOT(ISNUMBER($D7)),"",IF($D7&lt;InicioCiclo,"Antes del ciclo",IF($D7&gt;=InicioCiclo+28,"Después del ciclo","Semana "&amp;(INT(($D7-InicioCiclo)/7)+1)))))</f>
        <v/>
      </c>
      <c r="F7" s="61">
        <f>IF($N7="","",IF($P7&gt;0,IF(1&lt;=SemanaActual,INDEX('Cronograma R. Operacional'!$AH$5:$AH$1000,$N7),""),IF(INDEX('Cronograma R. Operacional'!$I$5:$I$1000,$N7)="","",INDEX('Cronograma R. Operacional'!$I$5:$I$1000,$N7))))</f>
        <v/>
      </c>
      <c r="G7" s="61">
        <f>IF($N7="","",IF($P7&gt;0,IF(2&lt;=SemanaActual,INDEX('Cronograma R. Operacional'!$AI$5:$AI$1000,$N7),""),IF(INDEX('Cronograma R. Operacional'!$J$5:$J$1000,$N7)="","",INDEX('Cronograma R. Operacional'!$J$5:$J$1000,$N7))))</f>
        <v/>
      </c>
      <c r="H7" s="61">
        <f>IF($N7="","",IF($P7&gt;0,IF(3&lt;=SemanaActual,INDEX('Cronograma R. Operacional'!$AJ$5:$AJ$1000,$N7),""),IF(INDEX('Cronograma R. Operacional'!$K$5:$K$1000,$N7)="","",INDEX('Cronograma R. Operacional'!$K$5:$K$1000,$N7))))</f>
        <v/>
      </c>
      <c r="I7" s="61">
        <f>IF($N7="","",IF($P7&gt;0,IF(4&lt;=SemanaActual,INDEX('Cronograma R. Operacional'!$AK$5:$AK$1000,$N7),""),IF(INDEX('Cronograma R. Operacional'!$L$5:$L$1000,$N7)="","",INDEX('Cronograma R. Operacional'!$L$5:$L$1000,$N7))))</f>
        <v/>
      </c>
      <c r="J7" s="61">
        <f>IF($N7="","",INDEX('Cronograma R. Operacional'!$M$5:$M$1000,$N7))</f>
        <v/>
      </c>
      <c r="K7" s="56">
        <f>IF($N7="","",IF(N($J7)&gt;=1,"Completado",IF(AND(ISNUMBER($D7),$D7&lt;FechaRef),"Vencida",IF(N($J7)&gt;0,"En curso","Pendiente"))))</f>
        <v/>
      </c>
      <c r="L7" s="56">
        <f>IF($N7="","",INDEX('Cronograma R. Operacional'!$O$5:$O$1000,$N7)&amp;"")</f>
        <v/>
      </c>
      <c r="M7" s="62">
        <f>IF($N7="","",INDEX('Cronograma R. Operacional'!$Q$5:$Q$1000,$N7)&amp;"")</f>
        <v/>
      </c>
      <c r="N7">
        <f>IFERROR(MATCH(ROW()-4,rOrden_RO,0),"")</f>
        <v/>
      </c>
      <c r="O7">
        <f>IF($N7="","",INDEX('Cronograma R. Operacional'!$V$5:$V$1000,$N7))</f>
        <v/>
      </c>
      <c r="P7">
        <f>IF($N7="","",N(INDEX('Cronograma R. Operacional'!$W$5:$W$1000,$N7)))</f>
        <v/>
      </c>
      <c r="Q7">
        <f>IF(OR(LEFT($L7,7)="Vencida",LEFT($L7,5)="Vence"),SUMPRODUCT(--(LEFT($L$5:$L7,7)="Vencida"))+SUMPRODUCT(--(LEFT($L$5:$L7,5)="Vence")),"")</f>
        <v/>
      </c>
    </row>
    <row r="8">
      <c r="A8" s="56">
        <f>IF($N8="","",INDEX('Cronograma R. Operacional'!$A$5:$A$1000,$N8))</f>
        <v/>
      </c>
      <c r="B8" s="62">
        <f>IF($N8="","",IF($O8="Sub","      ↳  "&amp;INDEX('Cronograma R. Operacional'!$C$5:$C$1000,$N8),INDEX('Cronograma R. Operacional'!$C$5:$C$1000,$N8)&amp;""))</f>
        <v/>
      </c>
      <c r="C8" s="79">
        <f>IF($N8="","",IF(INDEX('Cronograma R. Operacional'!$AR$5:$AR$1000,$N8)="","",INDEX('Cronograma R. Operacional'!$AR$5:$AR$1000,$N8)))</f>
        <v/>
      </c>
      <c r="D8" s="79">
        <f>IF($N8="","",IF(INDEX('Cronograma R. Operacional'!$AS$5:$AS$1000,$N8)="","",INDEX('Cronograma R. Operacional'!$AS$5:$AS$1000,$N8)))</f>
        <v/>
      </c>
      <c r="E8" s="56">
        <f>IF($N8="","",IF(NOT(ISNUMBER($D8)),"",IF($D8&lt;InicioCiclo,"Antes del ciclo",IF($D8&gt;=InicioCiclo+28,"Después del ciclo","Semana "&amp;(INT(($D8-InicioCiclo)/7)+1)))))</f>
        <v/>
      </c>
      <c r="F8" s="61">
        <f>IF($N8="","",IF($P8&gt;0,IF(1&lt;=SemanaActual,INDEX('Cronograma R. Operacional'!$AH$5:$AH$1000,$N8),""),IF(INDEX('Cronograma R. Operacional'!$I$5:$I$1000,$N8)="","",INDEX('Cronograma R. Operacional'!$I$5:$I$1000,$N8))))</f>
        <v/>
      </c>
      <c r="G8" s="61">
        <f>IF($N8="","",IF($P8&gt;0,IF(2&lt;=SemanaActual,INDEX('Cronograma R. Operacional'!$AI$5:$AI$1000,$N8),""),IF(INDEX('Cronograma R. Operacional'!$J$5:$J$1000,$N8)="","",INDEX('Cronograma R. Operacional'!$J$5:$J$1000,$N8))))</f>
        <v/>
      </c>
      <c r="H8" s="61">
        <f>IF($N8="","",IF($P8&gt;0,IF(3&lt;=SemanaActual,INDEX('Cronograma R. Operacional'!$AJ$5:$AJ$1000,$N8),""),IF(INDEX('Cronograma R. Operacional'!$K$5:$K$1000,$N8)="","",INDEX('Cronograma R. Operacional'!$K$5:$K$1000,$N8))))</f>
        <v/>
      </c>
      <c r="I8" s="61">
        <f>IF($N8="","",IF($P8&gt;0,IF(4&lt;=SemanaActual,INDEX('Cronograma R. Operacional'!$AK$5:$AK$1000,$N8),""),IF(INDEX('Cronograma R. Operacional'!$L$5:$L$1000,$N8)="","",INDEX('Cronograma R. Operacional'!$L$5:$L$1000,$N8))))</f>
        <v/>
      </c>
      <c r="J8" s="61">
        <f>IF($N8="","",INDEX('Cronograma R. Operacional'!$M$5:$M$1000,$N8))</f>
        <v/>
      </c>
      <c r="K8" s="56">
        <f>IF($N8="","",IF(N($J8)&gt;=1,"Completado",IF(AND(ISNUMBER($D8),$D8&lt;FechaRef),"Vencida",IF(N($J8)&gt;0,"En curso","Pendiente"))))</f>
        <v/>
      </c>
      <c r="L8" s="56">
        <f>IF($N8="","",INDEX('Cronograma R. Operacional'!$O$5:$O$1000,$N8)&amp;"")</f>
        <v/>
      </c>
      <c r="M8" s="62">
        <f>IF($N8="","",INDEX('Cronograma R. Operacional'!$Q$5:$Q$1000,$N8)&amp;"")</f>
        <v/>
      </c>
      <c r="N8">
        <f>IFERROR(MATCH(ROW()-4,rOrden_RO,0),"")</f>
        <v/>
      </c>
      <c r="O8">
        <f>IF($N8="","",INDEX('Cronograma R. Operacional'!$V$5:$V$1000,$N8))</f>
        <v/>
      </c>
      <c r="P8">
        <f>IF($N8="","",N(INDEX('Cronograma R. Operacional'!$W$5:$W$1000,$N8)))</f>
        <v/>
      </c>
      <c r="Q8">
        <f>IF(OR(LEFT($L8,7)="Vencida",LEFT($L8,5)="Vence"),SUMPRODUCT(--(LEFT($L$5:$L8,7)="Vencida"))+SUMPRODUCT(--(LEFT($L$5:$L8,5)="Vence")),"")</f>
        <v/>
      </c>
    </row>
    <row r="9">
      <c r="A9" s="56">
        <f>IF($N9="","",INDEX('Cronograma R. Operacional'!$A$5:$A$1000,$N9))</f>
        <v/>
      </c>
      <c r="B9" s="62">
        <f>IF($N9="","",IF($O9="Sub","      ↳  "&amp;INDEX('Cronograma R. Operacional'!$C$5:$C$1000,$N9),INDEX('Cronograma R. Operacional'!$C$5:$C$1000,$N9)&amp;""))</f>
        <v/>
      </c>
      <c r="C9" s="79">
        <f>IF($N9="","",IF(INDEX('Cronograma R. Operacional'!$AR$5:$AR$1000,$N9)="","",INDEX('Cronograma R. Operacional'!$AR$5:$AR$1000,$N9)))</f>
        <v/>
      </c>
      <c r="D9" s="79">
        <f>IF($N9="","",IF(INDEX('Cronograma R. Operacional'!$AS$5:$AS$1000,$N9)="","",INDEX('Cronograma R. Operacional'!$AS$5:$AS$1000,$N9)))</f>
        <v/>
      </c>
      <c r="E9" s="56">
        <f>IF($N9="","",IF(NOT(ISNUMBER($D9)),"",IF($D9&lt;InicioCiclo,"Antes del ciclo",IF($D9&gt;=InicioCiclo+28,"Después del ciclo","Semana "&amp;(INT(($D9-InicioCiclo)/7)+1)))))</f>
        <v/>
      </c>
      <c r="F9" s="61">
        <f>IF($N9="","",IF($P9&gt;0,IF(1&lt;=SemanaActual,INDEX('Cronograma R. Operacional'!$AH$5:$AH$1000,$N9),""),IF(INDEX('Cronograma R. Operacional'!$I$5:$I$1000,$N9)="","",INDEX('Cronograma R. Operacional'!$I$5:$I$1000,$N9))))</f>
        <v/>
      </c>
      <c r="G9" s="61">
        <f>IF($N9="","",IF($P9&gt;0,IF(2&lt;=SemanaActual,INDEX('Cronograma R. Operacional'!$AI$5:$AI$1000,$N9),""),IF(INDEX('Cronograma R. Operacional'!$J$5:$J$1000,$N9)="","",INDEX('Cronograma R. Operacional'!$J$5:$J$1000,$N9))))</f>
        <v/>
      </c>
      <c r="H9" s="61">
        <f>IF($N9="","",IF($P9&gt;0,IF(3&lt;=SemanaActual,INDEX('Cronograma R. Operacional'!$AJ$5:$AJ$1000,$N9),""),IF(INDEX('Cronograma R. Operacional'!$K$5:$K$1000,$N9)="","",INDEX('Cronograma R. Operacional'!$K$5:$K$1000,$N9))))</f>
        <v/>
      </c>
      <c r="I9" s="61">
        <f>IF($N9="","",IF($P9&gt;0,IF(4&lt;=SemanaActual,INDEX('Cronograma R. Operacional'!$AK$5:$AK$1000,$N9),""),IF(INDEX('Cronograma R. Operacional'!$L$5:$L$1000,$N9)="","",INDEX('Cronograma R. Operacional'!$L$5:$L$1000,$N9))))</f>
        <v/>
      </c>
      <c r="J9" s="61">
        <f>IF($N9="","",INDEX('Cronograma R. Operacional'!$M$5:$M$1000,$N9))</f>
        <v/>
      </c>
      <c r="K9" s="56">
        <f>IF($N9="","",IF(N($J9)&gt;=1,"Completado",IF(AND(ISNUMBER($D9),$D9&lt;FechaRef),"Vencida",IF(N($J9)&gt;0,"En curso","Pendiente"))))</f>
        <v/>
      </c>
      <c r="L9" s="56">
        <f>IF($N9="","",INDEX('Cronograma R. Operacional'!$O$5:$O$1000,$N9)&amp;"")</f>
        <v/>
      </c>
      <c r="M9" s="62">
        <f>IF($N9="","",INDEX('Cronograma R. Operacional'!$Q$5:$Q$1000,$N9)&amp;"")</f>
        <v/>
      </c>
      <c r="N9">
        <f>IFERROR(MATCH(ROW()-4,rOrden_RO,0),"")</f>
        <v/>
      </c>
      <c r="O9">
        <f>IF($N9="","",INDEX('Cronograma R. Operacional'!$V$5:$V$1000,$N9))</f>
        <v/>
      </c>
      <c r="P9">
        <f>IF($N9="","",N(INDEX('Cronograma R. Operacional'!$W$5:$W$1000,$N9)))</f>
        <v/>
      </c>
      <c r="Q9">
        <f>IF(OR(LEFT($L9,7)="Vencida",LEFT($L9,5)="Vence"),SUMPRODUCT(--(LEFT($L$5:$L9,7)="Vencida"))+SUMPRODUCT(--(LEFT($L$5:$L9,5)="Vence")),"")</f>
        <v/>
      </c>
    </row>
    <row r="10">
      <c r="A10" s="56">
        <f>IF($N10="","",INDEX('Cronograma R. Operacional'!$A$5:$A$1000,$N10))</f>
        <v/>
      </c>
      <c r="B10" s="62">
        <f>IF($N10="","",IF($O10="Sub","      ↳  "&amp;INDEX('Cronograma R. Operacional'!$C$5:$C$1000,$N10),INDEX('Cronograma R. Operacional'!$C$5:$C$1000,$N10)&amp;""))</f>
        <v/>
      </c>
      <c r="C10" s="79">
        <f>IF($N10="","",IF(INDEX('Cronograma R. Operacional'!$AR$5:$AR$1000,$N10)="","",INDEX('Cronograma R. Operacional'!$AR$5:$AR$1000,$N10)))</f>
        <v/>
      </c>
      <c r="D10" s="79">
        <f>IF($N10="","",IF(INDEX('Cronograma R. Operacional'!$AS$5:$AS$1000,$N10)="","",INDEX('Cronograma R. Operacional'!$AS$5:$AS$1000,$N10)))</f>
        <v/>
      </c>
      <c r="E10" s="56">
        <f>IF($N10="","",IF(NOT(ISNUMBER($D10)),"",IF($D10&lt;InicioCiclo,"Antes del ciclo",IF($D10&gt;=InicioCiclo+28,"Después del ciclo","Semana "&amp;(INT(($D10-InicioCiclo)/7)+1)))))</f>
        <v/>
      </c>
      <c r="F10" s="61">
        <f>IF($N10="","",IF($P10&gt;0,IF(1&lt;=SemanaActual,INDEX('Cronograma R. Operacional'!$AH$5:$AH$1000,$N10),""),IF(INDEX('Cronograma R. Operacional'!$I$5:$I$1000,$N10)="","",INDEX('Cronograma R. Operacional'!$I$5:$I$1000,$N10))))</f>
        <v/>
      </c>
      <c r="G10" s="61">
        <f>IF($N10="","",IF($P10&gt;0,IF(2&lt;=SemanaActual,INDEX('Cronograma R. Operacional'!$AI$5:$AI$1000,$N10),""),IF(INDEX('Cronograma R. Operacional'!$J$5:$J$1000,$N10)="","",INDEX('Cronograma R. Operacional'!$J$5:$J$1000,$N10))))</f>
        <v/>
      </c>
      <c r="H10" s="61">
        <f>IF($N10="","",IF($P10&gt;0,IF(3&lt;=SemanaActual,INDEX('Cronograma R. Operacional'!$AJ$5:$AJ$1000,$N10),""),IF(INDEX('Cronograma R. Operacional'!$K$5:$K$1000,$N10)="","",INDEX('Cronograma R. Operacional'!$K$5:$K$1000,$N10))))</f>
        <v/>
      </c>
      <c r="I10" s="61">
        <f>IF($N10="","",IF($P10&gt;0,IF(4&lt;=SemanaActual,INDEX('Cronograma R. Operacional'!$AK$5:$AK$1000,$N10),""),IF(INDEX('Cronograma R. Operacional'!$L$5:$L$1000,$N10)="","",INDEX('Cronograma R. Operacional'!$L$5:$L$1000,$N10))))</f>
        <v/>
      </c>
      <c r="J10" s="61">
        <f>IF($N10="","",INDEX('Cronograma R. Operacional'!$M$5:$M$1000,$N10))</f>
        <v/>
      </c>
      <c r="K10" s="56">
        <f>IF($N10="","",IF(N($J10)&gt;=1,"Completado",IF(AND(ISNUMBER($D10),$D10&lt;FechaRef),"Vencida",IF(N($J10)&gt;0,"En curso","Pendiente"))))</f>
        <v/>
      </c>
      <c r="L10" s="56">
        <f>IF($N10="","",INDEX('Cronograma R. Operacional'!$O$5:$O$1000,$N10)&amp;"")</f>
        <v/>
      </c>
      <c r="M10" s="62">
        <f>IF($N10="","",INDEX('Cronograma R. Operacional'!$Q$5:$Q$1000,$N10)&amp;"")</f>
        <v/>
      </c>
      <c r="N10">
        <f>IFERROR(MATCH(ROW()-4,rOrden_RO,0),"")</f>
        <v/>
      </c>
      <c r="O10">
        <f>IF($N10="","",INDEX('Cronograma R. Operacional'!$V$5:$V$1000,$N10))</f>
        <v/>
      </c>
      <c r="P10">
        <f>IF($N10="","",N(INDEX('Cronograma R. Operacional'!$W$5:$W$1000,$N10)))</f>
        <v/>
      </c>
      <c r="Q10">
        <f>IF(OR(LEFT($L10,7)="Vencida",LEFT($L10,5)="Vence"),SUMPRODUCT(--(LEFT($L$5:$L10,7)="Vencida"))+SUMPRODUCT(--(LEFT($L$5:$L10,5)="Vence")),"")</f>
        <v/>
      </c>
    </row>
    <row r="11">
      <c r="A11" s="56">
        <f>IF($N11="","",INDEX('Cronograma R. Operacional'!$A$5:$A$1000,$N11))</f>
        <v/>
      </c>
      <c r="B11" s="62">
        <f>IF($N11="","",IF($O11="Sub","      ↳  "&amp;INDEX('Cronograma R. Operacional'!$C$5:$C$1000,$N11),INDEX('Cronograma R. Operacional'!$C$5:$C$1000,$N11)&amp;""))</f>
        <v/>
      </c>
      <c r="C11" s="79">
        <f>IF($N11="","",IF(INDEX('Cronograma R. Operacional'!$AR$5:$AR$1000,$N11)="","",INDEX('Cronograma R. Operacional'!$AR$5:$AR$1000,$N11)))</f>
        <v/>
      </c>
      <c r="D11" s="79">
        <f>IF($N11="","",IF(INDEX('Cronograma R. Operacional'!$AS$5:$AS$1000,$N11)="","",INDEX('Cronograma R. Operacional'!$AS$5:$AS$1000,$N11)))</f>
        <v/>
      </c>
      <c r="E11" s="56">
        <f>IF($N11="","",IF(NOT(ISNUMBER($D11)),"",IF($D11&lt;InicioCiclo,"Antes del ciclo",IF($D11&gt;=InicioCiclo+28,"Después del ciclo","Semana "&amp;(INT(($D11-InicioCiclo)/7)+1)))))</f>
        <v/>
      </c>
      <c r="F11" s="61">
        <f>IF($N11="","",IF($P11&gt;0,IF(1&lt;=SemanaActual,INDEX('Cronograma R. Operacional'!$AH$5:$AH$1000,$N11),""),IF(INDEX('Cronograma R. Operacional'!$I$5:$I$1000,$N11)="","",INDEX('Cronograma R. Operacional'!$I$5:$I$1000,$N11))))</f>
        <v/>
      </c>
      <c r="G11" s="61">
        <f>IF($N11="","",IF($P11&gt;0,IF(2&lt;=SemanaActual,INDEX('Cronograma R. Operacional'!$AI$5:$AI$1000,$N11),""),IF(INDEX('Cronograma R. Operacional'!$J$5:$J$1000,$N11)="","",INDEX('Cronograma R. Operacional'!$J$5:$J$1000,$N11))))</f>
        <v/>
      </c>
      <c r="H11" s="61">
        <f>IF($N11="","",IF($P11&gt;0,IF(3&lt;=SemanaActual,INDEX('Cronograma R. Operacional'!$AJ$5:$AJ$1000,$N11),""),IF(INDEX('Cronograma R. Operacional'!$K$5:$K$1000,$N11)="","",INDEX('Cronograma R. Operacional'!$K$5:$K$1000,$N11))))</f>
        <v/>
      </c>
      <c r="I11" s="61">
        <f>IF($N11="","",IF($P11&gt;0,IF(4&lt;=SemanaActual,INDEX('Cronograma R. Operacional'!$AK$5:$AK$1000,$N11),""),IF(INDEX('Cronograma R. Operacional'!$L$5:$L$1000,$N11)="","",INDEX('Cronograma R. Operacional'!$L$5:$L$1000,$N11))))</f>
        <v/>
      </c>
      <c r="J11" s="61">
        <f>IF($N11="","",INDEX('Cronograma R. Operacional'!$M$5:$M$1000,$N11))</f>
        <v/>
      </c>
      <c r="K11" s="56">
        <f>IF($N11="","",IF(N($J11)&gt;=1,"Completado",IF(AND(ISNUMBER($D11),$D11&lt;FechaRef),"Vencida",IF(N($J11)&gt;0,"En curso","Pendiente"))))</f>
        <v/>
      </c>
      <c r="L11" s="56">
        <f>IF($N11="","",INDEX('Cronograma R. Operacional'!$O$5:$O$1000,$N11)&amp;"")</f>
        <v/>
      </c>
      <c r="M11" s="62">
        <f>IF($N11="","",INDEX('Cronograma R. Operacional'!$Q$5:$Q$1000,$N11)&amp;"")</f>
        <v/>
      </c>
      <c r="N11">
        <f>IFERROR(MATCH(ROW()-4,rOrden_RO,0),"")</f>
        <v/>
      </c>
      <c r="O11">
        <f>IF($N11="","",INDEX('Cronograma R. Operacional'!$V$5:$V$1000,$N11))</f>
        <v/>
      </c>
      <c r="P11">
        <f>IF($N11="","",N(INDEX('Cronograma R. Operacional'!$W$5:$W$1000,$N11)))</f>
        <v/>
      </c>
      <c r="Q11">
        <f>IF(OR(LEFT($L11,7)="Vencida",LEFT($L11,5)="Vence"),SUMPRODUCT(--(LEFT($L$5:$L11,7)="Vencida"))+SUMPRODUCT(--(LEFT($L$5:$L11,5)="Vence")),"")</f>
        <v/>
      </c>
    </row>
    <row r="12">
      <c r="A12" s="56">
        <f>IF($N12="","",INDEX('Cronograma R. Operacional'!$A$5:$A$1000,$N12))</f>
        <v/>
      </c>
      <c r="B12" s="62">
        <f>IF($N12="","",IF($O12="Sub","      ↳  "&amp;INDEX('Cronograma R. Operacional'!$C$5:$C$1000,$N12),INDEX('Cronograma R. Operacional'!$C$5:$C$1000,$N12)&amp;""))</f>
        <v/>
      </c>
      <c r="C12" s="79">
        <f>IF($N12="","",IF(INDEX('Cronograma R. Operacional'!$AR$5:$AR$1000,$N12)="","",INDEX('Cronograma R. Operacional'!$AR$5:$AR$1000,$N12)))</f>
        <v/>
      </c>
      <c r="D12" s="79">
        <f>IF($N12="","",IF(INDEX('Cronograma R. Operacional'!$AS$5:$AS$1000,$N12)="","",INDEX('Cronograma R. Operacional'!$AS$5:$AS$1000,$N12)))</f>
        <v/>
      </c>
      <c r="E12" s="56">
        <f>IF($N12="","",IF(NOT(ISNUMBER($D12)),"",IF($D12&lt;InicioCiclo,"Antes del ciclo",IF($D12&gt;=InicioCiclo+28,"Después del ciclo","Semana "&amp;(INT(($D12-InicioCiclo)/7)+1)))))</f>
        <v/>
      </c>
      <c r="F12" s="61">
        <f>IF($N12="","",IF($P12&gt;0,IF(1&lt;=SemanaActual,INDEX('Cronograma R. Operacional'!$AH$5:$AH$1000,$N12),""),IF(INDEX('Cronograma R. Operacional'!$I$5:$I$1000,$N12)="","",INDEX('Cronograma R. Operacional'!$I$5:$I$1000,$N12))))</f>
        <v/>
      </c>
      <c r="G12" s="61">
        <f>IF($N12="","",IF($P12&gt;0,IF(2&lt;=SemanaActual,INDEX('Cronograma R. Operacional'!$AI$5:$AI$1000,$N12),""),IF(INDEX('Cronograma R. Operacional'!$J$5:$J$1000,$N12)="","",INDEX('Cronograma R. Operacional'!$J$5:$J$1000,$N12))))</f>
        <v/>
      </c>
      <c r="H12" s="61">
        <f>IF($N12="","",IF($P12&gt;0,IF(3&lt;=SemanaActual,INDEX('Cronograma R. Operacional'!$AJ$5:$AJ$1000,$N12),""),IF(INDEX('Cronograma R. Operacional'!$K$5:$K$1000,$N12)="","",INDEX('Cronograma R. Operacional'!$K$5:$K$1000,$N12))))</f>
        <v/>
      </c>
      <c r="I12" s="61">
        <f>IF($N12="","",IF($P12&gt;0,IF(4&lt;=SemanaActual,INDEX('Cronograma R. Operacional'!$AK$5:$AK$1000,$N12),""),IF(INDEX('Cronograma R. Operacional'!$L$5:$L$1000,$N12)="","",INDEX('Cronograma R. Operacional'!$L$5:$L$1000,$N12))))</f>
        <v/>
      </c>
      <c r="J12" s="61">
        <f>IF($N12="","",INDEX('Cronograma R. Operacional'!$M$5:$M$1000,$N12))</f>
        <v/>
      </c>
      <c r="K12" s="56">
        <f>IF($N12="","",IF(N($J12)&gt;=1,"Completado",IF(AND(ISNUMBER($D12),$D12&lt;FechaRef),"Vencida",IF(N($J12)&gt;0,"En curso","Pendiente"))))</f>
        <v/>
      </c>
      <c r="L12" s="56">
        <f>IF($N12="","",INDEX('Cronograma R. Operacional'!$O$5:$O$1000,$N12)&amp;"")</f>
        <v/>
      </c>
      <c r="M12" s="62">
        <f>IF($N12="","",INDEX('Cronograma R. Operacional'!$Q$5:$Q$1000,$N12)&amp;"")</f>
        <v/>
      </c>
      <c r="N12">
        <f>IFERROR(MATCH(ROW()-4,rOrden_RO,0),"")</f>
        <v/>
      </c>
      <c r="O12">
        <f>IF($N12="","",INDEX('Cronograma R. Operacional'!$V$5:$V$1000,$N12))</f>
        <v/>
      </c>
      <c r="P12">
        <f>IF($N12="","",N(INDEX('Cronograma R. Operacional'!$W$5:$W$1000,$N12)))</f>
        <v/>
      </c>
      <c r="Q12">
        <f>IF(OR(LEFT($L12,7)="Vencida",LEFT($L12,5)="Vence"),SUMPRODUCT(--(LEFT($L$5:$L12,7)="Vencida"))+SUMPRODUCT(--(LEFT($L$5:$L12,5)="Vence")),"")</f>
        <v/>
      </c>
    </row>
    <row r="13">
      <c r="A13" s="56">
        <f>IF($N13="","",INDEX('Cronograma R. Operacional'!$A$5:$A$1000,$N13))</f>
        <v/>
      </c>
      <c r="B13" s="62">
        <f>IF($N13="","",IF($O13="Sub","      ↳  "&amp;INDEX('Cronograma R. Operacional'!$C$5:$C$1000,$N13),INDEX('Cronograma R. Operacional'!$C$5:$C$1000,$N13)&amp;""))</f>
        <v/>
      </c>
      <c r="C13" s="79">
        <f>IF($N13="","",IF(INDEX('Cronograma R. Operacional'!$AR$5:$AR$1000,$N13)="","",INDEX('Cronograma R. Operacional'!$AR$5:$AR$1000,$N13)))</f>
        <v/>
      </c>
      <c r="D13" s="79">
        <f>IF($N13="","",IF(INDEX('Cronograma R. Operacional'!$AS$5:$AS$1000,$N13)="","",INDEX('Cronograma R. Operacional'!$AS$5:$AS$1000,$N13)))</f>
        <v/>
      </c>
      <c r="E13" s="56">
        <f>IF($N13="","",IF(NOT(ISNUMBER($D13)),"",IF($D13&lt;InicioCiclo,"Antes del ciclo",IF($D13&gt;=InicioCiclo+28,"Después del ciclo","Semana "&amp;(INT(($D13-InicioCiclo)/7)+1)))))</f>
        <v/>
      </c>
      <c r="F13" s="61">
        <f>IF($N13="","",IF($P13&gt;0,IF(1&lt;=SemanaActual,INDEX('Cronograma R. Operacional'!$AH$5:$AH$1000,$N13),""),IF(INDEX('Cronograma R. Operacional'!$I$5:$I$1000,$N13)="","",INDEX('Cronograma R. Operacional'!$I$5:$I$1000,$N13))))</f>
        <v/>
      </c>
      <c r="G13" s="61">
        <f>IF($N13="","",IF($P13&gt;0,IF(2&lt;=SemanaActual,INDEX('Cronograma R. Operacional'!$AI$5:$AI$1000,$N13),""),IF(INDEX('Cronograma R. Operacional'!$J$5:$J$1000,$N13)="","",INDEX('Cronograma R. Operacional'!$J$5:$J$1000,$N13))))</f>
        <v/>
      </c>
      <c r="H13" s="61">
        <f>IF($N13="","",IF($P13&gt;0,IF(3&lt;=SemanaActual,INDEX('Cronograma R. Operacional'!$AJ$5:$AJ$1000,$N13),""),IF(INDEX('Cronograma R. Operacional'!$K$5:$K$1000,$N13)="","",INDEX('Cronograma R. Operacional'!$K$5:$K$1000,$N13))))</f>
        <v/>
      </c>
      <c r="I13" s="61">
        <f>IF($N13="","",IF($P13&gt;0,IF(4&lt;=SemanaActual,INDEX('Cronograma R. Operacional'!$AK$5:$AK$1000,$N13),""),IF(INDEX('Cronograma R. Operacional'!$L$5:$L$1000,$N13)="","",INDEX('Cronograma R. Operacional'!$L$5:$L$1000,$N13))))</f>
        <v/>
      </c>
      <c r="J13" s="61">
        <f>IF($N13="","",INDEX('Cronograma R. Operacional'!$M$5:$M$1000,$N13))</f>
        <v/>
      </c>
      <c r="K13" s="56">
        <f>IF($N13="","",IF(N($J13)&gt;=1,"Completado",IF(AND(ISNUMBER($D13),$D13&lt;FechaRef),"Vencida",IF(N($J13)&gt;0,"En curso","Pendiente"))))</f>
        <v/>
      </c>
      <c r="L13" s="56">
        <f>IF($N13="","",INDEX('Cronograma R. Operacional'!$O$5:$O$1000,$N13)&amp;"")</f>
        <v/>
      </c>
      <c r="M13" s="62">
        <f>IF($N13="","",INDEX('Cronograma R. Operacional'!$Q$5:$Q$1000,$N13)&amp;"")</f>
        <v/>
      </c>
      <c r="N13">
        <f>IFERROR(MATCH(ROW()-4,rOrden_RO,0),"")</f>
        <v/>
      </c>
      <c r="O13">
        <f>IF($N13="","",INDEX('Cronograma R. Operacional'!$V$5:$V$1000,$N13))</f>
        <v/>
      </c>
      <c r="P13">
        <f>IF($N13="","",N(INDEX('Cronograma R. Operacional'!$W$5:$W$1000,$N13)))</f>
        <v/>
      </c>
      <c r="Q13">
        <f>IF(OR(LEFT($L13,7)="Vencida",LEFT($L13,5)="Vence"),SUMPRODUCT(--(LEFT($L$5:$L13,7)="Vencida"))+SUMPRODUCT(--(LEFT($L$5:$L13,5)="Vence")),"")</f>
        <v/>
      </c>
    </row>
    <row r="14">
      <c r="A14" s="56">
        <f>IF($N14="","",INDEX('Cronograma R. Operacional'!$A$5:$A$1000,$N14))</f>
        <v/>
      </c>
      <c r="B14" s="62">
        <f>IF($N14="","",IF($O14="Sub","      ↳  "&amp;INDEX('Cronograma R. Operacional'!$C$5:$C$1000,$N14),INDEX('Cronograma R. Operacional'!$C$5:$C$1000,$N14)&amp;""))</f>
        <v/>
      </c>
      <c r="C14" s="79">
        <f>IF($N14="","",IF(INDEX('Cronograma R. Operacional'!$AR$5:$AR$1000,$N14)="","",INDEX('Cronograma R. Operacional'!$AR$5:$AR$1000,$N14)))</f>
        <v/>
      </c>
      <c r="D14" s="79">
        <f>IF($N14="","",IF(INDEX('Cronograma R. Operacional'!$AS$5:$AS$1000,$N14)="","",INDEX('Cronograma R. Operacional'!$AS$5:$AS$1000,$N14)))</f>
        <v/>
      </c>
      <c r="E14" s="56">
        <f>IF($N14="","",IF(NOT(ISNUMBER($D14)),"",IF($D14&lt;InicioCiclo,"Antes del ciclo",IF($D14&gt;=InicioCiclo+28,"Después del ciclo","Semana "&amp;(INT(($D14-InicioCiclo)/7)+1)))))</f>
        <v/>
      </c>
      <c r="F14" s="61">
        <f>IF($N14="","",IF($P14&gt;0,IF(1&lt;=SemanaActual,INDEX('Cronograma R. Operacional'!$AH$5:$AH$1000,$N14),""),IF(INDEX('Cronograma R. Operacional'!$I$5:$I$1000,$N14)="","",INDEX('Cronograma R. Operacional'!$I$5:$I$1000,$N14))))</f>
        <v/>
      </c>
      <c r="G14" s="61">
        <f>IF($N14="","",IF($P14&gt;0,IF(2&lt;=SemanaActual,INDEX('Cronograma R. Operacional'!$AI$5:$AI$1000,$N14),""),IF(INDEX('Cronograma R. Operacional'!$J$5:$J$1000,$N14)="","",INDEX('Cronograma R. Operacional'!$J$5:$J$1000,$N14))))</f>
        <v/>
      </c>
      <c r="H14" s="61">
        <f>IF($N14="","",IF($P14&gt;0,IF(3&lt;=SemanaActual,INDEX('Cronograma R. Operacional'!$AJ$5:$AJ$1000,$N14),""),IF(INDEX('Cronograma R. Operacional'!$K$5:$K$1000,$N14)="","",INDEX('Cronograma R. Operacional'!$K$5:$K$1000,$N14))))</f>
        <v/>
      </c>
      <c r="I14" s="61">
        <f>IF($N14="","",IF($P14&gt;0,IF(4&lt;=SemanaActual,INDEX('Cronograma R. Operacional'!$AK$5:$AK$1000,$N14),""),IF(INDEX('Cronograma R. Operacional'!$L$5:$L$1000,$N14)="","",INDEX('Cronograma R. Operacional'!$L$5:$L$1000,$N14))))</f>
        <v/>
      </c>
      <c r="J14" s="61">
        <f>IF($N14="","",INDEX('Cronograma R. Operacional'!$M$5:$M$1000,$N14))</f>
        <v/>
      </c>
      <c r="K14" s="56">
        <f>IF($N14="","",IF(N($J14)&gt;=1,"Completado",IF(AND(ISNUMBER($D14),$D14&lt;FechaRef),"Vencida",IF(N($J14)&gt;0,"En curso","Pendiente"))))</f>
        <v/>
      </c>
      <c r="L14" s="56">
        <f>IF($N14="","",INDEX('Cronograma R. Operacional'!$O$5:$O$1000,$N14)&amp;"")</f>
        <v/>
      </c>
      <c r="M14" s="62">
        <f>IF($N14="","",INDEX('Cronograma R. Operacional'!$Q$5:$Q$1000,$N14)&amp;"")</f>
        <v/>
      </c>
      <c r="N14">
        <f>IFERROR(MATCH(ROW()-4,rOrden_RO,0),"")</f>
        <v/>
      </c>
      <c r="O14">
        <f>IF($N14="","",INDEX('Cronograma R. Operacional'!$V$5:$V$1000,$N14))</f>
        <v/>
      </c>
      <c r="P14">
        <f>IF($N14="","",N(INDEX('Cronograma R. Operacional'!$W$5:$W$1000,$N14)))</f>
        <v/>
      </c>
      <c r="Q14">
        <f>IF(OR(LEFT($L14,7)="Vencida",LEFT($L14,5)="Vence"),SUMPRODUCT(--(LEFT($L$5:$L14,7)="Vencida"))+SUMPRODUCT(--(LEFT($L$5:$L14,5)="Vence")),"")</f>
        <v/>
      </c>
    </row>
    <row r="15">
      <c r="A15" s="56">
        <f>IF($N15="","",INDEX('Cronograma R. Operacional'!$A$5:$A$1000,$N15))</f>
        <v/>
      </c>
      <c r="B15" s="62">
        <f>IF($N15="","",IF($O15="Sub","      ↳  "&amp;INDEX('Cronograma R. Operacional'!$C$5:$C$1000,$N15),INDEX('Cronograma R. Operacional'!$C$5:$C$1000,$N15)&amp;""))</f>
        <v/>
      </c>
      <c r="C15" s="79">
        <f>IF($N15="","",IF(INDEX('Cronograma R. Operacional'!$AR$5:$AR$1000,$N15)="","",INDEX('Cronograma R. Operacional'!$AR$5:$AR$1000,$N15)))</f>
        <v/>
      </c>
      <c r="D15" s="79">
        <f>IF($N15="","",IF(INDEX('Cronograma R. Operacional'!$AS$5:$AS$1000,$N15)="","",INDEX('Cronograma R. Operacional'!$AS$5:$AS$1000,$N15)))</f>
        <v/>
      </c>
      <c r="E15" s="56">
        <f>IF($N15="","",IF(NOT(ISNUMBER($D15)),"",IF($D15&lt;InicioCiclo,"Antes del ciclo",IF($D15&gt;=InicioCiclo+28,"Después del ciclo","Semana "&amp;(INT(($D15-InicioCiclo)/7)+1)))))</f>
        <v/>
      </c>
      <c r="F15" s="61">
        <f>IF($N15="","",IF($P15&gt;0,IF(1&lt;=SemanaActual,INDEX('Cronograma R. Operacional'!$AH$5:$AH$1000,$N15),""),IF(INDEX('Cronograma R. Operacional'!$I$5:$I$1000,$N15)="","",INDEX('Cronograma R. Operacional'!$I$5:$I$1000,$N15))))</f>
        <v/>
      </c>
      <c r="G15" s="61">
        <f>IF($N15="","",IF($P15&gt;0,IF(2&lt;=SemanaActual,INDEX('Cronograma R. Operacional'!$AI$5:$AI$1000,$N15),""),IF(INDEX('Cronograma R. Operacional'!$J$5:$J$1000,$N15)="","",INDEX('Cronograma R. Operacional'!$J$5:$J$1000,$N15))))</f>
        <v/>
      </c>
      <c r="H15" s="61">
        <f>IF($N15="","",IF($P15&gt;0,IF(3&lt;=SemanaActual,INDEX('Cronograma R. Operacional'!$AJ$5:$AJ$1000,$N15),""),IF(INDEX('Cronograma R. Operacional'!$K$5:$K$1000,$N15)="","",INDEX('Cronograma R. Operacional'!$K$5:$K$1000,$N15))))</f>
        <v/>
      </c>
      <c r="I15" s="61">
        <f>IF($N15="","",IF($P15&gt;0,IF(4&lt;=SemanaActual,INDEX('Cronograma R. Operacional'!$AK$5:$AK$1000,$N15),""),IF(INDEX('Cronograma R. Operacional'!$L$5:$L$1000,$N15)="","",INDEX('Cronograma R. Operacional'!$L$5:$L$1000,$N15))))</f>
        <v/>
      </c>
      <c r="J15" s="61">
        <f>IF($N15="","",INDEX('Cronograma R. Operacional'!$M$5:$M$1000,$N15))</f>
        <v/>
      </c>
      <c r="K15" s="56">
        <f>IF($N15="","",IF(N($J15)&gt;=1,"Completado",IF(AND(ISNUMBER($D15),$D15&lt;FechaRef),"Vencida",IF(N($J15)&gt;0,"En curso","Pendiente"))))</f>
        <v/>
      </c>
      <c r="L15" s="56">
        <f>IF($N15="","",INDEX('Cronograma R. Operacional'!$O$5:$O$1000,$N15)&amp;"")</f>
        <v/>
      </c>
      <c r="M15" s="62">
        <f>IF($N15="","",INDEX('Cronograma R. Operacional'!$Q$5:$Q$1000,$N15)&amp;"")</f>
        <v/>
      </c>
      <c r="N15">
        <f>IFERROR(MATCH(ROW()-4,rOrden_RO,0),"")</f>
        <v/>
      </c>
      <c r="O15">
        <f>IF($N15="","",INDEX('Cronograma R. Operacional'!$V$5:$V$1000,$N15))</f>
        <v/>
      </c>
      <c r="P15">
        <f>IF($N15="","",N(INDEX('Cronograma R. Operacional'!$W$5:$W$1000,$N15)))</f>
        <v/>
      </c>
      <c r="Q15">
        <f>IF(OR(LEFT($L15,7)="Vencida",LEFT($L15,5)="Vence"),SUMPRODUCT(--(LEFT($L$5:$L15,7)="Vencida"))+SUMPRODUCT(--(LEFT($L$5:$L15,5)="Vence")),"")</f>
        <v/>
      </c>
    </row>
    <row r="16">
      <c r="A16" s="56">
        <f>IF($N16="","",INDEX('Cronograma R. Operacional'!$A$5:$A$1000,$N16))</f>
        <v/>
      </c>
      <c r="B16" s="62">
        <f>IF($N16="","",IF($O16="Sub","      ↳  "&amp;INDEX('Cronograma R. Operacional'!$C$5:$C$1000,$N16),INDEX('Cronograma R. Operacional'!$C$5:$C$1000,$N16)&amp;""))</f>
        <v/>
      </c>
      <c r="C16" s="79">
        <f>IF($N16="","",IF(INDEX('Cronograma R. Operacional'!$AR$5:$AR$1000,$N16)="","",INDEX('Cronograma R. Operacional'!$AR$5:$AR$1000,$N16)))</f>
        <v/>
      </c>
      <c r="D16" s="79">
        <f>IF($N16="","",IF(INDEX('Cronograma R. Operacional'!$AS$5:$AS$1000,$N16)="","",INDEX('Cronograma R. Operacional'!$AS$5:$AS$1000,$N16)))</f>
        <v/>
      </c>
      <c r="E16" s="56">
        <f>IF($N16="","",IF(NOT(ISNUMBER($D16)),"",IF($D16&lt;InicioCiclo,"Antes del ciclo",IF($D16&gt;=InicioCiclo+28,"Después del ciclo","Semana "&amp;(INT(($D16-InicioCiclo)/7)+1)))))</f>
        <v/>
      </c>
      <c r="F16" s="61">
        <f>IF($N16="","",IF($P16&gt;0,IF(1&lt;=SemanaActual,INDEX('Cronograma R. Operacional'!$AH$5:$AH$1000,$N16),""),IF(INDEX('Cronograma R. Operacional'!$I$5:$I$1000,$N16)="","",INDEX('Cronograma R. Operacional'!$I$5:$I$1000,$N16))))</f>
        <v/>
      </c>
      <c r="G16" s="61">
        <f>IF($N16="","",IF($P16&gt;0,IF(2&lt;=SemanaActual,INDEX('Cronograma R. Operacional'!$AI$5:$AI$1000,$N16),""),IF(INDEX('Cronograma R. Operacional'!$J$5:$J$1000,$N16)="","",INDEX('Cronograma R. Operacional'!$J$5:$J$1000,$N16))))</f>
        <v/>
      </c>
      <c r="H16" s="61">
        <f>IF($N16="","",IF($P16&gt;0,IF(3&lt;=SemanaActual,INDEX('Cronograma R. Operacional'!$AJ$5:$AJ$1000,$N16),""),IF(INDEX('Cronograma R. Operacional'!$K$5:$K$1000,$N16)="","",INDEX('Cronograma R. Operacional'!$K$5:$K$1000,$N16))))</f>
        <v/>
      </c>
      <c r="I16" s="61">
        <f>IF($N16="","",IF($P16&gt;0,IF(4&lt;=SemanaActual,INDEX('Cronograma R. Operacional'!$AK$5:$AK$1000,$N16),""),IF(INDEX('Cronograma R. Operacional'!$L$5:$L$1000,$N16)="","",INDEX('Cronograma R. Operacional'!$L$5:$L$1000,$N16))))</f>
        <v/>
      </c>
      <c r="J16" s="61">
        <f>IF($N16="","",INDEX('Cronograma R. Operacional'!$M$5:$M$1000,$N16))</f>
        <v/>
      </c>
      <c r="K16" s="56">
        <f>IF($N16="","",IF(N($J16)&gt;=1,"Completado",IF(AND(ISNUMBER($D16),$D16&lt;FechaRef),"Vencida",IF(N($J16)&gt;0,"En curso","Pendiente"))))</f>
        <v/>
      </c>
      <c r="L16" s="56">
        <f>IF($N16="","",INDEX('Cronograma R. Operacional'!$O$5:$O$1000,$N16)&amp;"")</f>
        <v/>
      </c>
      <c r="M16" s="62">
        <f>IF($N16="","",INDEX('Cronograma R. Operacional'!$Q$5:$Q$1000,$N16)&amp;"")</f>
        <v/>
      </c>
      <c r="N16">
        <f>IFERROR(MATCH(ROW()-4,rOrden_RO,0),"")</f>
        <v/>
      </c>
      <c r="O16">
        <f>IF($N16="","",INDEX('Cronograma R. Operacional'!$V$5:$V$1000,$N16))</f>
        <v/>
      </c>
      <c r="P16">
        <f>IF($N16="","",N(INDEX('Cronograma R. Operacional'!$W$5:$W$1000,$N16)))</f>
        <v/>
      </c>
      <c r="Q16">
        <f>IF(OR(LEFT($L16,7)="Vencida",LEFT($L16,5)="Vence"),SUMPRODUCT(--(LEFT($L$5:$L16,7)="Vencida"))+SUMPRODUCT(--(LEFT($L$5:$L16,5)="Vence")),"")</f>
        <v/>
      </c>
    </row>
    <row r="17">
      <c r="A17" s="56">
        <f>IF($N17="","",INDEX('Cronograma R. Operacional'!$A$5:$A$1000,$N17))</f>
        <v/>
      </c>
      <c r="B17" s="62">
        <f>IF($N17="","",IF($O17="Sub","      ↳  "&amp;INDEX('Cronograma R. Operacional'!$C$5:$C$1000,$N17),INDEX('Cronograma R. Operacional'!$C$5:$C$1000,$N17)&amp;""))</f>
        <v/>
      </c>
      <c r="C17" s="79">
        <f>IF($N17="","",IF(INDEX('Cronograma R. Operacional'!$AR$5:$AR$1000,$N17)="","",INDEX('Cronograma R. Operacional'!$AR$5:$AR$1000,$N17)))</f>
        <v/>
      </c>
      <c r="D17" s="79">
        <f>IF($N17="","",IF(INDEX('Cronograma R. Operacional'!$AS$5:$AS$1000,$N17)="","",INDEX('Cronograma R. Operacional'!$AS$5:$AS$1000,$N17)))</f>
        <v/>
      </c>
      <c r="E17" s="56">
        <f>IF($N17="","",IF(NOT(ISNUMBER($D17)),"",IF($D17&lt;InicioCiclo,"Antes del ciclo",IF($D17&gt;=InicioCiclo+28,"Después del ciclo","Semana "&amp;(INT(($D17-InicioCiclo)/7)+1)))))</f>
        <v/>
      </c>
      <c r="F17" s="61">
        <f>IF($N17="","",IF($P17&gt;0,IF(1&lt;=SemanaActual,INDEX('Cronograma R. Operacional'!$AH$5:$AH$1000,$N17),""),IF(INDEX('Cronograma R. Operacional'!$I$5:$I$1000,$N17)="","",INDEX('Cronograma R. Operacional'!$I$5:$I$1000,$N17))))</f>
        <v/>
      </c>
      <c r="G17" s="61">
        <f>IF($N17="","",IF($P17&gt;0,IF(2&lt;=SemanaActual,INDEX('Cronograma R. Operacional'!$AI$5:$AI$1000,$N17),""),IF(INDEX('Cronograma R. Operacional'!$J$5:$J$1000,$N17)="","",INDEX('Cronograma R. Operacional'!$J$5:$J$1000,$N17))))</f>
        <v/>
      </c>
      <c r="H17" s="61">
        <f>IF($N17="","",IF($P17&gt;0,IF(3&lt;=SemanaActual,INDEX('Cronograma R. Operacional'!$AJ$5:$AJ$1000,$N17),""),IF(INDEX('Cronograma R. Operacional'!$K$5:$K$1000,$N17)="","",INDEX('Cronograma R. Operacional'!$K$5:$K$1000,$N17))))</f>
        <v/>
      </c>
      <c r="I17" s="61">
        <f>IF($N17="","",IF($P17&gt;0,IF(4&lt;=SemanaActual,INDEX('Cronograma R. Operacional'!$AK$5:$AK$1000,$N17),""),IF(INDEX('Cronograma R. Operacional'!$L$5:$L$1000,$N17)="","",INDEX('Cronograma R. Operacional'!$L$5:$L$1000,$N17))))</f>
        <v/>
      </c>
      <c r="J17" s="61">
        <f>IF($N17="","",INDEX('Cronograma R. Operacional'!$M$5:$M$1000,$N17))</f>
        <v/>
      </c>
      <c r="K17" s="56">
        <f>IF($N17="","",IF(N($J17)&gt;=1,"Completado",IF(AND(ISNUMBER($D17),$D17&lt;FechaRef),"Vencida",IF(N($J17)&gt;0,"En curso","Pendiente"))))</f>
        <v/>
      </c>
      <c r="L17" s="56">
        <f>IF($N17="","",INDEX('Cronograma R. Operacional'!$O$5:$O$1000,$N17)&amp;"")</f>
        <v/>
      </c>
      <c r="M17" s="62">
        <f>IF($N17="","",INDEX('Cronograma R. Operacional'!$Q$5:$Q$1000,$N17)&amp;"")</f>
        <v/>
      </c>
      <c r="N17">
        <f>IFERROR(MATCH(ROW()-4,rOrden_RO,0),"")</f>
        <v/>
      </c>
      <c r="O17">
        <f>IF($N17="","",INDEX('Cronograma R. Operacional'!$V$5:$V$1000,$N17))</f>
        <v/>
      </c>
      <c r="P17">
        <f>IF($N17="","",N(INDEX('Cronograma R. Operacional'!$W$5:$W$1000,$N17)))</f>
        <v/>
      </c>
      <c r="Q17">
        <f>IF(OR(LEFT($L17,7)="Vencida",LEFT($L17,5)="Vence"),SUMPRODUCT(--(LEFT($L$5:$L17,7)="Vencida"))+SUMPRODUCT(--(LEFT($L$5:$L17,5)="Vence")),"")</f>
        <v/>
      </c>
    </row>
    <row r="18">
      <c r="A18" s="56">
        <f>IF($N18="","",INDEX('Cronograma R. Operacional'!$A$5:$A$1000,$N18))</f>
        <v/>
      </c>
      <c r="B18" s="62">
        <f>IF($N18="","",IF($O18="Sub","      ↳  "&amp;INDEX('Cronograma R. Operacional'!$C$5:$C$1000,$N18),INDEX('Cronograma R. Operacional'!$C$5:$C$1000,$N18)&amp;""))</f>
        <v/>
      </c>
      <c r="C18" s="79">
        <f>IF($N18="","",IF(INDEX('Cronograma R. Operacional'!$AR$5:$AR$1000,$N18)="","",INDEX('Cronograma R. Operacional'!$AR$5:$AR$1000,$N18)))</f>
        <v/>
      </c>
      <c r="D18" s="79">
        <f>IF($N18="","",IF(INDEX('Cronograma R. Operacional'!$AS$5:$AS$1000,$N18)="","",INDEX('Cronograma R. Operacional'!$AS$5:$AS$1000,$N18)))</f>
        <v/>
      </c>
      <c r="E18" s="56">
        <f>IF($N18="","",IF(NOT(ISNUMBER($D18)),"",IF($D18&lt;InicioCiclo,"Antes del ciclo",IF($D18&gt;=InicioCiclo+28,"Después del ciclo","Semana "&amp;(INT(($D18-InicioCiclo)/7)+1)))))</f>
        <v/>
      </c>
      <c r="F18" s="61">
        <f>IF($N18="","",IF($P18&gt;0,IF(1&lt;=SemanaActual,INDEX('Cronograma R. Operacional'!$AH$5:$AH$1000,$N18),""),IF(INDEX('Cronograma R. Operacional'!$I$5:$I$1000,$N18)="","",INDEX('Cronograma R. Operacional'!$I$5:$I$1000,$N18))))</f>
        <v/>
      </c>
      <c r="G18" s="61">
        <f>IF($N18="","",IF($P18&gt;0,IF(2&lt;=SemanaActual,INDEX('Cronograma R. Operacional'!$AI$5:$AI$1000,$N18),""),IF(INDEX('Cronograma R. Operacional'!$J$5:$J$1000,$N18)="","",INDEX('Cronograma R. Operacional'!$J$5:$J$1000,$N18))))</f>
        <v/>
      </c>
      <c r="H18" s="61">
        <f>IF($N18="","",IF($P18&gt;0,IF(3&lt;=SemanaActual,INDEX('Cronograma R. Operacional'!$AJ$5:$AJ$1000,$N18),""),IF(INDEX('Cronograma R. Operacional'!$K$5:$K$1000,$N18)="","",INDEX('Cronograma R. Operacional'!$K$5:$K$1000,$N18))))</f>
        <v/>
      </c>
      <c r="I18" s="61">
        <f>IF($N18="","",IF($P18&gt;0,IF(4&lt;=SemanaActual,INDEX('Cronograma R. Operacional'!$AK$5:$AK$1000,$N18),""),IF(INDEX('Cronograma R. Operacional'!$L$5:$L$1000,$N18)="","",INDEX('Cronograma R. Operacional'!$L$5:$L$1000,$N18))))</f>
        <v/>
      </c>
      <c r="J18" s="61">
        <f>IF($N18="","",INDEX('Cronograma R. Operacional'!$M$5:$M$1000,$N18))</f>
        <v/>
      </c>
      <c r="K18" s="56">
        <f>IF($N18="","",IF(N($J18)&gt;=1,"Completado",IF(AND(ISNUMBER($D18),$D18&lt;FechaRef),"Vencida",IF(N($J18)&gt;0,"En curso","Pendiente"))))</f>
        <v/>
      </c>
      <c r="L18" s="56">
        <f>IF($N18="","",INDEX('Cronograma R. Operacional'!$O$5:$O$1000,$N18)&amp;"")</f>
        <v/>
      </c>
      <c r="M18" s="62">
        <f>IF($N18="","",INDEX('Cronograma R. Operacional'!$Q$5:$Q$1000,$N18)&amp;"")</f>
        <v/>
      </c>
      <c r="N18">
        <f>IFERROR(MATCH(ROW()-4,rOrden_RO,0),"")</f>
        <v/>
      </c>
      <c r="O18">
        <f>IF($N18="","",INDEX('Cronograma R. Operacional'!$V$5:$V$1000,$N18))</f>
        <v/>
      </c>
      <c r="P18">
        <f>IF($N18="","",N(INDEX('Cronograma R. Operacional'!$W$5:$W$1000,$N18)))</f>
        <v/>
      </c>
      <c r="Q18">
        <f>IF(OR(LEFT($L18,7)="Vencida",LEFT($L18,5)="Vence"),SUMPRODUCT(--(LEFT($L$5:$L18,7)="Vencida"))+SUMPRODUCT(--(LEFT($L$5:$L18,5)="Vence")),"")</f>
        <v/>
      </c>
    </row>
    <row r="19">
      <c r="A19" s="56">
        <f>IF($N19="","",INDEX('Cronograma R. Operacional'!$A$5:$A$1000,$N19))</f>
        <v/>
      </c>
      <c r="B19" s="62">
        <f>IF($N19="","",IF($O19="Sub","      ↳  "&amp;INDEX('Cronograma R. Operacional'!$C$5:$C$1000,$N19),INDEX('Cronograma R. Operacional'!$C$5:$C$1000,$N19)&amp;""))</f>
        <v/>
      </c>
      <c r="C19" s="79">
        <f>IF($N19="","",IF(INDEX('Cronograma R. Operacional'!$AR$5:$AR$1000,$N19)="","",INDEX('Cronograma R. Operacional'!$AR$5:$AR$1000,$N19)))</f>
        <v/>
      </c>
      <c r="D19" s="79">
        <f>IF($N19="","",IF(INDEX('Cronograma R. Operacional'!$AS$5:$AS$1000,$N19)="","",INDEX('Cronograma R. Operacional'!$AS$5:$AS$1000,$N19)))</f>
        <v/>
      </c>
      <c r="E19" s="56">
        <f>IF($N19="","",IF(NOT(ISNUMBER($D19)),"",IF($D19&lt;InicioCiclo,"Antes del ciclo",IF($D19&gt;=InicioCiclo+28,"Después del ciclo","Semana "&amp;(INT(($D19-InicioCiclo)/7)+1)))))</f>
        <v/>
      </c>
      <c r="F19" s="61">
        <f>IF($N19="","",IF($P19&gt;0,IF(1&lt;=SemanaActual,INDEX('Cronograma R. Operacional'!$AH$5:$AH$1000,$N19),""),IF(INDEX('Cronograma R. Operacional'!$I$5:$I$1000,$N19)="","",INDEX('Cronograma R. Operacional'!$I$5:$I$1000,$N19))))</f>
        <v/>
      </c>
      <c r="G19" s="61">
        <f>IF($N19="","",IF($P19&gt;0,IF(2&lt;=SemanaActual,INDEX('Cronograma R. Operacional'!$AI$5:$AI$1000,$N19),""),IF(INDEX('Cronograma R. Operacional'!$J$5:$J$1000,$N19)="","",INDEX('Cronograma R. Operacional'!$J$5:$J$1000,$N19))))</f>
        <v/>
      </c>
      <c r="H19" s="61">
        <f>IF($N19="","",IF($P19&gt;0,IF(3&lt;=SemanaActual,INDEX('Cronograma R. Operacional'!$AJ$5:$AJ$1000,$N19),""),IF(INDEX('Cronograma R. Operacional'!$K$5:$K$1000,$N19)="","",INDEX('Cronograma R. Operacional'!$K$5:$K$1000,$N19))))</f>
        <v/>
      </c>
      <c r="I19" s="61">
        <f>IF($N19="","",IF($P19&gt;0,IF(4&lt;=SemanaActual,INDEX('Cronograma R. Operacional'!$AK$5:$AK$1000,$N19),""),IF(INDEX('Cronograma R. Operacional'!$L$5:$L$1000,$N19)="","",INDEX('Cronograma R. Operacional'!$L$5:$L$1000,$N19))))</f>
        <v/>
      </c>
      <c r="J19" s="61">
        <f>IF($N19="","",INDEX('Cronograma R. Operacional'!$M$5:$M$1000,$N19))</f>
        <v/>
      </c>
      <c r="K19" s="56">
        <f>IF($N19="","",IF(N($J19)&gt;=1,"Completado",IF(AND(ISNUMBER($D19),$D19&lt;FechaRef),"Vencida",IF(N($J19)&gt;0,"En curso","Pendiente"))))</f>
        <v/>
      </c>
      <c r="L19" s="56">
        <f>IF($N19="","",INDEX('Cronograma R. Operacional'!$O$5:$O$1000,$N19)&amp;"")</f>
        <v/>
      </c>
      <c r="M19" s="62">
        <f>IF($N19="","",INDEX('Cronograma R. Operacional'!$Q$5:$Q$1000,$N19)&amp;"")</f>
        <v/>
      </c>
      <c r="N19">
        <f>IFERROR(MATCH(ROW()-4,rOrden_RO,0),"")</f>
        <v/>
      </c>
      <c r="O19">
        <f>IF($N19="","",INDEX('Cronograma R. Operacional'!$V$5:$V$1000,$N19))</f>
        <v/>
      </c>
      <c r="P19">
        <f>IF($N19="","",N(INDEX('Cronograma R. Operacional'!$W$5:$W$1000,$N19)))</f>
        <v/>
      </c>
      <c r="Q19">
        <f>IF(OR(LEFT($L19,7)="Vencida",LEFT($L19,5)="Vence"),SUMPRODUCT(--(LEFT($L$5:$L19,7)="Vencida"))+SUMPRODUCT(--(LEFT($L$5:$L19,5)="Vence")),"")</f>
        <v/>
      </c>
    </row>
    <row r="20">
      <c r="A20" s="56">
        <f>IF($N20="","",INDEX('Cronograma R. Operacional'!$A$5:$A$1000,$N20))</f>
        <v/>
      </c>
      <c r="B20" s="62">
        <f>IF($N20="","",IF($O20="Sub","      ↳  "&amp;INDEX('Cronograma R. Operacional'!$C$5:$C$1000,$N20),INDEX('Cronograma R. Operacional'!$C$5:$C$1000,$N20)&amp;""))</f>
        <v/>
      </c>
      <c r="C20" s="79">
        <f>IF($N20="","",IF(INDEX('Cronograma R. Operacional'!$AR$5:$AR$1000,$N20)="","",INDEX('Cronograma R. Operacional'!$AR$5:$AR$1000,$N20)))</f>
        <v/>
      </c>
      <c r="D20" s="79">
        <f>IF($N20="","",IF(INDEX('Cronograma R. Operacional'!$AS$5:$AS$1000,$N20)="","",INDEX('Cronograma R. Operacional'!$AS$5:$AS$1000,$N20)))</f>
        <v/>
      </c>
      <c r="E20" s="56">
        <f>IF($N20="","",IF(NOT(ISNUMBER($D20)),"",IF($D20&lt;InicioCiclo,"Antes del ciclo",IF($D20&gt;=InicioCiclo+28,"Después del ciclo","Semana "&amp;(INT(($D20-InicioCiclo)/7)+1)))))</f>
        <v/>
      </c>
      <c r="F20" s="61">
        <f>IF($N20="","",IF($P20&gt;0,IF(1&lt;=SemanaActual,INDEX('Cronograma R. Operacional'!$AH$5:$AH$1000,$N20),""),IF(INDEX('Cronograma R. Operacional'!$I$5:$I$1000,$N20)="","",INDEX('Cronograma R. Operacional'!$I$5:$I$1000,$N20))))</f>
        <v/>
      </c>
      <c r="G20" s="61">
        <f>IF($N20="","",IF($P20&gt;0,IF(2&lt;=SemanaActual,INDEX('Cronograma R. Operacional'!$AI$5:$AI$1000,$N20),""),IF(INDEX('Cronograma R. Operacional'!$J$5:$J$1000,$N20)="","",INDEX('Cronograma R. Operacional'!$J$5:$J$1000,$N20))))</f>
        <v/>
      </c>
      <c r="H20" s="61">
        <f>IF($N20="","",IF($P20&gt;0,IF(3&lt;=SemanaActual,INDEX('Cronograma R. Operacional'!$AJ$5:$AJ$1000,$N20),""),IF(INDEX('Cronograma R. Operacional'!$K$5:$K$1000,$N20)="","",INDEX('Cronograma R. Operacional'!$K$5:$K$1000,$N20))))</f>
        <v/>
      </c>
      <c r="I20" s="61">
        <f>IF($N20="","",IF($P20&gt;0,IF(4&lt;=SemanaActual,INDEX('Cronograma R. Operacional'!$AK$5:$AK$1000,$N20),""),IF(INDEX('Cronograma R. Operacional'!$L$5:$L$1000,$N20)="","",INDEX('Cronograma R. Operacional'!$L$5:$L$1000,$N20))))</f>
        <v/>
      </c>
      <c r="J20" s="61">
        <f>IF($N20="","",INDEX('Cronograma R. Operacional'!$M$5:$M$1000,$N20))</f>
        <v/>
      </c>
      <c r="K20" s="56">
        <f>IF($N20="","",IF(N($J20)&gt;=1,"Completado",IF(AND(ISNUMBER($D20),$D20&lt;FechaRef),"Vencida",IF(N($J20)&gt;0,"En curso","Pendiente"))))</f>
        <v/>
      </c>
      <c r="L20" s="56">
        <f>IF($N20="","",INDEX('Cronograma R. Operacional'!$O$5:$O$1000,$N20)&amp;"")</f>
        <v/>
      </c>
      <c r="M20" s="62">
        <f>IF($N20="","",INDEX('Cronograma R. Operacional'!$Q$5:$Q$1000,$N20)&amp;"")</f>
        <v/>
      </c>
      <c r="N20">
        <f>IFERROR(MATCH(ROW()-4,rOrden_RO,0),"")</f>
        <v/>
      </c>
      <c r="O20">
        <f>IF($N20="","",INDEX('Cronograma R. Operacional'!$V$5:$V$1000,$N20))</f>
        <v/>
      </c>
      <c r="P20">
        <f>IF($N20="","",N(INDEX('Cronograma R. Operacional'!$W$5:$W$1000,$N20)))</f>
        <v/>
      </c>
      <c r="Q20">
        <f>IF(OR(LEFT($L20,7)="Vencida",LEFT($L20,5)="Vence"),SUMPRODUCT(--(LEFT($L$5:$L20,7)="Vencida"))+SUMPRODUCT(--(LEFT($L$5:$L20,5)="Vence")),"")</f>
        <v/>
      </c>
    </row>
    <row r="21">
      <c r="A21" s="56">
        <f>IF($N21="","",INDEX('Cronograma R. Operacional'!$A$5:$A$1000,$N21))</f>
        <v/>
      </c>
      <c r="B21" s="62">
        <f>IF($N21="","",IF($O21="Sub","      ↳  "&amp;INDEX('Cronograma R. Operacional'!$C$5:$C$1000,$N21),INDEX('Cronograma R. Operacional'!$C$5:$C$1000,$N21)&amp;""))</f>
        <v/>
      </c>
      <c r="C21" s="79">
        <f>IF($N21="","",IF(INDEX('Cronograma R. Operacional'!$AR$5:$AR$1000,$N21)="","",INDEX('Cronograma R. Operacional'!$AR$5:$AR$1000,$N21)))</f>
        <v/>
      </c>
      <c r="D21" s="79">
        <f>IF($N21="","",IF(INDEX('Cronograma R. Operacional'!$AS$5:$AS$1000,$N21)="","",INDEX('Cronograma R. Operacional'!$AS$5:$AS$1000,$N21)))</f>
        <v/>
      </c>
      <c r="E21" s="56">
        <f>IF($N21="","",IF(NOT(ISNUMBER($D21)),"",IF($D21&lt;InicioCiclo,"Antes del ciclo",IF($D21&gt;=InicioCiclo+28,"Después del ciclo","Semana "&amp;(INT(($D21-InicioCiclo)/7)+1)))))</f>
        <v/>
      </c>
      <c r="F21" s="61">
        <f>IF($N21="","",IF($P21&gt;0,IF(1&lt;=SemanaActual,INDEX('Cronograma R. Operacional'!$AH$5:$AH$1000,$N21),""),IF(INDEX('Cronograma R. Operacional'!$I$5:$I$1000,$N21)="","",INDEX('Cronograma R. Operacional'!$I$5:$I$1000,$N21))))</f>
        <v/>
      </c>
      <c r="G21" s="61">
        <f>IF($N21="","",IF($P21&gt;0,IF(2&lt;=SemanaActual,INDEX('Cronograma R. Operacional'!$AI$5:$AI$1000,$N21),""),IF(INDEX('Cronograma R. Operacional'!$J$5:$J$1000,$N21)="","",INDEX('Cronograma R. Operacional'!$J$5:$J$1000,$N21))))</f>
        <v/>
      </c>
      <c r="H21" s="61">
        <f>IF($N21="","",IF($P21&gt;0,IF(3&lt;=SemanaActual,INDEX('Cronograma R. Operacional'!$AJ$5:$AJ$1000,$N21),""),IF(INDEX('Cronograma R. Operacional'!$K$5:$K$1000,$N21)="","",INDEX('Cronograma R. Operacional'!$K$5:$K$1000,$N21))))</f>
        <v/>
      </c>
      <c r="I21" s="61">
        <f>IF($N21="","",IF($P21&gt;0,IF(4&lt;=SemanaActual,INDEX('Cronograma R. Operacional'!$AK$5:$AK$1000,$N21),""),IF(INDEX('Cronograma R. Operacional'!$L$5:$L$1000,$N21)="","",INDEX('Cronograma R. Operacional'!$L$5:$L$1000,$N21))))</f>
        <v/>
      </c>
      <c r="J21" s="61">
        <f>IF($N21="","",INDEX('Cronograma R. Operacional'!$M$5:$M$1000,$N21))</f>
        <v/>
      </c>
      <c r="K21" s="56">
        <f>IF($N21="","",IF(N($J21)&gt;=1,"Completado",IF(AND(ISNUMBER($D21),$D21&lt;FechaRef),"Vencida",IF(N($J21)&gt;0,"En curso","Pendiente"))))</f>
        <v/>
      </c>
      <c r="L21" s="56">
        <f>IF($N21="","",INDEX('Cronograma R. Operacional'!$O$5:$O$1000,$N21)&amp;"")</f>
        <v/>
      </c>
      <c r="M21" s="62">
        <f>IF($N21="","",INDEX('Cronograma R. Operacional'!$Q$5:$Q$1000,$N21)&amp;"")</f>
        <v/>
      </c>
      <c r="N21">
        <f>IFERROR(MATCH(ROW()-4,rOrden_RO,0),"")</f>
        <v/>
      </c>
      <c r="O21">
        <f>IF($N21="","",INDEX('Cronograma R. Operacional'!$V$5:$V$1000,$N21))</f>
        <v/>
      </c>
      <c r="P21">
        <f>IF($N21="","",N(INDEX('Cronograma R. Operacional'!$W$5:$W$1000,$N21)))</f>
        <v/>
      </c>
      <c r="Q21">
        <f>IF(OR(LEFT($L21,7)="Vencida",LEFT($L21,5)="Vence"),SUMPRODUCT(--(LEFT($L$5:$L21,7)="Vencida"))+SUMPRODUCT(--(LEFT($L$5:$L21,5)="Vence")),"")</f>
        <v/>
      </c>
    </row>
    <row r="22">
      <c r="A22" s="56">
        <f>IF($N22="","",INDEX('Cronograma R. Operacional'!$A$5:$A$1000,$N22))</f>
        <v/>
      </c>
      <c r="B22" s="62">
        <f>IF($N22="","",IF($O22="Sub","      ↳  "&amp;INDEX('Cronograma R. Operacional'!$C$5:$C$1000,$N22),INDEX('Cronograma R. Operacional'!$C$5:$C$1000,$N22)&amp;""))</f>
        <v/>
      </c>
      <c r="C22" s="79">
        <f>IF($N22="","",IF(INDEX('Cronograma R. Operacional'!$AR$5:$AR$1000,$N22)="","",INDEX('Cronograma R. Operacional'!$AR$5:$AR$1000,$N22)))</f>
        <v/>
      </c>
      <c r="D22" s="79">
        <f>IF($N22="","",IF(INDEX('Cronograma R. Operacional'!$AS$5:$AS$1000,$N22)="","",INDEX('Cronograma R. Operacional'!$AS$5:$AS$1000,$N22)))</f>
        <v/>
      </c>
      <c r="E22" s="56">
        <f>IF($N22="","",IF(NOT(ISNUMBER($D22)),"",IF($D22&lt;InicioCiclo,"Antes del ciclo",IF($D22&gt;=InicioCiclo+28,"Después del ciclo","Semana "&amp;(INT(($D22-InicioCiclo)/7)+1)))))</f>
        <v/>
      </c>
      <c r="F22" s="61">
        <f>IF($N22="","",IF($P22&gt;0,IF(1&lt;=SemanaActual,INDEX('Cronograma R. Operacional'!$AH$5:$AH$1000,$N22),""),IF(INDEX('Cronograma R. Operacional'!$I$5:$I$1000,$N22)="","",INDEX('Cronograma R. Operacional'!$I$5:$I$1000,$N22))))</f>
        <v/>
      </c>
      <c r="G22" s="61">
        <f>IF($N22="","",IF($P22&gt;0,IF(2&lt;=SemanaActual,INDEX('Cronograma R. Operacional'!$AI$5:$AI$1000,$N22),""),IF(INDEX('Cronograma R. Operacional'!$J$5:$J$1000,$N22)="","",INDEX('Cronograma R. Operacional'!$J$5:$J$1000,$N22))))</f>
        <v/>
      </c>
      <c r="H22" s="61">
        <f>IF($N22="","",IF($P22&gt;0,IF(3&lt;=SemanaActual,INDEX('Cronograma R. Operacional'!$AJ$5:$AJ$1000,$N22),""),IF(INDEX('Cronograma R. Operacional'!$K$5:$K$1000,$N22)="","",INDEX('Cronograma R. Operacional'!$K$5:$K$1000,$N22))))</f>
        <v/>
      </c>
      <c r="I22" s="61">
        <f>IF($N22="","",IF($P22&gt;0,IF(4&lt;=SemanaActual,INDEX('Cronograma R. Operacional'!$AK$5:$AK$1000,$N22),""),IF(INDEX('Cronograma R. Operacional'!$L$5:$L$1000,$N22)="","",INDEX('Cronograma R. Operacional'!$L$5:$L$1000,$N22))))</f>
        <v/>
      </c>
      <c r="J22" s="61">
        <f>IF($N22="","",INDEX('Cronograma R. Operacional'!$M$5:$M$1000,$N22))</f>
        <v/>
      </c>
      <c r="K22" s="56">
        <f>IF($N22="","",IF(N($J22)&gt;=1,"Completado",IF(AND(ISNUMBER($D22),$D22&lt;FechaRef),"Vencida",IF(N($J22)&gt;0,"En curso","Pendiente"))))</f>
        <v/>
      </c>
      <c r="L22" s="56">
        <f>IF($N22="","",INDEX('Cronograma R. Operacional'!$O$5:$O$1000,$N22)&amp;"")</f>
        <v/>
      </c>
      <c r="M22" s="62">
        <f>IF($N22="","",INDEX('Cronograma R. Operacional'!$Q$5:$Q$1000,$N22)&amp;"")</f>
        <v/>
      </c>
      <c r="N22">
        <f>IFERROR(MATCH(ROW()-4,rOrden_RO,0),"")</f>
        <v/>
      </c>
      <c r="O22">
        <f>IF($N22="","",INDEX('Cronograma R. Operacional'!$V$5:$V$1000,$N22))</f>
        <v/>
      </c>
      <c r="P22">
        <f>IF($N22="","",N(INDEX('Cronograma R. Operacional'!$W$5:$W$1000,$N22)))</f>
        <v/>
      </c>
      <c r="Q22">
        <f>IF(OR(LEFT($L22,7)="Vencida",LEFT($L22,5)="Vence"),SUMPRODUCT(--(LEFT($L$5:$L22,7)="Vencida"))+SUMPRODUCT(--(LEFT($L$5:$L22,5)="Vence")),"")</f>
        <v/>
      </c>
    </row>
    <row r="23">
      <c r="A23" s="56">
        <f>IF($N23="","",INDEX('Cronograma R. Operacional'!$A$5:$A$1000,$N23))</f>
        <v/>
      </c>
      <c r="B23" s="62">
        <f>IF($N23="","",IF($O23="Sub","      ↳  "&amp;INDEX('Cronograma R. Operacional'!$C$5:$C$1000,$N23),INDEX('Cronograma R. Operacional'!$C$5:$C$1000,$N23)&amp;""))</f>
        <v/>
      </c>
      <c r="C23" s="79">
        <f>IF($N23="","",IF(INDEX('Cronograma R. Operacional'!$AR$5:$AR$1000,$N23)="","",INDEX('Cronograma R. Operacional'!$AR$5:$AR$1000,$N23)))</f>
        <v/>
      </c>
      <c r="D23" s="79">
        <f>IF($N23="","",IF(INDEX('Cronograma R. Operacional'!$AS$5:$AS$1000,$N23)="","",INDEX('Cronograma R. Operacional'!$AS$5:$AS$1000,$N23)))</f>
        <v/>
      </c>
      <c r="E23" s="56">
        <f>IF($N23="","",IF(NOT(ISNUMBER($D23)),"",IF($D23&lt;InicioCiclo,"Antes del ciclo",IF($D23&gt;=InicioCiclo+28,"Después del ciclo","Semana "&amp;(INT(($D23-InicioCiclo)/7)+1)))))</f>
        <v/>
      </c>
      <c r="F23" s="61">
        <f>IF($N23="","",IF($P23&gt;0,IF(1&lt;=SemanaActual,INDEX('Cronograma R. Operacional'!$AH$5:$AH$1000,$N23),""),IF(INDEX('Cronograma R. Operacional'!$I$5:$I$1000,$N23)="","",INDEX('Cronograma R. Operacional'!$I$5:$I$1000,$N23))))</f>
        <v/>
      </c>
      <c r="G23" s="61">
        <f>IF($N23="","",IF($P23&gt;0,IF(2&lt;=SemanaActual,INDEX('Cronograma R. Operacional'!$AI$5:$AI$1000,$N23),""),IF(INDEX('Cronograma R. Operacional'!$J$5:$J$1000,$N23)="","",INDEX('Cronograma R. Operacional'!$J$5:$J$1000,$N23))))</f>
        <v/>
      </c>
      <c r="H23" s="61">
        <f>IF($N23="","",IF($P23&gt;0,IF(3&lt;=SemanaActual,INDEX('Cronograma R. Operacional'!$AJ$5:$AJ$1000,$N23),""),IF(INDEX('Cronograma R. Operacional'!$K$5:$K$1000,$N23)="","",INDEX('Cronograma R. Operacional'!$K$5:$K$1000,$N23))))</f>
        <v/>
      </c>
      <c r="I23" s="61">
        <f>IF($N23="","",IF($P23&gt;0,IF(4&lt;=SemanaActual,INDEX('Cronograma R. Operacional'!$AK$5:$AK$1000,$N23),""),IF(INDEX('Cronograma R. Operacional'!$L$5:$L$1000,$N23)="","",INDEX('Cronograma R. Operacional'!$L$5:$L$1000,$N23))))</f>
        <v/>
      </c>
      <c r="J23" s="61">
        <f>IF($N23="","",INDEX('Cronograma R. Operacional'!$M$5:$M$1000,$N23))</f>
        <v/>
      </c>
      <c r="K23" s="56">
        <f>IF($N23="","",IF(N($J23)&gt;=1,"Completado",IF(AND(ISNUMBER($D23),$D23&lt;FechaRef),"Vencida",IF(N($J23)&gt;0,"En curso","Pendiente"))))</f>
        <v/>
      </c>
      <c r="L23" s="56">
        <f>IF($N23="","",INDEX('Cronograma R. Operacional'!$O$5:$O$1000,$N23)&amp;"")</f>
        <v/>
      </c>
      <c r="M23" s="62">
        <f>IF($N23="","",INDEX('Cronograma R. Operacional'!$Q$5:$Q$1000,$N23)&amp;"")</f>
        <v/>
      </c>
      <c r="N23">
        <f>IFERROR(MATCH(ROW()-4,rOrden_RO,0),"")</f>
        <v/>
      </c>
      <c r="O23">
        <f>IF($N23="","",INDEX('Cronograma R. Operacional'!$V$5:$V$1000,$N23))</f>
        <v/>
      </c>
      <c r="P23">
        <f>IF($N23="","",N(INDEX('Cronograma R. Operacional'!$W$5:$W$1000,$N23)))</f>
        <v/>
      </c>
      <c r="Q23">
        <f>IF(OR(LEFT($L23,7)="Vencida",LEFT($L23,5)="Vence"),SUMPRODUCT(--(LEFT($L$5:$L23,7)="Vencida"))+SUMPRODUCT(--(LEFT($L$5:$L23,5)="Vence")),"")</f>
        <v/>
      </c>
    </row>
    <row r="24">
      <c r="A24" s="56">
        <f>IF($N24="","",INDEX('Cronograma R. Operacional'!$A$5:$A$1000,$N24))</f>
        <v/>
      </c>
      <c r="B24" s="62">
        <f>IF($N24="","",IF($O24="Sub","      ↳  "&amp;INDEX('Cronograma R. Operacional'!$C$5:$C$1000,$N24),INDEX('Cronograma R. Operacional'!$C$5:$C$1000,$N24)&amp;""))</f>
        <v/>
      </c>
      <c r="C24" s="79">
        <f>IF($N24="","",IF(INDEX('Cronograma R. Operacional'!$AR$5:$AR$1000,$N24)="","",INDEX('Cronograma R. Operacional'!$AR$5:$AR$1000,$N24)))</f>
        <v/>
      </c>
      <c r="D24" s="79">
        <f>IF($N24="","",IF(INDEX('Cronograma R. Operacional'!$AS$5:$AS$1000,$N24)="","",INDEX('Cronograma R. Operacional'!$AS$5:$AS$1000,$N24)))</f>
        <v/>
      </c>
      <c r="E24" s="56">
        <f>IF($N24="","",IF(NOT(ISNUMBER($D24)),"",IF($D24&lt;InicioCiclo,"Antes del ciclo",IF($D24&gt;=InicioCiclo+28,"Después del ciclo","Semana "&amp;(INT(($D24-InicioCiclo)/7)+1)))))</f>
        <v/>
      </c>
      <c r="F24" s="61">
        <f>IF($N24="","",IF($P24&gt;0,IF(1&lt;=SemanaActual,INDEX('Cronograma R. Operacional'!$AH$5:$AH$1000,$N24),""),IF(INDEX('Cronograma R. Operacional'!$I$5:$I$1000,$N24)="","",INDEX('Cronograma R. Operacional'!$I$5:$I$1000,$N24))))</f>
        <v/>
      </c>
      <c r="G24" s="61">
        <f>IF($N24="","",IF($P24&gt;0,IF(2&lt;=SemanaActual,INDEX('Cronograma R. Operacional'!$AI$5:$AI$1000,$N24),""),IF(INDEX('Cronograma R. Operacional'!$J$5:$J$1000,$N24)="","",INDEX('Cronograma R. Operacional'!$J$5:$J$1000,$N24))))</f>
        <v/>
      </c>
      <c r="H24" s="61">
        <f>IF($N24="","",IF($P24&gt;0,IF(3&lt;=SemanaActual,INDEX('Cronograma R. Operacional'!$AJ$5:$AJ$1000,$N24),""),IF(INDEX('Cronograma R. Operacional'!$K$5:$K$1000,$N24)="","",INDEX('Cronograma R. Operacional'!$K$5:$K$1000,$N24))))</f>
        <v/>
      </c>
      <c r="I24" s="61">
        <f>IF($N24="","",IF($P24&gt;0,IF(4&lt;=SemanaActual,INDEX('Cronograma R. Operacional'!$AK$5:$AK$1000,$N24),""),IF(INDEX('Cronograma R. Operacional'!$L$5:$L$1000,$N24)="","",INDEX('Cronograma R. Operacional'!$L$5:$L$1000,$N24))))</f>
        <v/>
      </c>
      <c r="J24" s="61">
        <f>IF($N24="","",INDEX('Cronograma R. Operacional'!$M$5:$M$1000,$N24))</f>
        <v/>
      </c>
      <c r="K24" s="56">
        <f>IF($N24="","",IF(N($J24)&gt;=1,"Completado",IF(AND(ISNUMBER($D24),$D24&lt;FechaRef),"Vencida",IF(N($J24)&gt;0,"En curso","Pendiente"))))</f>
        <v/>
      </c>
      <c r="L24" s="56">
        <f>IF($N24="","",INDEX('Cronograma R. Operacional'!$O$5:$O$1000,$N24)&amp;"")</f>
        <v/>
      </c>
      <c r="M24" s="62">
        <f>IF($N24="","",INDEX('Cronograma R. Operacional'!$Q$5:$Q$1000,$N24)&amp;"")</f>
        <v/>
      </c>
      <c r="N24">
        <f>IFERROR(MATCH(ROW()-4,rOrden_RO,0),"")</f>
        <v/>
      </c>
      <c r="O24">
        <f>IF($N24="","",INDEX('Cronograma R. Operacional'!$V$5:$V$1000,$N24))</f>
        <v/>
      </c>
      <c r="P24">
        <f>IF($N24="","",N(INDEX('Cronograma R. Operacional'!$W$5:$W$1000,$N24)))</f>
        <v/>
      </c>
      <c r="Q24">
        <f>IF(OR(LEFT($L24,7)="Vencida",LEFT($L24,5)="Vence"),SUMPRODUCT(--(LEFT($L$5:$L24,7)="Vencida"))+SUMPRODUCT(--(LEFT($L$5:$L24,5)="Vence")),"")</f>
        <v/>
      </c>
    </row>
    <row r="25">
      <c r="A25" s="56">
        <f>IF($N25="","",INDEX('Cronograma R. Operacional'!$A$5:$A$1000,$N25))</f>
        <v/>
      </c>
      <c r="B25" s="62">
        <f>IF($N25="","",IF($O25="Sub","      ↳  "&amp;INDEX('Cronograma R. Operacional'!$C$5:$C$1000,$N25),INDEX('Cronograma R. Operacional'!$C$5:$C$1000,$N25)&amp;""))</f>
        <v/>
      </c>
      <c r="C25" s="79">
        <f>IF($N25="","",IF(INDEX('Cronograma R. Operacional'!$AR$5:$AR$1000,$N25)="","",INDEX('Cronograma R. Operacional'!$AR$5:$AR$1000,$N25)))</f>
        <v/>
      </c>
      <c r="D25" s="79">
        <f>IF($N25="","",IF(INDEX('Cronograma R. Operacional'!$AS$5:$AS$1000,$N25)="","",INDEX('Cronograma R. Operacional'!$AS$5:$AS$1000,$N25)))</f>
        <v/>
      </c>
      <c r="E25" s="56">
        <f>IF($N25="","",IF(NOT(ISNUMBER($D25)),"",IF($D25&lt;InicioCiclo,"Antes del ciclo",IF($D25&gt;=InicioCiclo+28,"Después del ciclo","Semana "&amp;(INT(($D25-InicioCiclo)/7)+1)))))</f>
        <v/>
      </c>
      <c r="F25" s="61">
        <f>IF($N25="","",IF($P25&gt;0,IF(1&lt;=SemanaActual,INDEX('Cronograma R. Operacional'!$AH$5:$AH$1000,$N25),""),IF(INDEX('Cronograma R. Operacional'!$I$5:$I$1000,$N25)="","",INDEX('Cronograma R. Operacional'!$I$5:$I$1000,$N25))))</f>
        <v/>
      </c>
      <c r="G25" s="61">
        <f>IF($N25="","",IF($P25&gt;0,IF(2&lt;=SemanaActual,INDEX('Cronograma R. Operacional'!$AI$5:$AI$1000,$N25),""),IF(INDEX('Cronograma R. Operacional'!$J$5:$J$1000,$N25)="","",INDEX('Cronograma R. Operacional'!$J$5:$J$1000,$N25))))</f>
        <v/>
      </c>
      <c r="H25" s="61">
        <f>IF($N25="","",IF($P25&gt;0,IF(3&lt;=SemanaActual,INDEX('Cronograma R. Operacional'!$AJ$5:$AJ$1000,$N25),""),IF(INDEX('Cronograma R. Operacional'!$K$5:$K$1000,$N25)="","",INDEX('Cronograma R. Operacional'!$K$5:$K$1000,$N25))))</f>
        <v/>
      </c>
      <c r="I25" s="61">
        <f>IF($N25="","",IF($P25&gt;0,IF(4&lt;=SemanaActual,INDEX('Cronograma R. Operacional'!$AK$5:$AK$1000,$N25),""),IF(INDEX('Cronograma R. Operacional'!$L$5:$L$1000,$N25)="","",INDEX('Cronograma R. Operacional'!$L$5:$L$1000,$N25))))</f>
        <v/>
      </c>
      <c r="J25" s="61">
        <f>IF($N25="","",INDEX('Cronograma R. Operacional'!$M$5:$M$1000,$N25))</f>
        <v/>
      </c>
      <c r="K25" s="56">
        <f>IF($N25="","",IF(N($J25)&gt;=1,"Completado",IF(AND(ISNUMBER($D25),$D25&lt;FechaRef),"Vencida",IF(N($J25)&gt;0,"En curso","Pendiente"))))</f>
        <v/>
      </c>
      <c r="L25" s="56">
        <f>IF($N25="","",INDEX('Cronograma R. Operacional'!$O$5:$O$1000,$N25)&amp;"")</f>
        <v/>
      </c>
      <c r="M25" s="62">
        <f>IF($N25="","",INDEX('Cronograma R. Operacional'!$Q$5:$Q$1000,$N25)&amp;"")</f>
        <v/>
      </c>
      <c r="N25">
        <f>IFERROR(MATCH(ROW()-4,rOrden_RO,0),"")</f>
        <v/>
      </c>
      <c r="O25">
        <f>IF($N25="","",INDEX('Cronograma R. Operacional'!$V$5:$V$1000,$N25))</f>
        <v/>
      </c>
      <c r="P25">
        <f>IF($N25="","",N(INDEX('Cronograma R. Operacional'!$W$5:$W$1000,$N25)))</f>
        <v/>
      </c>
      <c r="Q25">
        <f>IF(OR(LEFT($L25,7)="Vencida",LEFT($L25,5)="Vence"),SUMPRODUCT(--(LEFT($L$5:$L25,7)="Vencida"))+SUMPRODUCT(--(LEFT($L$5:$L25,5)="Vence")),"")</f>
        <v/>
      </c>
    </row>
    <row r="26">
      <c r="A26" s="56">
        <f>IF($N26="","",INDEX('Cronograma R. Operacional'!$A$5:$A$1000,$N26))</f>
        <v/>
      </c>
      <c r="B26" s="62">
        <f>IF($N26="","",IF($O26="Sub","      ↳  "&amp;INDEX('Cronograma R. Operacional'!$C$5:$C$1000,$N26),INDEX('Cronograma R. Operacional'!$C$5:$C$1000,$N26)&amp;""))</f>
        <v/>
      </c>
      <c r="C26" s="79">
        <f>IF($N26="","",IF(INDEX('Cronograma R. Operacional'!$AR$5:$AR$1000,$N26)="","",INDEX('Cronograma R. Operacional'!$AR$5:$AR$1000,$N26)))</f>
        <v/>
      </c>
      <c r="D26" s="79">
        <f>IF($N26="","",IF(INDEX('Cronograma R. Operacional'!$AS$5:$AS$1000,$N26)="","",INDEX('Cronograma R. Operacional'!$AS$5:$AS$1000,$N26)))</f>
        <v/>
      </c>
      <c r="E26" s="56">
        <f>IF($N26="","",IF(NOT(ISNUMBER($D26)),"",IF($D26&lt;InicioCiclo,"Antes del ciclo",IF($D26&gt;=InicioCiclo+28,"Después del ciclo","Semana "&amp;(INT(($D26-InicioCiclo)/7)+1)))))</f>
        <v/>
      </c>
      <c r="F26" s="61">
        <f>IF($N26="","",IF($P26&gt;0,IF(1&lt;=SemanaActual,INDEX('Cronograma R. Operacional'!$AH$5:$AH$1000,$N26),""),IF(INDEX('Cronograma R. Operacional'!$I$5:$I$1000,$N26)="","",INDEX('Cronograma R. Operacional'!$I$5:$I$1000,$N26))))</f>
        <v/>
      </c>
      <c r="G26" s="61">
        <f>IF($N26="","",IF($P26&gt;0,IF(2&lt;=SemanaActual,INDEX('Cronograma R. Operacional'!$AI$5:$AI$1000,$N26),""),IF(INDEX('Cronograma R. Operacional'!$J$5:$J$1000,$N26)="","",INDEX('Cronograma R. Operacional'!$J$5:$J$1000,$N26))))</f>
        <v/>
      </c>
      <c r="H26" s="61">
        <f>IF($N26="","",IF($P26&gt;0,IF(3&lt;=SemanaActual,INDEX('Cronograma R. Operacional'!$AJ$5:$AJ$1000,$N26),""),IF(INDEX('Cronograma R. Operacional'!$K$5:$K$1000,$N26)="","",INDEX('Cronograma R. Operacional'!$K$5:$K$1000,$N26))))</f>
        <v/>
      </c>
      <c r="I26" s="61">
        <f>IF($N26="","",IF($P26&gt;0,IF(4&lt;=SemanaActual,INDEX('Cronograma R. Operacional'!$AK$5:$AK$1000,$N26),""),IF(INDEX('Cronograma R. Operacional'!$L$5:$L$1000,$N26)="","",INDEX('Cronograma R. Operacional'!$L$5:$L$1000,$N26))))</f>
        <v/>
      </c>
      <c r="J26" s="61">
        <f>IF($N26="","",INDEX('Cronograma R. Operacional'!$M$5:$M$1000,$N26))</f>
        <v/>
      </c>
      <c r="K26" s="56">
        <f>IF($N26="","",IF(N($J26)&gt;=1,"Completado",IF(AND(ISNUMBER($D26),$D26&lt;FechaRef),"Vencida",IF(N($J26)&gt;0,"En curso","Pendiente"))))</f>
        <v/>
      </c>
      <c r="L26" s="56">
        <f>IF($N26="","",INDEX('Cronograma R. Operacional'!$O$5:$O$1000,$N26)&amp;"")</f>
        <v/>
      </c>
      <c r="M26" s="62">
        <f>IF($N26="","",INDEX('Cronograma R. Operacional'!$Q$5:$Q$1000,$N26)&amp;"")</f>
        <v/>
      </c>
      <c r="N26">
        <f>IFERROR(MATCH(ROW()-4,rOrden_RO,0),"")</f>
        <v/>
      </c>
      <c r="O26">
        <f>IF($N26="","",INDEX('Cronograma R. Operacional'!$V$5:$V$1000,$N26))</f>
        <v/>
      </c>
      <c r="P26">
        <f>IF($N26="","",N(INDEX('Cronograma R. Operacional'!$W$5:$W$1000,$N26)))</f>
        <v/>
      </c>
      <c r="Q26">
        <f>IF(OR(LEFT($L26,7)="Vencida",LEFT($L26,5)="Vence"),SUMPRODUCT(--(LEFT($L$5:$L26,7)="Vencida"))+SUMPRODUCT(--(LEFT($L$5:$L26,5)="Vence")),"")</f>
        <v/>
      </c>
    </row>
    <row r="27">
      <c r="A27" s="56">
        <f>IF($N27="","",INDEX('Cronograma R. Operacional'!$A$5:$A$1000,$N27))</f>
        <v/>
      </c>
      <c r="B27" s="62">
        <f>IF($N27="","",IF($O27="Sub","      ↳  "&amp;INDEX('Cronograma R. Operacional'!$C$5:$C$1000,$N27),INDEX('Cronograma R. Operacional'!$C$5:$C$1000,$N27)&amp;""))</f>
        <v/>
      </c>
      <c r="C27" s="79">
        <f>IF($N27="","",IF(INDEX('Cronograma R. Operacional'!$AR$5:$AR$1000,$N27)="","",INDEX('Cronograma R. Operacional'!$AR$5:$AR$1000,$N27)))</f>
        <v/>
      </c>
      <c r="D27" s="79">
        <f>IF($N27="","",IF(INDEX('Cronograma R. Operacional'!$AS$5:$AS$1000,$N27)="","",INDEX('Cronograma R. Operacional'!$AS$5:$AS$1000,$N27)))</f>
        <v/>
      </c>
      <c r="E27" s="56">
        <f>IF($N27="","",IF(NOT(ISNUMBER($D27)),"",IF($D27&lt;InicioCiclo,"Antes del ciclo",IF($D27&gt;=InicioCiclo+28,"Después del ciclo","Semana "&amp;(INT(($D27-InicioCiclo)/7)+1)))))</f>
        <v/>
      </c>
      <c r="F27" s="61">
        <f>IF($N27="","",IF($P27&gt;0,IF(1&lt;=SemanaActual,INDEX('Cronograma R. Operacional'!$AH$5:$AH$1000,$N27),""),IF(INDEX('Cronograma R. Operacional'!$I$5:$I$1000,$N27)="","",INDEX('Cronograma R. Operacional'!$I$5:$I$1000,$N27))))</f>
        <v/>
      </c>
      <c r="G27" s="61">
        <f>IF($N27="","",IF($P27&gt;0,IF(2&lt;=SemanaActual,INDEX('Cronograma R. Operacional'!$AI$5:$AI$1000,$N27),""),IF(INDEX('Cronograma R. Operacional'!$J$5:$J$1000,$N27)="","",INDEX('Cronograma R. Operacional'!$J$5:$J$1000,$N27))))</f>
        <v/>
      </c>
      <c r="H27" s="61">
        <f>IF($N27="","",IF($P27&gt;0,IF(3&lt;=SemanaActual,INDEX('Cronograma R. Operacional'!$AJ$5:$AJ$1000,$N27),""),IF(INDEX('Cronograma R. Operacional'!$K$5:$K$1000,$N27)="","",INDEX('Cronograma R. Operacional'!$K$5:$K$1000,$N27))))</f>
        <v/>
      </c>
      <c r="I27" s="61">
        <f>IF($N27="","",IF($P27&gt;0,IF(4&lt;=SemanaActual,INDEX('Cronograma R. Operacional'!$AK$5:$AK$1000,$N27),""),IF(INDEX('Cronograma R. Operacional'!$L$5:$L$1000,$N27)="","",INDEX('Cronograma R. Operacional'!$L$5:$L$1000,$N27))))</f>
        <v/>
      </c>
      <c r="J27" s="61">
        <f>IF($N27="","",INDEX('Cronograma R. Operacional'!$M$5:$M$1000,$N27))</f>
        <v/>
      </c>
      <c r="K27" s="56">
        <f>IF($N27="","",IF(N($J27)&gt;=1,"Completado",IF(AND(ISNUMBER($D27),$D27&lt;FechaRef),"Vencida",IF(N($J27)&gt;0,"En curso","Pendiente"))))</f>
        <v/>
      </c>
      <c r="L27" s="56">
        <f>IF($N27="","",INDEX('Cronograma R. Operacional'!$O$5:$O$1000,$N27)&amp;"")</f>
        <v/>
      </c>
      <c r="M27" s="62">
        <f>IF($N27="","",INDEX('Cronograma R. Operacional'!$Q$5:$Q$1000,$N27)&amp;"")</f>
        <v/>
      </c>
      <c r="N27">
        <f>IFERROR(MATCH(ROW()-4,rOrden_RO,0),"")</f>
        <v/>
      </c>
      <c r="O27">
        <f>IF($N27="","",INDEX('Cronograma R. Operacional'!$V$5:$V$1000,$N27))</f>
        <v/>
      </c>
      <c r="P27">
        <f>IF($N27="","",N(INDEX('Cronograma R. Operacional'!$W$5:$W$1000,$N27)))</f>
        <v/>
      </c>
      <c r="Q27">
        <f>IF(OR(LEFT($L27,7)="Vencida",LEFT($L27,5)="Vence"),SUMPRODUCT(--(LEFT($L$5:$L27,7)="Vencida"))+SUMPRODUCT(--(LEFT($L$5:$L27,5)="Vence")),"")</f>
        <v/>
      </c>
    </row>
    <row r="28">
      <c r="A28" s="56">
        <f>IF($N28="","",INDEX('Cronograma R. Operacional'!$A$5:$A$1000,$N28))</f>
        <v/>
      </c>
      <c r="B28" s="62">
        <f>IF($N28="","",IF($O28="Sub","      ↳  "&amp;INDEX('Cronograma R. Operacional'!$C$5:$C$1000,$N28),INDEX('Cronograma R. Operacional'!$C$5:$C$1000,$N28)&amp;""))</f>
        <v/>
      </c>
      <c r="C28" s="79">
        <f>IF($N28="","",IF(INDEX('Cronograma R. Operacional'!$AR$5:$AR$1000,$N28)="","",INDEX('Cronograma R. Operacional'!$AR$5:$AR$1000,$N28)))</f>
        <v/>
      </c>
      <c r="D28" s="79">
        <f>IF($N28="","",IF(INDEX('Cronograma R. Operacional'!$AS$5:$AS$1000,$N28)="","",INDEX('Cronograma R. Operacional'!$AS$5:$AS$1000,$N28)))</f>
        <v/>
      </c>
      <c r="E28" s="56">
        <f>IF($N28="","",IF(NOT(ISNUMBER($D28)),"",IF($D28&lt;InicioCiclo,"Antes del ciclo",IF($D28&gt;=InicioCiclo+28,"Después del ciclo","Semana "&amp;(INT(($D28-InicioCiclo)/7)+1)))))</f>
        <v/>
      </c>
      <c r="F28" s="61">
        <f>IF($N28="","",IF($P28&gt;0,IF(1&lt;=SemanaActual,INDEX('Cronograma R. Operacional'!$AH$5:$AH$1000,$N28),""),IF(INDEX('Cronograma R. Operacional'!$I$5:$I$1000,$N28)="","",INDEX('Cronograma R. Operacional'!$I$5:$I$1000,$N28))))</f>
        <v/>
      </c>
      <c r="G28" s="61">
        <f>IF($N28="","",IF($P28&gt;0,IF(2&lt;=SemanaActual,INDEX('Cronograma R. Operacional'!$AI$5:$AI$1000,$N28),""),IF(INDEX('Cronograma R. Operacional'!$J$5:$J$1000,$N28)="","",INDEX('Cronograma R. Operacional'!$J$5:$J$1000,$N28))))</f>
        <v/>
      </c>
      <c r="H28" s="61">
        <f>IF($N28="","",IF($P28&gt;0,IF(3&lt;=SemanaActual,INDEX('Cronograma R. Operacional'!$AJ$5:$AJ$1000,$N28),""),IF(INDEX('Cronograma R. Operacional'!$K$5:$K$1000,$N28)="","",INDEX('Cronograma R. Operacional'!$K$5:$K$1000,$N28))))</f>
        <v/>
      </c>
      <c r="I28" s="61">
        <f>IF($N28="","",IF($P28&gt;0,IF(4&lt;=SemanaActual,INDEX('Cronograma R. Operacional'!$AK$5:$AK$1000,$N28),""),IF(INDEX('Cronograma R. Operacional'!$L$5:$L$1000,$N28)="","",INDEX('Cronograma R. Operacional'!$L$5:$L$1000,$N28))))</f>
        <v/>
      </c>
      <c r="J28" s="61">
        <f>IF($N28="","",INDEX('Cronograma R. Operacional'!$M$5:$M$1000,$N28))</f>
        <v/>
      </c>
      <c r="K28" s="56">
        <f>IF($N28="","",IF(N($J28)&gt;=1,"Completado",IF(AND(ISNUMBER($D28),$D28&lt;FechaRef),"Vencida",IF(N($J28)&gt;0,"En curso","Pendiente"))))</f>
        <v/>
      </c>
      <c r="L28" s="56">
        <f>IF($N28="","",INDEX('Cronograma R. Operacional'!$O$5:$O$1000,$N28)&amp;"")</f>
        <v/>
      </c>
      <c r="M28" s="62">
        <f>IF($N28="","",INDEX('Cronograma R. Operacional'!$Q$5:$Q$1000,$N28)&amp;"")</f>
        <v/>
      </c>
      <c r="N28">
        <f>IFERROR(MATCH(ROW()-4,rOrden_RO,0),"")</f>
        <v/>
      </c>
      <c r="O28">
        <f>IF($N28="","",INDEX('Cronograma R. Operacional'!$V$5:$V$1000,$N28))</f>
        <v/>
      </c>
      <c r="P28">
        <f>IF($N28="","",N(INDEX('Cronograma R. Operacional'!$W$5:$W$1000,$N28)))</f>
        <v/>
      </c>
      <c r="Q28">
        <f>IF(OR(LEFT($L28,7)="Vencida",LEFT($L28,5)="Vence"),SUMPRODUCT(--(LEFT($L$5:$L28,7)="Vencida"))+SUMPRODUCT(--(LEFT($L$5:$L28,5)="Vence")),"")</f>
        <v/>
      </c>
    </row>
    <row r="29">
      <c r="A29" s="56">
        <f>IF($N29="","",INDEX('Cronograma R. Operacional'!$A$5:$A$1000,$N29))</f>
        <v/>
      </c>
      <c r="B29" s="62">
        <f>IF($N29="","",IF($O29="Sub","      ↳  "&amp;INDEX('Cronograma R. Operacional'!$C$5:$C$1000,$N29),INDEX('Cronograma R. Operacional'!$C$5:$C$1000,$N29)&amp;""))</f>
        <v/>
      </c>
      <c r="C29" s="79">
        <f>IF($N29="","",IF(INDEX('Cronograma R. Operacional'!$AR$5:$AR$1000,$N29)="","",INDEX('Cronograma R. Operacional'!$AR$5:$AR$1000,$N29)))</f>
        <v/>
      </c>
      <c r="D29" s="79">
        <f>IF($N29="","",IF(INDEX('Cronograma R. Operacional'!$AS$5:$AS$1000,$N29)="","",INDEX('Cronograma R. Operacional'!$AS$5:$AS$1000,$N29)))</f>
        <v/>
      </c>
      <c r="E29" s="56">
        <f>IF($N29="","",IF(NOT(ISNUMBER($D29)),"",IF($D29&lt;InicioCiclo,"Antes del ciclo",IF($D29&gt;=InicioCiclo+28,"Después del ciclo","Semana "&amp;(INT(($D29-InicioCiclo)/7)+1)))))</f>
        <v/>
      </c>
      <c r="F29" s="61">
        <f>IF($N29="","",IF($P29&gt;0,IF(1&lt;=SemanaActual,INDEX('Cronograma R. Operacional'!$AH$5:$AH$1000,$N29),""),IF(INDEX('Cronograma R. Operacional'!$I$5:$I$1000,$N29)="","",INDEX('Cronograma R. Operacional'!$I$5:$I$1000,$N29))))</f>
        <v/>
      </c>
      <c r="G29" s="61">
        <f>IF($N29="","",IF($P29&gt;0,IF(2&lt;=SemanaActual,INDEX('Cronograma R. Operacional'!$AI$5:$AI$1000,$N29),""),IF(INDEX('Cronograma R. Operacional'!$J$5:$J$1000,$N29)="","",INDEX('Cronograma R. Operacional'!$J$5:$J$1000,$N29))))</f>
        <v/>
      </c>
      <c r="H29" s="61">
        <f>IF($N29="","",IF($P29&gt;0,IF(3&lt;=SemanaActual,INDEX('Cronograma R. Operacional'!$AJ$5:$AJ$1000,$N29),""),IF(INDEX('Cronograma R. Operacional'!$K$5:$K$1000,$N29)="","",INDEX('Cronograma R. Operacional'!$K$5:$K$1000,$N29))))</f>
        <v/>
      </c>
      <c r="I29" s="61">
        <f>IF($N29="","",IF($P29&gt;0,IF(4&lt;=SemanaActual,INDEX('Cronograma R. Operacional'!$AK$5:$AK$1000,$N29),""),IF(INDEX('Cronograma R. Operacional'!$L$5:$L$1000,$N29)="","",INDEX('Cronograma R. Operacional'!$L$5:$L$1000,$N29))))</f>
        <v/>
      </c>
      <c r="J29" s="61">
        <f>IF($N29="","",INDEX('Cronograma R. Operacional'!$M$5:$M$1000,$N29))</f>
        <v/>
      </c>
      <c r="K29" s="56">
        <f>IF($N29="","",IF(N($J29)&gt;=1,"Completado",IF(AND(ISNUMBER($D29),$D29&lt;FechaRef),"Vencida",IF(N($J29)&gt;0,"En curso","Pendiente"))))</f>
        <v/>
      </c>
      <c r="L29" s="56">
        <f>IF($N29="","",INDEX('Cronograma R. Operacional'!$O$5:$O$1000,$N29)&amp;"")</f>
        <v/>
      </c>
      <c r="M29" s="62">
        <f>IF($N29="","",INDEX('Cronograma R. Operacional'!$Q$5:$Q$1000,$N29)&amp;"")</f>
        <v/>
      </c>
      <c r="N29">
        <f>IFERROR(MATCH(ROW()-4,rOrden_RO,0),"")</f>
        <v/>
      </c>
      <c r="O29">
        <f>IF($N29="","",INDEX('Cronograma R. Operacional'!$V$5:$V$1000,$N29))</f>
        <v/>
      </c>
      <c r="P29">
        <f>IF($N29="","",N(INDEX('Cronograma R. Operacional'!$W$5:$W$1000,$N29)))</f>
        <v/>
      </c>
      <c r="Q29">
        <f>IF(OR(LEFT($L29,7)="Vencida",LEFT($L29,5)="Vence"),SUMPRODUCT(--(LEFT($L$5:$L29,7)="Vencida"))+SUMPRODUCT(--(LEFT($L$5:$L29,5)="Vence")),"")</f>
        <v/>
      </c>
    </row>
    <row r="30">
      <c r="A30" s="56">
        <f>IF($N30="","",INDEX('Cronograma R. Operacional'!$A$5:$A$1000,$N30))</f>
        <v/>
      </c>
      <c r="B30" s="62">
        <f>IF($N30="","",IF($O30="Sub","      ↳  "&amp;INDEX('Cronograma R. Operacional'!$C$5:$C$1000,$N30),INDEX('Cronograma R. Operacional'!$C$5:$C$1000,$N30)&amp;""))</f>
        <v/>
      </c>
      <c r="C30" s="79">
        <f>IF($N30="","",IF(INDEX('Cronograma R. Operacional'!$AR$5:$AR$1000,$N30)="","",INDEX('Cronograma R. Operacional'!$AR$5:$AR$1000,$N30)))</f>
        <v/>
      </c>
      <c r="D30" s="79">
        <f>IF($N30="","",IF(INDEX('Cronograma R. Operacional'!$AS$5:$AS$1000,$N30)="","",INDEX('Cronograma R. Operacional'!$AS$5:$AS$1000,$N30)))</f>
        <v/>
      </c>
      <c r="E30" s="56">
        <f>IF($N30="","",IF(NOT(ISNUMBER($D30)),"",IF($D30&lt;InicioCiclo,"Antes del ciclo",IF($D30&gt;=InicioCiclo+28,"Después del ciclo","Semana "&amp;(INT(($D30-InicioCiclo)/7)+1)))))</f>
        <v/>
      </c>
      <c r="F30" s="61">
        <f>IF($N30="","",IF($P30&gt;0,IF(1&lt;=SemanaActual,INDEX('Cronograma R. Operacional'!$AH$5:$AH$1000,$N30),""),IF(INDEX('Cronograma R. Operacional'!$I$5:$I$1000,$N30)="","",INDEX('Cronograma R. Operacional'!$I$5:$I$1000,$N30))))</f>
        <v/>
      </c>
      <c r="G30" s="61">
        <f>IF($N30="","",IF($P30&gt;0,IF(2&lt;=SemanaActual,INDEX('Cronograma R. Operacional'!$AI$5:$AI$1000,$N30),""),IF(INDEX('Cronograma R. Operacional'!$J$5:$J$1000,$N30)="","",INDEX('Cronograma R. Operacional'!$J$5:$J$1000,$N30))))</f>
        <v/>
      </c>
      <c r="H30" s="61">
        <f>IF($N30="","",IF($P30&gt;0,IF(3&lt;=SemanaActual,INDEX('Cronograma R. Operacional'!$AJ$5:$AJ$1000,$N30),""),IF(INDEX('Cronograma R. Operacional'!$K$5:$K$1000,$N30)="","",INDEX('Cronograma R. Operacional'!$K$5:$K$1000,$N30))))</f>
        <v/>
      </c>
      <c r="I30" s="61">
        <f>IF($N30="","",IF($P30&gt;0,IF(4&lt;=SemanaActual,INDEX('Cronograma R. Operacional'!$AK$5:$AK$1000,$N30),""),IF(INDEX('Cronograma R. Operacional'!$L$5:$L$1000,$N30)="","",INDEX('Cronograma R. Operacional'!$L$5:$L$1000,$N30))))</f>
        <v/>
      </c>
      <c r="J30" s="61">
        <f>IF($N30="","",INDEX('Cronograma R. Operacional'!$M$5:$M$1000,$N30))</f>
        <v/>
      </c>
      <c r="K30" s="56">
        <f>IF($N30="","",IF(N($J30)&gt;=1,"Completado",IF(AND(ISNUMBER($D30),$D30&lt;FechaRef),"Vencida",IF(N($J30)&gt;0,"En curso","Pendiente"))))</f>
        <v/>
      </c>
      <c r="L30" s="56">
        <f>IF($N30="","",INDEX('Cronograma R. Operacional'!$O$5:$O$1000,$N30)&amp;"")</f>
        <v/>
      </c>
      <c r="M30" s="62">
        <f>IF($N30="","",INDEX('Cronograma R. Operacional'!$Q$5:$Q$1000,$N30)&amp;"")</f>
        <v/>
      </c>
      <c r="N30">
        <f>IFERROR(MATCH(ROW()-4,rOrden_RO,0),"")</f>
        <v/>
      </c>
      <c r="O30">
        <f>IF($N30="","",INDEX('Cronograma R. Operacional'!$V$5:$V$1000,$N30))</f>
        <v/>
      </c>
      <c r="P30">
        <f>IF($N30="","",N(INDEX('Cronograma R. Operacional'!$W$5:$W$1000,$N30)))</f>
        <v/>
      </c>
      <c r="Q30">
        <f>IF(OR(LEFT($L30,7)="Vencida",LEFT($L30,5)="Vence"),SUMPRODUCT(--(LEFT($L$5:$L30,7)="Vencida"))+SUMPRODUCT(--(LEFT($L$5:$L30,5)="Vence")),"")</f>
        <v/>
      </c>
    </row>
    <row r="31">
      <c r="A31" s="56">
        <f>IF($N31="","",INDEX('Cronograma R. Operacional'!$A$5:$A$1000,$N31))</f>
        <v/>
      </c>
      <c r="B31" s="62">
        <f>IF($N31="","",IF($O31="Sub","      ↳  "&amp;INDEX('Cronograma R. Operacional'!$C$5:$C$1000,$N31),INDEX('Cronograma R. Operacional'!$C$5:$C$1000,$N31)&amp;""))</f>
        <v/>
      </c>
      <c r="C31" s="79">
        <f>IF($N31="","",IF(INDEX('Cronograma R. Operacional'!$AR$5:$AR$1000,$N31)="","",INDEX('Cronograma R. Operacional'!$AR$5:$AR$1000,$N31)))</f>
        <v/>
      </c>
      <c r="D31" s="79">
        <f>IF($N31="","",IF(INDEX('Cronograma R. Operacional'!$AS$5:$AS$1000,$N31)="","",INDEX('Cronograma R. Operacional'!$AS$5:$AS$1000,$N31)))</f>
        <v/>
      </c>
      <c r="E31" s="56">
        <f>IF($N31="","",IF(NOT(ISNUMBER($D31)),"",IF($D31&lt;InicioCiclo,"Antes del ciclo",IF($D31&gt;=InicioCiclo+28,"Después del ciclo","Semana "&amp;(INT(($D31-InicioCiclo)/7)+1)))))</f>
        <v/>
      </c>
      <c r="F31" s="61">
        <f>IF($N31="","",IF($P31&gt;0,IF(1&lt;=SemanaActual,INDEX('Cronograma R. Operacional'!$AH$5:$AH$1000,$N31),""),IF(INDEX('Cronograma R. Operacional'!$I$5:$I$1000,$N31)="","",INDEX('Cronograma R. Operacional'!$I$5:$I$1000,$N31))))</f>
        <v/>
      </c>
      <c r="G31" s="61">
        <f>IF($N31="","",IF($P31&gt;0,IF(2&lt;=SemanaActual,INDEX('Cronograma R. Operacional'!$AI$5:$AI$1000,$N31),""),IF(INDEX('Cronograma R. Operacional'!$J$5:$J$1000,$N31)="","",INDEX('Cronograma R. Operacional'!$J$5:$J$1000,$N31))))</f>
        <v/>
      </c>
      <c r="H31" s="61">
        <f>IF($N31="","",IF($P31&gt;0,IF(3&lt;=SemanaActual,INDEX('Cronograma R. Operacional'!$AJ$5:$AJ$1000,$N31),""),IF(INDEX('Cronograma R. Operacional'!$K$5:$K$1000,$N31)="","",INDEX('Cronograma R. Operacional'!$K$5:$K$1000,$N31))))</f>
        <v/>
      </c>
      <c r="I31" s="61">
        <f>IF($N31="","",IF($P31&gt;0,IF(4&lt;=SemanaActual,INDEX('Cronograma R. Operacional'!$AK$5:$AK$1000,$N31),""),IF(INDEX('Cronograma R. Operacional'!$L$5:$L$1000,$N31)="","",INDEX('Cronograma R. Operacional'!$L$5:$L$1000,$N31))))</f>
        <v/>
      </c>
      <c r="J31" s="61">
        <f>IF($N31="","",INDEX('Cronograma R. Operacional'!$M$5:$M$1000,$N31))</f>
        <v/>
      </c>
      <c r="K31" s="56">
        <f>IF($N31="","",IF(N($J31)&gt;=1,"Completado",IF(AND(ISNUMBER($D31),$D31&lt;FechaRef),"Vencida",IF(N($J31)&gt;0,"En curso","Pendiente"))))</f>
        <v/>
      </c>
      <c r="L31" s="56">
        <f>IF($N31="","",INDEX('Cronograma R. Operacional'!$O$5:$O$1000,$N31)&amp;"")</f>
        <v/>
      </c>
      <c r="M31" s="62">
        <f>IF($N31="","",INDEX('Cronograma R. Operacional'!$Q$5:$Q$1000,$N31)&amp;"")</f>
        <v/>
      </c>
      <c r="N31">
        <f>IFERROR(MATCH(ROW()-4,rOrden_RO,0),"")</f>
        <v/>
      </c>
      <c r="O31">
        <f>IF($N31="","",INDEX('Cronograma R. Operacional'!$V$5:$V$1000,$N31))</f>
        <v/>
      </c>
      <c r="P31">
        <f>IF($N31="","",N(INDEX('Cronograma R. Operacional'!$W$5:$W$1000,$N31)))</f>
        <v/>
      </c>
      <c r="Q31">
        <f>IF(OR(LEFT($L31,7)="Vencida",LEFT($L31,5)="Vence"),SUMPRODUCT(--(LEFT($L$5:$L31,7)="Vencida"))+SUMPRODUCT(--(LEFT($L$5:$L31,5)="Vence")),"")</f>
        <v/>
      </c>
    </row>
    <row r="32">
      <c r="A32" s="56">
        <f>IF($N32="","",INDEX('Cronograma R. Operacional'!$A$5:$A$1000,$N32))</f>
        <v/>
      </c>
      <c r="B32" s="62">
        <f>IF($N32="","",IF($O32="Sub","      ↳  "&amp;INDEX('Cronograma R. Operacional'!$C$5:$C$1000,$N32),INDEX('Cronograma R. Operacional'!$C$5:$C$1000,$N32)&amp;""))</f>
        <v/>
      </c>
      <c r="C32" s="79">
        <f>IF($N32="","",IF(INDEX('Cronograma R. Operacional'!$AR$5:$AR$1000,$N32)="","",INDEX('Cronograma R. Operacional'!$AR$5:$AR$1000,$N32)))</f>
        <v/>
      </c>
      <c r="D32" s="79">
        <f>IF($N32="","",IF(INDEX('Cronograma R. Operacional'!$AS$5:$AS$1000,$N32)="","",INDEX('Cronograma R. Operacional'!$AS$5:$AS$1000,$N32)))</f>
        <v/>
      </c>
      <c r="E32" s="56">
        <f>IF($N32="","",IF(NOT(ISNUMBER($D32)),"",IF($D32&lt;InicioCiclo,"Antes del ciclo",IF($D32&gt;=InicioCiclo+28,"Después del ciclo","Semana "&amp;(INT(($D32-InicioCiclo)/7)+1)))))</f>
        <v/>
      </c>
      <c r="F32" s="61">
        <f>IF($N32="","",IF($P32&gt;0,IF(1&lt;=SemanaActual,INDEX('Cronograma R. Operacional'!$AH$5:$AH$1000,$N32),""),IF(INDEX('Cronograma R. Operacional'!$I$5:$I$1000,$N32)="","",INDEX('Cronograma R. Operacional'!$I$5:$I$1000,$N32))))</f>
        <v/>
      </c>
      <c r="G32" s="61">
        <f>IF($N32="","",IF($P32&gt;0,IF(2&lt;=SemanaActual,INDEX('Cronograma R. Operacional'!$AI$5:$AI$1000,$N32),""),IF(INDEX('Cronograma R. Operacional'!$J$5:$J$1000,$N32)="","",INDEX('Cronograma R. Operacional'!$J$5:$J$1000,$N32))))</f>
        <v/>
      </c>
      <c r="H32" s="61">
        <f>IF($N32="","",IF($P32&gt;0,IF(3&lt;=SemanaActual,INDEX('Cronograma R. Operacional'!$AJ$5:$AJ$1000,$N32),""),IF(INDEX('Cronograma R. Operacional'!$K$5:$K$1000,$N32)="","",INDEX('Cronograma R. Operacional'!$K$5:$K$1000,$N32))))</f>
        <v/>
      </c>
      <c r="I32" s="61">
        <f>IF($N32="","",IF($P32&gt;0,IF(4&lt;=SemanaActual,INDEX('Cronograma R. Operacional'!$AK$5:$AK$1000,$N32),""),IF(INDEX('Cronograma R. Operacional'!$L$5:$L$1000,$N32)="","",INDEX('Cronograma R. Operacional'!$L$5:$L$1000,$N32))))</f>
        <v/>
      </c>
      <c r="J32" s="61">
        <f>IF($N32="","",INDEX('Cronograma R. Operacional'!$M$5:$M$1000,$N32))</f>
        <v/>
      </c>
      <c r="K32" s="56">
        <f>IF($N32="","",IF(N($J32)&gt;=1,"Completado",IF(AND(ISNUMBER($D32),$D32&lt;FechaRef),"Vencida",IF(N($J32)&gt;0,"En curso","Pendiente"))))</f>
        <v/>
      </c>
      <c r="L32" s="56">
        <f>IF($N32="","",INDEX('Cronograma R. Operacional'!$O$5:$O$1000,$N32)&amp;"")</f>
        <v/>
      </c>
      <c r="M32" s="62">
        <f>IF($N32="","",INDEX('Cronograma R. Operacional'!$Q$5:$Q$1000,$N32)&amp;"")</f>
        <v/>
      </c>
      <c r="N32">
        <f>IFERROR(MATCH(ROW()-4,rOrden_RO,0),"")</f>
        <v/>
      </c>
      <c r="O32">
        <f>IF($N32="","",INDEX('Cronograma R. Operacional'!$V$5:$V$1000,$N32))</f>
        <v/>
      </c>
      <c r="P32">
        <f>IF($N32="","",N(INDEX('Cronograma R. Operacional'!$W$5:$W$1000,$N32)))</f>
        <v/>
      </c>
      <c r="Q32">
        <f>IF(OR(LEFT($L32,7)="Vencida",LEFT($L32,5)="Vence"),SUMPRODUCT(--(LEFT($L$5:$L32,7)="Vencida"))+SUMPRODUCT(--(LEFT($L$5:$L32,5)="Vence")),"")</f>
        <v/>
      </c>
    </row>
    <row r="33">
      <c r="A33" s="56">
        <f>IF($N33="","",INDEX('Cronograma R. Operacional'!$A$5:$A$1000,$N33))</f>
        <v/>
      </c>
      <c r="B33" s="62">
        <f>IF($N33="","",IF($O33="Sub","      ↳  "&amp;INDEX('Cronograma R. Operacional'!$C$5:$C$1000,$N33),INDEX('Cronograma R. Operacional'!$C$5:$C$1000,$N33)&amp;""))</f>
        <v/>
      </c>
      <c r="C33" s="79">
        <f>IF($N33="","",IF(INDEX('Cronograma R. Operacional'!$AR$5:$AR$1000,$N33)="","",INDEX('Cronograma R. Operacional'!$AR$5:$AR$1000,$N33)))</f>
        <v/>
      </c>
      <c r="D33" s="79">
        <f>IF($N33="","",IF(INDEX('Cronograma R. Operacional'!$AS$5:$AS$1000,$N33)="","",INDEX('Cronograma R. Operacional'!$AS$5:$AS$1000,$N33)))</f>
        <v/>
      </c>
      <c r="E33" s="56">
        <f>IF($N33="","",IF(NOT(ISNUMBER($D33)),"",IF($D33&lt;InicioCiclo,"Antes del ciclo",IF($D33&gt;=InicioCiclo+28,"Después del ciclo","Semana "&amp;(INT(($D33-InicioCiclo)/7)+1)))))</f>
        <v/>
      </c>
      <c r="F33" s="61">
        <f>IF($N33="","",IF($P33&gt;0,IF(1&lt;=SemanaActual,INDEX('Cronograma R. Operacional'!$AH$5:$AH$1000,$N33),""),IF(INDEX('Cronograma R. Operacional'!$I$5:$I$1000,$N33)="","",INDEX('Cronograma R. Operacional'!$I$5:$I$1000,$N33))))</f>
        <v/>
      </c>
      <c r="G33" s="61">
        <f>IF($N33="","",IF($P33&gt;0,IF(2&lt;=SemanaActual,INDEX('Cronograma R. Operacional'!$AI$5:$AI$1000,$N33),""),IF(INDEX('Cronograma R. Operacional'!$J$5:$J$1000,$N33)="","",INDEX('Cronograma R. Operacional'!$J$5:$J$1000,$N33))))</f>
        <v/>
      </c>
      <c r="H33" s="61">
        <f>IF($N33="","",IF($P33&gt;0,IF(3&lt;=SemanaActual,INDEX('Cronograma R. Operacional'!$AJ$5:$AJ$1000,$N33),""),IF(INDEX('Cronograma R. Operacional'!$K$5:$K$1000,$N33)="","",INDEX('Cronograma R. Operacional'!$K$5:$K$1000,$N33))))</f>
        <v/>
      </c>
      <c r="I33" s="61">
        <f>IF($N33="","",IF($P33&gt;0,IF(4&lt;=SemanaActual,INDEX('Cronograma R. Operacional'!$AK$5:$AK$1000,$N33),""),IF(INDEX('Cronograma R. Operacional'!$L$5:$L$1000,$N33)="","",INDEX('Cronograma R. Operacional'!$L$5:$L$1000,$N33))))</f>
        <v/>
      </c>
      <c r="J33" s="61">
        <f>IF($N33="","",INDEX('Cronograma R. Operacional'!$M$5:$M$1000,$N33))</f>
        <v/>
      </c>
      <c r="K33" s="56">
        <f>IF($N33="","",IF(N($J33)&gt;=1,"Completado",IF(AND(ISNUMBER($D33),$D33&lt;FechaRef),"Vencida",IF(N($J33)&gt;0,"En curso","Pendiente"))))</f>
        <v/>
      </c>
      <c r="L33" s="56">
        <f>IF($N33="","",INDEX('Cronograma R. Operacional'!$O$5:$O$1000,$N33)&amp;"")</f>
        <v/>
      </c>
      <c r="M33" s="62">
        <f>IF($N33="","",INDEX('Cronograma R. Operacional'!$Q$5:$Q$1000,$N33)&amp;"")</f>
        <v/>
      </c>
      <c r="N33">
        <f>IFERROR(MATCH(ROW()-4,rOrden_RO,0),"")</f>
        <v/>
      </c>
      <c r="O33">
        <f>IF($N33="","",INDEX('Cronograma R. Operacional'!$V$5:$V$1000,$N33))</f>
        <v/>
      </c>
      <c r="P33">
        <f>IF($N33="","",N(INDEX('Cronograma R. Operacional'!$W$5:$W$1000,$N33)))</f>
        <v/>
      </c>
      <c r="Q33">
        <f>IF(OR(LEFT($L33,7)="Vencida",LEFT($L33,5)="Vence"),SUMPRODUCT(--(LEFT($L$5:$L33,7)="Vencida"))+SUMPRODUCT(--(LEFT($L$5:$L33,5)="Vence")),"")</f>
        <v/>
      </c>
    </row>
    <row r="34">
      <c r="A34" s="56">
        <f>IF($N34="","",INDEX('Cronograma R. Operacional'!$A$5:$A$1000,$N34))</f>
        <v/>
      </c>
      <c r="B34" s="62">
        <f>IF($N34="","",IF($O34="Sub","      ↳  "&amp;INDEX('Cronograma R. Operacional'!$C$5:$C$1000,$N34),INDEX('Cronograma R. Operacional'!$C$5:$C$1000,$N34)&amp;""))</f>
        <v/>
      </c>
      <c r="C34" s="79">
        <f>IF($N34="","",IF(INDEX('Cronograma R. Operacional'!$AR$5:$AR$1000,$N34)="","",INDEX('Cronograma R. Operacional'!$AR$5:$AR$1000,$N34)))</f>
        <v/>
      </c>
      <c r="D34" s="79">
        <f>IF($N34="","",IF(INDEX('Cronograma R. Operacional'!$AS$5:$AS$1000,$N34)="","",INDEX('Cronograma R. Operacional'!$AS$5:$AS$1000,$N34)))</f>
        <v/>
      </c>
      <c r="E34" s="56">
        <f>IF($N34="","",IF(NOT(ISNUMBER($D34)),"",IF($D34&lt;InicioCiclo,"Antes del ciclo",IF($D34&gt;=InicioCiclo+28,"Después del ciclo","Semana "&amp;(INT(($D34-InicioCiclo)/7)+1)))))</f>
        <v/>
      </c>
      <c r="F34" s="61">
        <f>IF($N34="","",IF($P34&gt;0,IF(1&lt;=SemanaActual,INDEX('Cronograma R. Operacional'!$AH$5:$AH$1000,$N34),""),IF(INDEX('Cronograma R. Operacional'!$I$5:$I$1000,$N34)="","",INDEX('Cronograma R. Operacional'!$I$5:$I$1000,$N34))))</f>
        <v/>
      </c>
      <c r="G34" s="61">
        <f>IF($N34="","",IF($P34&gt;0,IF(2&lt;=SemanaActual,INDEX('Cronograma R. Operacional'!$AI$5:$AI$1000,$N34),""),IF(INDEX('Cronograma R. Operacional'!$J$5:$J$1000,$N34)="","",INDEX('Cronograma R. Operacional'!$J$5:$J$1000,$N34))))</f>
        <v/>
      </c>
      <c r="H34" s="61">
        <f>IF($N34="","",IF($P34&gt;0,IF(3&lt;=SemanaActual,INDEX('Cronograma R. Operacional'!$AJ$5:$AJ$1000,$N34),""),IF(INDEX('Cronograma R. Operacional'!$K$5:$K$1000,$N34)="","",INDEX('Cronograma R. Operacional'!$K$5:$K$1000,$N34))))</f>
        <v/>
      </c>
      <c r="I34" s="61">
        <f>IF($N34="","",IF($P34&gt;0,IF(4&lt;=SemanaActual,INDEX('Cronograma R. Operacional'!$AK$5:$AK$1000,$N34),""),IF(INDEX('Cronograma R. Operacional'!$L$5:$L$1000,$N34)="","",INDEX('Cronograma R. Operacional'!$L$5:$L$1000,$N34))))</f>
        <v/>
      </c>
      <c r="J34" s="61">
        <f>IF($N34="","",INDEX('Cronograma R. Operacional'!$M$5:$M$1000,$N34))</f>
        <v/>
      </c>
      <c r="K34" s="56">
        <f>IF($N34="","",IF(N($J34)&gt;=1,"Completado",IF(AND(ISNUMBER($D34),$D34&lt;FechaRef),"Vencida",IF(N($J34)&gt;0,"En curso","Pendiente"))))</f>
        <v/>
      </c>
      <c r="L34" s="56">
        <f>IF($N34="","",INDEX('Cronograma R. Operacional'!$O$5:$O$1000,$N34)&amp;"")</f>
        <v/>
      </c>
      <c r="M34" s="62">
        <f>IF($N34="","",INDEX('Cronograma R. Operacional'!$Q$5:$Q$1000,$N34)&amp;"")</f>
        <v/>
      </c>
      <c r="N34">
        <f>IFERROR(MATCH(ROW()-4,rOrden_RO,0),"")</f>
        <v/>
      </c>
      <c r="O34">
        <f>IF($N34="","",INDEX('Cronograma R. Operacional'!$V$5:$V$1000,$N34))</f>
        <v/>
      </c>
      <c r="P34">
        <f>IF($N34="","",N(INDEX('Cronograma R. Operacional'!$W$5:$W$1000,$N34)))</f>
        <v/>
      </c>
      <c r="Q34">
        <f>IF(OR(LEFT($L34,7)="Vencida",LEFT($L34,5)="Vence"),SUMPRODUCT(--(LEFT($L$5:$L34,7)="Vencida"))+SUMPRODUCT(--(LEFT($L$5:$L34,5)="Vence")),"")</f>
        <v/>
      </c>
    </row>
    <row r="35">
      <c r="A35" s="56">
        <f>IF($N35="","",INDEX('Cronograma R. Operacional'!$A$5:$A$1000,$N35))</f>
        <v/>
      </c>
      <c r="B35" s="62">
        <f>IF($N35="","",IF($O35="Sub","      ↳  "&amp;INDEX('Cronograma R. Operacional'!$C$5:$C$1000,$N35),INDEX('Cronograma R. Operacional'!$C$5:$C$1000,$N35)&amp;""))</f>
        <v/>
      </c>
      <c r="C35" s="79">
        <f>IF($N35="","",IF(INDEX('Cronograma R. Operacional'!$AR$5:$AR$1000,$N35)="","",INDEX('Cronograma R. Operacional'!$AR$5:$AR$1000,$N35)))</f>
        <v/>
      </c>
      <c r="D35" s="79">
        <f>IF($N35="","",IF(INDEX('Cronograma R. Operacional'!$AS$5:$AS$1000,$N35)="","",INDEX('Cronograma R. Operacional'!$AS$5:$AS$1000,$N35)))</f>
        <v/>
      </c>
      <c r="E35" s="56">
        <f>IF($N35="","",IF(NOT(ISNUMBER($D35)),"",IF($D35&lt;InicioCiclo,"Antes del ciclo",IF($D35&gt;=InicioCiclo+28,"Después del ciclo","Semana "&amp;(INT(($D35-InicioCiclo)/7)+1)))))</f>
        <v/>
      </c>
      <c r="F35" s="61">
        <f>IF($N35="","",IF($P35&gt;0,IF(1&lt;=SemanaActual,INDEX('Cronograma R. Operacional'!$AH$5:$AH$1000,$N35),""),IF(INDEX('Cronograma R. Operacional'!$I$5:$I$1000,$N35)="","",INDEX('Cronograma R. Operacional'!$I$5:$I$1000,$N35))))</f>
        <v/>
      </c>
      <c r="G35" s="61">
        <f>IF($N35="","",IF($P35&gt;0,IF(2&lt;=SemanaActual,INDEX('Cronograma R. Operacional'!$AI$5:$AI$1000,$N35),""),IF(INDEX('Cronograma R. Operacional'!$J$5:$J$1000,$N35)="","",INDEX('Cronograma R. Operacional'!$J$5:$J$1000,$N35))))</f>
        <v/>
      </c>
      <c r="H35" s="61">
        <f>IF($N35="","",IF($P35&gt;0,IF(3&lt;=SemanaActual,INDEX('Cronograma R. Operacional'!$AJ$5:$AJ$1000,$N35),""),IF(INDEX('Cronograma R. Operacional'!$K$5:$K$1000,$N35)="","",INDEX('Cronograma R. Operacional'!$K$5:$K$1000,$N35))))</f>
        <v/>
      </c>
      <c r="I35" s="61">
        <f>IF($N35="","",IF($P35&gt;0,IF(4&lt;=SemanaActual,INDEX('Cronograma R. Operacional'!$AK$5:$AK$1000,$N35),""),IF(INDEX('Cronograma R. Operacional'!$L$5:$L$1000,$N35)="","",INDEX('Cronograma R. Operacional'!$L$5:$L$1000,$N35))))</f>
        <v/>
      </c>
      <c r="J35" s="61">
        <f>IF($N35="","",INDEX('Cronograma R. Operacional'!$M$5:$M$1000,$N35))</f>
        <v/>
      </c>
      <c r="K35" s="56">
        <f>IF($N35="","",IF(N($J35)&gt;=1,"Completado",IF(AND(ISNUMBER($D35),$D35&lt;FechaRef),"Vencida",IF(N($J35)&gt;0,"En curso","Pendiente"))))</f>
        <v/>
      </c>
      <c r="L35" s="56">
        <f>IF($N35="","",INDEX('Cronograma R. Operacional'!$O$5:$O$1000,$N35)&amp;"")</f>
        <v/>
      </c>
      <c r="M35" s="62">
        <f>IF($N35="","",INDEX('Cronograma R. Operacional'!$Q$5:$Q$1000,$N35)&amp;"")</f>
        <v/>
      </c>
      <c r="N35">
        <f>IFERROR(MATCH(ROW()-4,rOrden_RO,0),"")</f>
        <v/>
      </c>
      <c r="O35">
        <f>IF($N35="","",INDEX('Cronograma R. Operacional'!$V$5:$V$1000,$N35))</f>
        <v/>
      </c>
      <c r="P35">
        <f>IF($N35="","",N(INDEX('Cronograma R. Operacional'!$W$5:$W$1000,$N35)))</f>
        <v/>
      </c>
      <c r="Q35">
        <f>IF(OR(LEFT($L35,7)="Vencida",LEFT($L35,5)="Vence"),SUMPRODUCT(--(LEFT($L$5:$L35,7)="Vencida"))+SUMPRODUCT(--(LEFT($L$5:$L35,5)="Vence")),"")</f>
        <v/>
      </c>
    </row>
    <row r="36">
      <c r="A36" s="56">
        <f>IF($N36="","",INDEX('Cronograma R. Operacional'!$A$5:$A$1000,$N36))</f>
        <v/>
      </c>
      <c r="B36" s="62">
        <f>IF($N36="","",IF($O36="Sub","      ↳  "&amp;INDEX('Cronograma R. Operacional'!$C$5:$C$1000,$N36),INDEX('Cronograma R. Operacional'!$C$5:$C$1000,$N36)&amp;""))</f>
        <v/>
      </c>
      <c r="C36" s="79">
        <f>IF($N36="","",IF(INDEX('Cronograma R. Operacional'!$AR$5:$AR$1000,$N36)="","",INDEX('Cronograma R. Operacional'!$AR$5:$AR$1000,$N36)))</f>
        <v/>
      </c>
      <c r="D36" s="79">
        <f>IF($N36="","",IF(INDEX('Cronograma R. Operacional'!$AS$5:$AS$1000,$N36)="","",INDEX('Cronograma R. Operacional'!$AS$5:$AS$1000,$N36)))</f>
        <v/>
      </c>
      <c r="E36" s="56">
        <f>IF($N36="","",IF(NOT(ISNUMBER($D36)),"",IF($D36&lt;InicioCiclo,"Antes del ciclo",IF($D36&gt;=InicioCiclo+28,"Después del ciclo","Semana "&amp;(INT(($D36-InicioCiclo)/7)+1)))))</f>
        <v/>
      </c>
      <c r="F36" s="61">
        <f>IF($N36="","",IF($P36&gt;0,IF(1&lt;=SemanaActual,INDEX('Cronograma R. Operacional'!$AH$5:$AH$1000,$N36),""),IF(INDEX('Cronograma R. Operacional'!$I$5:$I$1000,$N36)="","",INDEX('Cronograma R. Operacional'!$I$5:$I$1000,$N36))))</f>
        <v/>
      </c>
      <c r="G36" s="61">
        <f>IF($N36="","",IF($P36&gt;0,IF(2&lt;=SemanaActual,INDEX('Cronograma R. Operacional'!$AI$5:$AI$1000,$N36),""),IF(INDEX('Cronograma R. Operacional'!$J$5:$J$1000,$N36)="","",INDEX('Cronograma R. Operacional'!$J$5:$J$1000,$N36))))</f>
        <v/>
      </c>
      <c r="H36" s="61">
        <f>IF($N36="","",IF($P36&gt;0,IF(3&lt;=SemanaActual,INDEX('Cronograma R. Operacional'!$AJ$5:$AJ$1000,$N36),""),IF(INDEX('Cronograma R. Operacional'!$K$5:$K$1000,$N36)="","",INDEX('Cronograma R. Operacional'!$K$5:$K$1000,$N36))))</f>
        <v/>
      </c>
      <c r="I36" s="61">
        <f>IF($N36="","",IF($P36&gt;0,IF(4&lt;=SemanaActual,INDEX('Cronograma R. Operacional'!$AK$5:$AK$1000,$N36),""),IF(INDEX('Cronograma R. Operacional'!$L$5:$L$1000,$N36)="","",INDEX('Cronograma R. Operacional'!$L$5:$L$1000,$N36))))</f>
        <v/>
      </c>
      <c r="J36" s="61">
        <f>IF($N36="","",INDEX('Cronograma R. Operacional'!$M$5:$M$1000,$N36))</f>
        <v/>
      </c>
      <c r="K36" s="56">
        <f>IF($N36="","",IF(N($J36)&gt;=1,"Completado",IF(AND(ISNUMBER($D36),$D36&lt;FechaRef),"Vencida",IF(N($J36)&gt;0,"En curso","Pendiente"))))</f>
        <v/>
      </c>
      <c r="L36" s="56">
        <f>IF($N36="","",INDEX('Cronograma R. Operacional'!$O$5:$O$1000,$N36)&amp;"")</f>
        <v/>
      </c>
      <c r="M36" s="62">
        <f>IF($N36="","",INDEX('Cronograma R. Operacional'!$Q$5:$Q$1000,$N36)&amp;"")</f>
        <v/>
      </c>
      <c r="N36">
        <f>IFERROR(MATCH(ROW()-4,rOrden_RO,0),"")</f>
        <v/>
      </c>
      <c r="O36">
        <f>IF($N36="","",INDEX('Cronograma R. Operacional'!$V$5:$V$1000,$N36))</f>
        <v/>
      </c>
      <c r="P36">
        <f>IF($N36="","",N(INDEX('Cronograma R. Operacional'!$W$5:$W$1000,$N36)))</f>
        <v/>
      </c>
      <c r="Q36">
        <f>IF(OR(LEFT($L36,7)="Vencida",LEFT($L36,5)="Vence"),SUMPRODUCT(--(LEFT($L$5:$L36,7)="Vencida"))+SUMPRODUCT(--(LEFT($L$5:$L36,5)="Vence")),"")</f>
        <v/>
      </c>
    </row>
    <row r="37">
      <c r="A37" s="56">
        <f>IF($N37="","",INDEX('Cronograma R. Operacional'!$A$5:$A$1000,$N37))</f>
        <v/>
      </c>
      <c r="B37" s="62">
        <f>IF($N37="","",IF($O37="Sub","      ↳  "&amp;INDEX('Cronograma R. Operacional'!$C$5:$C$1000,$N37),INDEX('Cronograma R. Operacional'!$C$5:$C$1000,$N37)&amp;""))</f>
        <v/>
      </c>
      <c r="C37" s="79">
        <f>IF($N37="","",IF(INDEX('Cronograma R. Operacional'!$AR$5:$AR$1000,$N37)="","",INDEX('Cronograma R. Operacional'!$AR$5:$AR$1000,$N37)))</f>
        <v/>
      </c>
      <c r="D37" s="79">
        <f>IF($N37="","",IF(INDEX('Cronograma R. Operacional'!$AS$5:$AS$1000,$N37)="","",INDEX('Cronograma R. Operacional'!$AS$5:$AS$1000,$N37)))</f>
        <v/>
      </c>
      <c r="E37" s="56">
        <f>IF($N37="","",IF(NOT(ISNUMBER($D37)),"",IF($D37&lt;InicioCiclo,"Antes del ciclo",IF($D37&gt;=InicioCiclo+28,"Después del ciclo","Semana "&amp;(INT(($D37-InicioCiclo)/7)+1)))))</f>
        <v/>
      </c>
      <c r="F37" s="61">
        <f>IF($N37="","",IF($P37&gt;0,IF(1&lt;=SemanaActual,INDEX('Cronograma R. Operacional'!$AH$5:$AH$1000,$N37),""),IF(INDEX('Cronograma R. Operacional'!$I$5:$I$1000,$N37)="","",INDEX('Cronograma R. Operacional'!$I$5:$I$1000,$N37))))</f>
        <v/>
      </c>
      <c r="G37" s="61">
        <f>IF($N37="","",IF($P37&gt;0,IF(2&lt;=SemanaActual,INDEX('Cronograma R. Operacional'!$AI$5:$AI$1000,$N37),""),IF(INDEX('Cronograma R. Operacional'!$J$5:$J$1000,$N37)="","",INDEX('Cronograma R. Operacional'!$J$5:$J$1000,$N37))))</f>
        <v/>
      </c>
      <c r="H37" s="61">
        <f>IF($N37="","",IF($P37&gt;0,IF(3&lt;=SemanaActual,INDEX('Cronograma R. Operacional'!$AJ$5:$AJ$1000,$N37),""),IF(INDEX('Cronograma R. Operacional'!$K$5:$K$1000,$N37)="","",INDEX('Cronograma R. Operacional'!$K$5:$K$1000,$N37))))</f>
        <v/>
      </c>
      <c r="I37" s="61">
        <f>IF($N37="","",IF($P37&gt;0,IF(4&lt;=SemanaActual,INDEX('Cronograma R. Operacional'!$AK$5:$AK$1000,$N37),""),IF(INDEX('Cronograma R. Operacional'!$L$5:$L$1000,$N37)="","",INDEX('Cronograma R. Operacional'!$L$5:$L$1000,$N37))))</f>
        <v/>
      </c>
      <c r="J37" s="61">
        <f>IF($N37="","",INDEX('Cronograma R. Operacional'!$M$5:$M$1000,$N37))</f>
        <v/>
      </c>
      <c r="K37" s="56">
        <f>IF($N37="","",IF(N($J37)&gt;=1,"Completado",IF(AND(ISNUMBER($D37),$D37&lt;FechaRef),"Vencida",IF(N($J37)&gt;0,"En curso","Pendiente"))))</f>
        <v/>
      </c>
      <c r="L37" s="56">
        <f>IF($N37="","",INDEX('Cronograma R. Operacional'!$O$5:$O$1000,$N37)&amp;"")</f>
        <v/>
      </c>
      <c r="M37" s="62">
        <f>IF($N37="","",INDEX('Cronograma R. Operacional'!$Q$5:$Q$1000,$N37)&amp;"")</f>
        <v/>
      </c>
      <c r="N37">
        <f>IFERROR(MATCH(ROW()-4,rOrden_RO,0),"")</f>
        <v/>
      </c>
      <c r="O37">
        <f>IF($N37="","",INDEX('Cronograma R. Operacional'!$V$5:$V$1000,$N37))</f>
        <v/>
      </c>
      <c r="P37">
        <f>IF($N37="","",N(INDEX('Cronograma R. Operacional'!$W$5:$W$1000,$N37)))</f>
        <v/>
      </c>
      <c r="Q37">
        <f>IF(OR(LEFT($L37,7)="Vencida",LEFT($L37,5)="Vence"),SUMPRODUCT(--(LEFT($L$5:$L37,7)="Vencida"))+SUMPRODUCT(--(LEFT($L$5:$L37,5)="Vence")),"")</f>
        <v/>
      </c>
    </row>
    <row r="38">
      <c r="A38" s="56">
        <f>IF($N38="","",INDEX('Cronograma R. Operacional'!$A$5:$A$1000,$N38))</f>
        <v/>
      </c>
      <c r="B38" s="62">
        <f>IF($N38="","",IF($O38="Sub","      ↳  "&amp;INDEX('Cronograma R. Operacional'!$C$5:$C$1000,$N38),INDEX('Cronograma R. Operacional'!$C$5:$C$1000,$N38)&amp;""))</f>
        <v/>
      </c>
      <c r="C38" s="79">
        <f>IF($N38="","",IF(INDEX('Cronograma R. Operacional'!$AR$5:$AR$1000,$N38)="","",INDEX('Cronograma R. Operacional'!$AR$5:$AR$1000,$N38)))</f>
        <v/>
      </c>
      <c r="D38" s="79">
        <f>IF($N38="","",IF(INDEX('Cronograma R. Operacional'!$AS$5:$AS$1000,$N38)="","",INDEX('Cronograma R. Operacional'!$AS$5:$AS$1000,$N38)))</f>
        <v/>
      </c>
      <c r="E38" s="56">
        <f>IF($N38="","",IF(NOT(ISNUMBER($D38)),"",IF($D38&lt;InicioCiclo,"Antes del ciclo",IF($D38&gt;=InicioCiclo+28,"Después del ciclo","Semana "&amp;(INT(($D38-InicioCiclo)/7)+1)))))</f>
        <v/>
      </c>
      <c r="F38" s="61">
        <f>IF($N38="","",IF($P38&gt;0,IF(1&lt;=SemanaActual,INDEX('Cronograma R. Operacional'!$AH$5:$AH$1000,$N38),""),IF(INDEX('Cronograma R. Operacional'!$I$5:$I$1000,$N38)="","",INDEX('Cronograma R. Operacional'!$I$5:$I$1000,$N38))))</f>
        <v/>
      </c>
      <c r="G38" s="61">
        <f>IF($N38="","",IF($P38&gt;0,IF(2&lt;=SemanaActual,INDEX('Cronograma R. Operacional'!$AI$5:$AI$1000,$N38),""),IF(INDEX('Cronograma R. Operacional'!$J$5:$J$1000,$N38)="","",INDEX('Cronograma R. Operacional'!$J$5:$J$1000,$N38))))</f>
        <v/>
      </c>
      <c r="H38" s="61">
        <f>IF($N38="","",IF($P38&gt;0,IF(3&lt;=SemanaActual,INDEX('Cronograma R. Operacional'!$AJ$5:$AJ$1000,$N38),""),IF(INDEX('Cronograma R. Operacional'!$K$5:$K$1000,$N38)="","",INDEX('Cronograma R. Operacional'!$K$5:$K$1000,$N38))))</f>
        <v/>
      </c>
      <c r="I38" s="61">
        <f>IF($N38="","",IF($P38&gt;0,IF(4&lt;=SemanaActual,INDEX('Cronograma R. Operacional'!$AK$5:$AK$1000,$N38),""),IF(INDEX('Cronograma R. Operacional'!$L$5:$L$1000,$N38)="","",INDEX('Cronograma R. Operacional'!$L$5:$L$1000,$N38))))</f>
        <v/>
      </c>
      <c r="J38" s="61">
        <f>IF($N38="","",INDEX('Cronograma R. Operacional'!$M$5:$M$1000,$N38))</f>
        <v/>
      </c>
      <c r="K38" s="56">
        <f>IF($N38="","",IF(N($J38)&gt;=1,"Completado",IF(AND(ISNUMBER($D38),$D38&lt;FechaRef),"Vencida",IF(N($J38)&gt;0,"En curso","Pendiente"))))</f>
        <v/>
      </c>
      <c r="L38" s="56">
        <f>IF($N38="","",INDEX('Cronograma R. Operacional'!$O$5:$O$1000,$N38)&amp;"")</f>
        <v/>
      </c>
      <c r="M38" s="62">
        <f>IF($N38="","",INDEX('Cronograma R. Operacional'!$Q$5:$Q$1000,$N38)&amp;"")</f>
        <v/>
      </c>
      <c r="N38">
        <f>IFERROR(MATCH(ROW()-4,rOrden_RO,0),"")</f>
        <v/>
      </c>
      <c r="O38">
        <f>IF($N38="","",INDEX('Cronograma R. Operacional'!$V$5:$V$1000,$N38))</f>
        <v/>
      </c>
      <c r="P38">
        <f>IF($N38="","",N(INDEX('Cronograma R. Operacional'!$W$5:$W$1000,$N38)))</f>
        <v/>
      </c>
      <c r="Q38">
        <f>IF(OR(LEFT($L38,7)="Vencida",LEFT($L38,5)="Vence"),SUMPRODUCT(--(LEFT($L$5:$L38,7)="Vencida"))+SUMPRODUCT(--(LEFT($L$5:$L38,5)="Vence")),"")</f>
        <v/>
      </c>
    </row>
    <row r="39">
      <c r="A39" s="56">
        <f>IF($N39="","",INDEX('Cronograma R. Operacional'!$A$5:$A$1000,$N39))</f>
        <v/>
      </c>
      <c r="B39" s="62">
        <f>IF($N39="","",IF($O39="Sub","      ↳  "&amp;INDEX('Cronograma R. Operacional'!$C$5:$C$1000,$N39),INDEX('Cronograma R. Operacional'!$C$5:$C$1000,$N39)&amp;""))</f>
        <v/>
      </c>
      <c r="C39" s="79">
        <f>IF($N39="","",IF(INDEX('Cronograma R. Operacional'!$AR$5:$AR$1000,$N39)="","",INDEX('Cronograma R. Operacional'!$AR$5:$AR$1000,$N39)))</f>
        <v/>
      </c>
      <c r="D39" s="79">
        <f>IF($N39="","",IF(INDEX('Cronograma R. Operacional'!$AS$5:$AS$1000,$N39)="","",INDEX('Cronograma R. Operacional'!$AS$5:$AS$1000,$N39)))</f>
        <v/>
      </c>
      <c r="E39" s="56">
        <f>IF($N39="","",IF(NOT(ISNUMBER($D39)),"",IF($D39&lt;InicioCiclo,"Antes del ciclo",IF($D39&gt;=InicioCiclo+28,"Después del ciclo","Semana "&amp;(INT(($D39-InicioCiclo)/7)+1)))))</f>
        <v/>
      </c>
      <c r="F39" s="61">
        <f>IF($N39="","",IF($P39&gt;0,IF(1&lt;=SemanaActual,INDEX('Cronograma R. Operacional'!$AH$5:$AH$1000,$N39),""),IF(INDEX('Cronograma R. Operacional'!$I$5:$I$1000,$N39)="","",INDEX('Cronograma R. Operacional'!$I$5:$I$1000,$N39))))</f>
        <v/>
      </c>
      <c r="G39" s="61">
        <f>IF($N39="","",IF($P39&gt;0,IF(2&lt;=SemanaActual,INDEX('Cronograma R. Operacional'!$AI$5:$AI$1000,$N39),""),IF(INDEX('Cronograma R. Operacional'!$J$5:$J$1000,$N39)="","",INDEX('Cronograma R. Operacional'!$J$5:$J$1000,$N39))))</f>
        <v/>
      </c>
      <c r="H39" s="61">
        <f>IF($N39="","",IF($P39&gt;0,IF(3&lt;=SemanaActual,INDEX('Cronograma R. Operacional'!$AJ$5:$AJ$1000,$N39),""),IF(INDEX('Cronograma R. Operacional'!$K$5:$K$1000,$N39)="","",INDEX('Cronograma R. Operacional'!$K$5:$K$1000,$N39))))</f>
        <v/>
      </c>
      <c r="I39" s="61">
        <f>IF($N39="","",IF($P39&gt;0,IF(4&lt;=SemanaActual,INDEX('Cronograma R. Operacional'!$AK$5:$AK$1000,$N39),""),IF(INDEX('Cronograma R. Operacional'!$L$5:$L$1000,$N39)="","",INDEX('Cronograma R. Operacional'!$L$5:$L$1000,$N39))))</f>
        <v/>
      </c>
      <c r="J39" s="61">
        <f>IF($N39="","",INDEX('Cronograma R. Operacional'!$M$5:$M$1000,$N39))</f>
        <v/>
      </c>
      <c r="K39" s="56">
        <f>IF($N39="","",IF(N($J39)&gt;=1,"Completado",IF(AND(ISNUMBER($D39),$D39&lt;FechaRef),"Vencida",IF(N($J39)&gt;0,"En curso","Pendiente"))))</f>
        <v/>
      </c>
      <c r="L39" s="56">
        <f>IF($N39="","",INDEX('Cronograma R. Operacional'!$O$5:$O$1000,$N39)&amp;"")</f>
        <v/>
      </c>
      <c r="M39" s="62">
        <f>IF($N39="","",INDEX('Cronograma R. Operacional'!$Q$5:$Q$1000,$N39)&amp;"")</f>
        <v/>
      </c>
      <c r="N39">
        <f>IFERROR(MATCH(ROW()-4,rOrden_RO,0),"")</f>
        <v/>
      </c>
      <c r="O39">
        <f>IF($N39="","",INDEX('Cronograma R. Operacional'!$V$5:$V$1000,$N39))</f>
        <v/>
      </c>
      <c r="P39">
        <f>IF($N39="","",N(INDEX('Cronograma R. Operacional'!$W$5:$W$1000,$N39)))</f>
        <v/>
      </c>
      <c r="Q39">
        <f>IF(OR(LEFT($L39,7)="Vencida",LEFT($L39,5)="Vence"),SUMPRODUCT(--(LEFT($L$5:$L39,7)="Vencida"))+SUMPRODUCT(--(LEFT($L$5:$L39,5)="Vence")),"")</f>
        <v/>
      </c>
    </row>
    <row r="40">
      <c r="A40" s="56">
        <f>IF($N40="","",INDEX('Cronograma R. Operacional'!$A$5:$A$1000,$N40))</f>
        <v/>
      </c>
      <c r="B40" s="62">
        <f>IF($N40="","",IF($O40="Sub","      ↳  "&amp;INDEX('Cronograma R. Operacional'!$C$5:$C$1000,$N40),INDEX('Cronograma R. Operacional'!$C$5:$C$1000,$N40)&amp;""))</f>
        <v/>
      </c>
      <c r="C40" s="79">
        <f>IF($N40="","",IF(INDEX('Cronograma R. Operacional'!$AR$5:$AR$1000,$N40)="","",INDEX('Cronograma R. Operacional'!$AR$5:$AR$1000,$N40)))</f>
        <v/>
      </c>
      <c r="D40" s="79">
        <f>IF($N40="","",IF(INDEX('Cronograma R. Operacional'!$AS$5:$AS$1000,$N40)="","",INDEX('Cronograma R. Operacional'!$AS$5:$AS$1000,$N40)))</f>
        <v/>
      </c>
      <c r="E40" s="56">
        <f>IF($N40="","",IF(NOT(ISNUMBER($D40)),"",IF($D40&lt;InicioCiclo,"Antes del ciclo",IF($D40&gt;=InicioCiclo+28,"Después del ciclo","Semana "&amp;(INT(($D40-InicioCiclo)/7)+1)))))</f>
        <v/>
      </c>
      <c r="F40" s="61">
        <f>IF($N40="","",IF($P40&gt;0,IF(1&lt;=SemanaActual,INDEX('Cronograma R. Operacional'!$AH$5:$AH$1000,$N40),""),IF(INDEX('Cronograma R. Operacional'!$I$5:$I$1000,$N40)="","",INDEX('Cronograma R. Operacional'!$I$5:$I$1000,$N40))))</f>
        <v/>
      </c>
      <c r="G40" s="61">
        <f>IF($N40="","",IF($P40&gt;0,IF(2&lt;=SemanaActual,INDEX('Cronograma R. Operacional'!$AI$5:$AI$1000,$N40),""),IF(INDEX('Cronograma R. Operacional'!$J$5:$J$1000,$N40)="","",INDEX('Cronograma R. Operacional'!$J$5:$J$1000,$N40))))</f>
        <v/>
      </c>
      <c r="H40" s="61">
        <f>IF($N40="","",IF($P40&gt;0,IF(3&lt;=SemanaActual,INDEX('Cronograma R. Operacional'!$AJ$5:$AJ$1000,$N40),""),IF(INDEX('Cronograma R. Operacional'!$K$5:$K$1000,$N40)="","",INDEX('Cronograma R. Operacional'!$K$5:$K$1000,$N40))))</f>
        <v/>
      </c>
      <c r="I40" s="61">
        <f>IF($N40="","",IF($P40&gt;0,IF(4&lt;=SemanaActual,INDEX('Cronograma R. Operacional'!$AK$5:$AK$1000,$N40),""),IF(INDEX('Cronograma R. Operacional'!$L$5:$L$1000,$N40)="","",INDEX('Cronograma R. Operacional'!$L$5:$L$1000,$N40))))</f>
        <v/>
      </c>
      <c r="J40" s="61">
        <f>IF($N40="","",INDEX('Cronograma R. Operacional'!$M$5:$M$1000,$N40))</f>
        <v/>
      </c>
      <c r="K40" s="56">
        <f>IF($N40="","",IF(N($J40)&gt;=1,"Completado",IF(AND(ISNUMBER($D40),$D40&lt;FechaRef),"Vencida",IF(N($J40)&gt;0,"En curso","Pendiente"))))</f>
        <v/>
      </c>
      <c r="L40" s="56">
        <f>IF($N40="","",INDEX('Cronograma R. Operacional'!$O$5:$O$1000,$N40)&amp;"")</f>
        <v/>
      </c>
      <c r="M40" s="62">
        <f>IF($N40="","",INDEX('Cronograma R. Operacional'!$Q$5:$Q$1000,$N40)&amp;"")</f>
        <v/>
      </c>
      <c r="N40">
        <f>IFERROR(MATCH(ROW()-4,rOrden_RO,0),"")</f>
        <v/>
      </c>
      <c r="O40">
        <f>IF($N40="","",INDEX('Cronograma R. Operacional'!$V$5:$V$1000,$N40))</f>
        <v/>
      </c>
      <c r="P40">
        <f>IF($N40="","",N(INDEX('Cronograma R. Operacional'!$W$5:$W$1000,$N40)))</f>
        <v/>
      </c>
      <c r="Q40">
        <f>IF(OR(LEFT($L40,7)="Vencida",LEFT($L40,5)="Vence"),SUMPRODUCT(--(LEFT($L$5:$L40,7)="Vencida"))+SUMPRODUCT(--(LEFT($L$5:$L40,5)="Vence")),"")</f>
        <v/>
      </c>
    </row>
    <row r="41">
      <c r="A41" s="56">
        <f>IF($N41="","",INDEX('Cronograma R. Operacional'!$A$5:$A$1000,$N41))</f>
        <v/>
      </c>
      <c r="B41" s="62">
        <f>IF($N41="","",IF($O41="Sub","      ↳  "&amp;INDEX('Cronograma R. Operacional'!$C$5:$C$1000,$N41),INDEX('Cronograma R. Operacional'!$C$5:$C$1000,$N41)&amp;""))</f>
        <v/>
      </c>
      <c r="C41" s="79">
        <f>IF($N41="","",IF(INDEX('Cronograma R. Operacional'!$AR$5:$AR$1000,$N41)="","",INDEX('Cronograma R. Operacional'!$AR$5:$AR$1000,$N41)))</f>
        <v/>
      </c>
      <c r="D41" s="79">
        <f>IF($N41="","",IF(INDEX('Cronograma R. Operacional'!$AS$5:$AS$1000,$N41)="","",INDEX('Cronograma R. Operacional'!$AS$5:$AS$1000,$N41)))</f>
        <v/>
      </c>
      <c r="E41" s="56">
        <f>IF($N41="","",IF(NOT(ISNUMBER($D41)),"",IF($D41&lt;InicioCiclo,"Antes del ciclo",IF($D41&gt;=InicioCiclo+28,"Después del ciclo","Semana "&amp;(INT(($D41-InicioCiclo)/7)+1)))))</f>
        <v/>
      </c>
      <c r="F41" s="61">
        <f>IF($N41="","",IF($P41&gt;0,IF(1&lt;=SemanaActual,INDEX('Cronograma R. Operacional'!$AH$5:$AH$1000,$N41),""),IF(INDEX('Cronograma R. Operacional'!$I$5:$I$1000,$N41)="","",INDEX('Cronograma R. Operacional'!$I$5:$I$1000,$N41))))</f>
        <v/>
      </c>
      <c r="G41" s="61">
        <f>IF($N41="","",IF($P41&gt;0,IF(2&lt;=SemanaActual,INDEX('Cronograma R. Operacional'!$AI$5:$AI$1000,$N41),""),IF(INDEX('Cronograma R. Operacional'!$J$5:$J$1000,$N41)="","",INDEX('Cronograma R. Operacional'!$J$5:$J$1000,$N41))))</f>
        <v/>
      </c>
      <c r="H41" s="61">
        <f>IF($N41="","",IF($P41&gt;0,IF(3&lt;=SemanaActual,INDEX('Cronograma R. Operacional'!$AJ$5:$AJ$1000,$N41),""),IF(INDEX('Cronograma R. Operacional'!$K$5:$K$1000,$N41)="","",INDEX('Cronograma R. Operacional'!$K$5:$K$1000,$N41))))</f>
        <v/>
      </c>
      <c r="I41" s="61">
        <f>IF($N41="","",IF($P41&gt;0,IF(4&lt;=SemanaActual,INDEX('Cronograma R. Operacional'!$AK$5:$AK$1000,$N41),""),IF(INDEX('Cronograma R. Operacional'!$L$5:$L$1000,$N41)="","",INDEX('Cronograma R. Operacional'!$L$5:$L$1000,$N41))))</f>
        <v/>
      </c>
      <c r="J41" s="61">
        <f>IF($N41="","",INDEX('Cronograma R. Operacional'!$M$5:$M$1000,$N41))</f>
        <v/>
      </c>
      <c r="K41" s="56">
        <f>IF($N41="","",IF(N($J41)&gt;=1,"Completado",IF(AND(ISNUMBER($D41),$D41&lt;FechaRef),"Vencida",IF(N($J41)&gt;0,"En curso","Pendiente"))))</f>
        <v/>
      </c>
      <c r="L41" s="56">
        <f>IF($N41="","",INDEX('Cronograma R. Operacional'!$O$5:$O$1000,$N41)&amp;"")</f>
        <v/>
      </c>
      <c r="M41" s="62">
        <f>IF($N41="","",INDEX('Cronograma R. Operacional'!$Q$5:$Q$1000,$N41)&amp;"")</f>
        <v/>
      </c>
      <c r="N41">
        <f>IFERROR(MATCH(ROW()-4,rOrden_RO,0),"")</f>
        <v/>
      </c>
      <c r="O41">
        <f>IF($N41="","",INDEX('Cronograma R. Operacional'!$V$5:$V$1000,$N41))</f>
        <v/>
      </c>
      <c r="P41">
        <f>IF($N41="","",N(INDEX('Cronograma R. Operacional'!$W$5:$W$1000,$N41)))</f>
        <v/>
      </c>
      <c r="Q41">
        <f>IF(OR(LEFT($L41,7)="Vencida",LEFT($L41,5)="Vence"),SUMPRODUCT(--(LEFT($L$5:$L41,7)="Vencida"))+SUMPRODUCT(--(LEFT($L$5:$L41,5)="Vence")),"")</f>
        <v/>
      </c>
    </row>
    <row r="42">
      <c r="A42" s="56">
        <f>IF($N42="","",INDEX('Cronograma R. Operacional'!$A$5:$A$1000,$N42))</f>
        <v/>
      </c>
      <c r="B42" s="62">
        <f>IF($N42="","",IF($O42="Sub","      ↳  "&amp;INDEX('Cronograma R. Operacional'!$C$5:$C$1000,$N42),INDEX('Cronograma R. Operacional'!$C$5:$C$1000,$N42)&amp;""))</f>
        <v/>
      </c>
      <c r="C42" s="79">
        <f>IF($N42="","",IF(INDEX('Cronograma R. Operacional'!$AR$5:$AR$1000,$N42)="","",INDEX('Cronograma R. Operacional'!$AR$5:$AR$1000,$N42)))</f>
        <v/>
      </c>
      <c r="D42" s="79">
        <f>IF($N42="","",IF(INDEX('Cronograma R. Operacional'!$AS$5:$AS$1000,$N42)="","",INDEX('Cronograma R. Operacional'!$AS$5:$AS$1000,$N42)))</f>
        <v/>
      </c>
      <c r="E42" s="56">
        <f>IF($N42="","",IF(NOT(ISNUMBER($D42)),"",IF($D42&lt;InicioCiclo,"Antes del ciclo",IF($D42&gt;=InicioCiclo+28,"Después del ciclo","Semana "&amp;(INT(($D42-InicioCiclo)/7)+1)))))</f>
        <v/>
      </c>
      <c r="F42" s="61">
        <f>IF($N42="","",IF($P42&gt;0,IF(1&lt;=SemanaActual,INDEX('Cronograma R. Operacional'!$AH$5:$AH$1000,$N42),""),IF(INDEX('Cronograma R. Operacional'!$I$5:$I$1000,$N42)="","",INDEX('Cronograma R. Operacional'!$I$5:$I$1000,$N42))))</f>
        <v/>
      </c>
      <c r="G42" s="61">
        <f>IF($N42="","",IF($P42&gt;0,IF(2&lt;=SemanaActual,INDEX('Cronograma R. Operacional'!$AI$5:$AI$1000,$N42),""),IF(INDEX('Cronograma R. Operacional'!$J$5:$J$1000,$N42)="","",INDEX('Cronograma R. Operacional'!$J$5:$J$1000,$N42))))</f>
        <v/>
      </c>
      <c r="H42" s="61">
        <f>IF($N42="","",IF($P42&gt;0,IF(3&lt;=SemanaActual,INDEX('Cronograma R. Operacional'!$AJ$5:$AJ$1000,$N42),""),IF(INDEX('Cronograma R. Operacional'!$K$5:$K$1000,$N42)="","",INDEX('Cronograma R. Operacional'!$K$5:$K$1000,$N42))))</f>
        <v/>
      </c>
      <c r="I42" s="61">
        <f>IF($N42="","",IF($P42&gt;0,IF(4&lt;=SemanaActual,INDEX('Cronograma R. Operacional'!$AK$5:$AK$1000,$N42),""),IF(INDEX('Cronograma R. Operacional'!$L$5:$L$1000,$N42)="","",INDEX('Cronograma R. Operacional'!$L$5:$L$1000,$N42))))</f>
        <v/>
      </c>
      <c r="J42" s="61">
        <f>IF($N42="","",INDEX('Cronograma R. Operacional'!$M$5:$M$1000,$N42))</f>
        <v/>
      </c>
      <c r="K42" s="56">
        <f>IF($N42="","",IF(N($J42)&gt;=1,"Completado",IF(AND(ISNUMBER($D42),$D42&lt;FechaRef),"Vencida",IF(N($J42)&gt;0,"En curso","Pendiente"))))</f>
        <v/>
      </c>
      <c r="L42" s="56">
        <f>IF($N42="","",INDEX('Cronograma R. Operacional'!$O$5:$O$1000,$N42)&amp;"")</f>
        <v/>
      </c>
      <c r="M42" s="62">
        <f>IF($N42="","",INDEX('Cronograma R. Operacional'!$Q$5:$Q$1000,$N42)&amp;"")</f>
        <v/>
      </c>
      <c r="N42">
        <f>IFERROR(MATCH(ROW()-4,rOrden_RO,0),"")</f>
        <v/>
      </c>
      <c r="O42">
        <f>IF($N42="","",INDEX('Cronograma R. Operacional'!$V$5:$V$1000,$N42))</f>
        <v/>
      </c>
      <c r="P42">
        <f>IF($N42="","",N(INDEX('Cronograma R. Operacional'!$W$5:$W$1000,$N42)))</f>
        <v/>
      </c>
      <c r="Q42">
        <f>IF(OR(LEFT($L42,7)="Vencida",LEFT($L42,5)="Vence"),SUMPRODUCT(--(LEFT($L$5:$L42,7)="Vencida"))+SUMPRODUCT(--(LEFT($L$5:$L42,5)="Vence")),"")</f>
        <v/>
      </c>
    </row>
    <row r="43">
      <c r="A43" s="56">
        <f>IF($N43="","",INDEX('Cronograma R. Operacional'!$A$5:$A$1000,$N43))</f>
        <v/>
      </c>
      <c r="B43" s="62">
        <f>IF($N43="","",IF($O43="Sub","      ↳  "&amp;INDEX('Cronograma R. Operacional'!$C$5:$C$1000,$N43),INDEX('Cronograma R. Operacional'!$C$5:$C$1000,$N43)&amp;""))</f>
        <v/>
      </c>
      <c r="C43" s="79">
        <f>IF($N43="","",IF(INDEX('Cronograma R. Operacional'!$AR$5:$AR$1000,$N43)="","",INDEX('Cronograma R. Operacional'!$AR$5:$AR$1000,$N43)))</f>
        <v/>
      </c>
      <c r="D43" s="79">
        <f>IF($N43="","",IF(INDEX('Cronograma R. Operacional'!$AS$5:$AS$1000,$N43)="","",INDEX('Cronograma R. Operacional'!$AS$5:$AS$1000,$N43)))</f>
        <v/>
      </c>
      <c r="E43" s="56">
        <f>IF($N43="","",IF(NOT(ISNUMBER($D43)),"",IF($D43&lt;InicioCiclo,"Antes del ciclo",IF($D43&gt;=InicioCiclo+28,"Después del ciclo","Semana "&amp;(INT(($D43-InicioCiclo)/7)+1)))))</f>
        <v/>
      </c>
      <c r="F43" s="61">
        <f>IF($N43="","",IF($P43&gt;0,IF(1&lt;=SemanaActual,INDEX('Cronograma R. Operacional'!$AH$5:$AH$1000,$N43),""),IF(INDEX('Cronograma R. Operacional'!$I$5:$I$1000,$N43)="","",INDEX('Cronograma R. Operacional'!$I$5:$I$1000,$N43))))</f>
        <v/>
      </c>
      <c r="G43" s="61">
        <f>IF($N43="","",IF($P43&gt;0,IF(2&lt;=SemanaActual,INDEX('Cronograma R. Operacional'!$AI$5:$AI$1000,$N43),""),IF(INDEX('Cronograma R. Operacional'!$J$5:$J$1000,$N43)="","",INDEX('Cronograma R. Operacional'!$J$5:$J$1000,$N43))))</f>
        <v/>
      </c>
      <c r="H43" s="61">
        <f>IF($N43="","",IF($P43&gt;0,IF(3&lt;=SemanaActual,INDEX('Cronograma R. Operacional'!$AJ$5:$AJ$1000,$N43),""),IF(INDEX('Cronograma R. Operacional'!$K$5:$K$1000,$N43)="","",INDEX('Cronograma R. Operacional'!$K$5:$K$1000,$N43))))</f>
        <v/>
      </c>
      <c r="I43" s="61">
        <f>IF($N43="","",IF($P43&gt;0,IF(4&lt;=SemanaActual,INDEX('Cronograma R. Operacional'!$AK$5:$AK$1000,$N43),""),IF(INDEX('Cronograma R. Operacional'!$L$5:$L$1000,$N43)="","",INDEX('Cronograma R. Operacional'!$L$5:$L$1000,$N43))))</f>
        <v/>
      </c>
      <c r="J43" s="61">
        <f>IF($N43="","",INDEX('Cronograma R. Operacional'!$M$5:$M$1000,$N43))</f>
        <v/>
      </c>
      <c r="K43" s="56">
        <f>IF($N43="","",IF(N($J43)&gt;=1,"Completado",IF(AND(ISNUMBER($D43),$D43&lt;FechaRef),"Vencida",IF(N($J43)&gt;0,"En curso","Pendiente"))))</f>
        <v/>
      </c>
      <c r="L43" s="56">
        <f>IF($N43="","",INDEX('Cronograma R. Operacional'!$O$5:$O$1000,$N43)&amp;"")</f>
        <v/>
      </c>
      <c r="M43" s="62">
        <f>IF($N43="","",INDEX('Cronograma R. Operacional'!$Q$5:$Q$1000,$N43)&amp;"")</f>
        <v/>
      </c>
      <c r="N43">
        <f>IFERROR(MATCH(ROW()-4,rOrden_RO,0),"")</f>
        <v/>
      </c>
      <c r="O43">
        <f>IF($N43="","",INDEX('Cronograma R. Operacional'!$V$5:$V$1000,$N43))</f>
        <v/>
      </c>
      <c r="P43">
        <f>IF($N43="","",N(INDEX('Cronograma R. Operacional'!$W$5:$W$1000,$N43)))</f>
        <v/>
      </c>
      <c r="Q43">
        <f>IF(OR(LEFT($L43,7)="Vencida",LEFT($L43,5)="Vence"),SUMPRODUCT(--(LEFT($L$5:$L43,7)="Vencida"))+SUMPRODUCT(--(LEFT($L$5:$L43,5)="Vence")),"")</f>
        <v/>
      </c>
    </row>
    <row r="44">
      <c r="A44" s="56">
        <f>IF($N44="","",INDEX('Cronograma R. Operacional'!$A$5:$A$1000,$N44))</f>
        <v/>
      </c>
      <c r="B44" s="62">
        <f>IF($N44="","",IF($O44="Sub","      ↳  "&amp;INDEX('Cronograma R. Operacional'!$C$5:$C$1000,$N44),INDEX('Cronograma R. Operacional'!$C$5:$C$1000,$N44)&amp;""))</f>
        <v/>
      </c>
      <c r="C44" s="79">
        <f>IF($N44="","",IF(INDEX('Cronograma R. Operacional'!$AR$5:$AR$1000,$N44)="","",INDEX('Cronograma R. Operacional'!$AR$5:$AR$1000,$N44)))</f>
        <v/>
      </c>
      <c r="D44" s="79">
        <f>IF($N44="","",IF(INDEX('Cronograma R. Operacional'!$AS$5:$AS$1000,$N44)="","",INDEX('Cronograma R. Operacional'!$AS$5:$AS$1000,$N44)))</f>
        <v/>
      </c>
      <c r="E44" s="56">
        <f>IF($N44="","",IF(NOT(ISNUMBER($D44)),"",IF($D44&lt;InicioCiclo,"Antes del ciclo",IF($D44&gt;=InicioCiclo+28,"Después del ciclo","Semana "&amp;(INT(($D44-InicioCiclo)/7)+1)))))</f>
        <v/>
      </c>
      <c r="F44" s="61">
        <f>IF($N44="","",IF($P44&gt;0,IF(1&lt;=SemanaActual,INDEX('Cronograma R. Operacional'!$AH$5:$AH$1000,$N44),""),IF(INDEX('Cronograma R. Operacional'!$I$5:$I$1000,$N44)="","",INDEX('Cronograma R. Operacional'!$I$5:$I$1000,$N44))))</f>
        <v/>
      </c>
      <c r="G44" s="61">
        <f>IF($N44="","",IF($P44&gt;0,IF(2&lt;=SemanaActual,INDEX('Cronograma R. Operacional'!$AI$5:$AI$1000,$N44),""),IF(INDEX('Cronograma R. Operacional'!$J$5:$J$1000,$N44)="","",INDEX('Cronograma R. Operacional'!$J$5:$J$1000,$N44))))</f>
        <v/>
      </c>
      <c r="H44" s="61">
        <f>IF($N44="","",IF($P44&gt;0,IF(3&lt;=SemanaActual,INDEX('Cronograma R. Operacional'!$AJ$5:$AJ$1000,$N44),""),IF(INDEX('Cronograma R. Operacional'!$K$5:$K$1000,$N44)="","",INDEX('Cronograma R. Operacional'!$K$5:$K$1000,$N44))))</f>
        <v/>
      </c>
      <c r="I44" s="61">
        <f>IF($N44="","",IF($P44&gt;0,IF(4&lt;=SemanaActual,INDEX('Cronograma R. Operacional'!$AK$5:$AK$1000,$N44),""),IF(INDEX('Cronograma R. Operacional'!$L$5:$L$1000,$N44)="","",INDEX('Cronograma R. Operacional'!$L$5:$L$1000,$N44))))</f>
        <v/>
      </c>
      <c r="J44" s="61">
        <f>IF($N44="","",INDEX('Cronograma R. Operacional'!$M$5:$M$1000,$N44))</f>
        <v/>
      </c>
      <c r="K44" s="56">
        <f>IF($N44="","",IF(N($J44)&gt;=1,"Completado",IF(AND(ISNUMBER($D44),$D44&lt;FechaRef),"Vencida",IF(N($J44)&gt;0,"En curso","Pendiente"))))</f>
        <v/>
      </c>
      <c r="L44" s="56">
        <f>IF($N44="","",INDEX('Cronograma R. Operacional'!$O$5:$O$1000,$N44)&amp;"")</f>
        <v/>
      </c>
      <c r="M44" s="62">
        <f>IF($N44="","",INDEX('Cronograma R. Operacional'!$Q$5:$Q$1000,$N44)&amp;"")</f>
        <v/>
      </c>
      <c r="N44">
        <f>IFERROR(MATCH(ROW()-4,rOrden_RO,0),"")</f>
        <v/>
      </c>
      <c r="O44">
        <f>IF($N44="","",INDEX('Cronograma R. Operacional'!$V$5:$V$1000,$N44))</f>
        <v/>
      </c>
      <c r="P44">
        <f>IF($N44="","",N(INDEX('Cronograma R. Operacional'!$W$5:$W$1000,$N44)))</f>
        <v/>
      </c>
      <c r="Q44">
        <f>IF(OR(LEFT($L44,7)="Vencida",LEFT($L44,5)="Vence"),SUMPRODUCT(--(LEFT($L$5:$L44,7)="Vencida"))+SUMPRODUCT(--(LEFT($L$5:$L44,5)="Vence")),"")</f>
        <v/>
      </c>
    </row>
    <row r="45">
      <c r="A45" s="56">
        <f>IF($N45="","",INDEX('Cronograma R. Operacional'!$A$5:$A$1000,$N45))</f>
        <v/>
      </c>
      <c r="B45" s="62">
        <f>IF($N45="","",IF($O45="Sub","      ↳  "&amp;INDEX('Cronograma R. Operacional'!$C$5:$C$1000,$N45),INDEX('Cronograma R. Operacional'!$C$5:$C$1000,$N45)&amp;""))</f>
        <v/>
      </c>
      <c r="C45" s="79">
        <f>IF($N45="","",IF(INDEX('Cronograma R. Operacional'!$AR$5:$AR$1000,$N45)="","",INDEX('Cronograma R. Operacional'!$AR$5:$AR$1000,$N45)))</f>
        <v/>
      </c>
      <c r="D45" s="79">
        <f>IF($N45="","",IF(INDEX('Cronograma R. Operacional'!$AS$5:$AS$1000,$N45)="","",INDEX('Cronograma R. Operacional'!$AS$5:$AS$1000,$N45)))</f>
        <v/>
      </c>
      <c r="E45" s="56">
        <f>IF($N45="","",IF(NOT(ISNUMBER($D45)),"",IF($D45&lt;InicioCiclo,"Antes del ciclo",IF($D45&gt;=InicioCiclo+28,"Después del ciclo","Semana "&amp;(INT(($D45-InicioCiclo)/7)+1)))))</f>
        <v/>
      </c>
      <c r="F45" s="61">
        <f>IF($N45="","",IF($P45&gt;0,IF(1&lt;=SemanaActual,INDEX('Cronograma R. Operacional'!$AH$5:$AH$1000,$N45),""),IF(INDEX('Cronograma R. Operacional'!$I$5:$I$1000,$N45)="","",INDEX('Cronograma R. Operacional'!$I$5:$I$1000,$N45))))</f>
        <v/>
      </c>
      <c r="G45" s="61">
        <f>IF($N45="","",IF($P45&gt;0,IF(2&lt;=SemanaActual,INDEX('Cronograma R. Operacional'!$AI$5:$AI$1000,$N45),""),IF(INDEX('Cronograma R. Operacional'!$J$5:$J$1000,$N45)="","",INDEX('Cronograma R. Operacional'!$J$5:$J$1000,$N45))))</f>
        <v/>
      </c>
      <c r="H45" s="61">
        <f>IF($N45="","",IF($P45&gt;0,IF(3&lt;=SemanaActual,INDEX('Cronograma R. Operacional'!$AJ$5:$AJ$1000,$N45),""),IF(INDEX('Cronograma R. Operacional'!$K$5:$K$1000,$N45)="","",INDEX('Cronograma R. Operacional'!$K$5:$K$1000,$N45))))</f>
        <v/>
      </c>
      <c r="I45" s="61">
        <f>IF($N45="","",IF($P45&gt;0,IF(4&lt;=SemanaActual,INDEX('Cronograma R. Operacional'!$AK$5:$AK$1000,$N45),""),IF(INDEX('Cronograma R. Operacional'!$L$5:$L$1000,$N45)="","",INDEX('Cronograma R. Operacional'!$L$5:$L$1000,$N45))))</f>
        <v/>
      </c>
      <c r="J45" s="61">
        <f>IF($N45="","",INDEX('Cronograma R. Operacional'!$M$5:$M$1000,$N45))</f>
        <v/>
      </c>
      <c r="K45" s="56">
        <f>IF($N45="","",IF(N($J45)&gt;=1,"Completado",IF(AND(ISNUMBER($D45),$D45&lt;FechaRef),"Vencida",IF(N($J45)&gt;0,"En curso","Pendiente"))))</f>
        <v/>
      </c>
      <c r="L45" s="56">
        <f>IF($N45="","",INDEX('Cronograma R. Operacional'!$O$5:$O$1000,$N45)&amp;"")</f>
        <v/>
      </c>
      <c r="M45" s="62">
        <f>IF($N45="","",INDEX('Cronograma R. Operacional'!$Q$5:$Q$1000,$N45)&amp;"")</f>
        <v/>
      </c>
      <c r="N45">
        <f>IFERROR(MATCH(ROW()-4,rOrden_RO,0),"")</f>
        <v/>
      </c>
      <c r="O45">
        <f>IF($N45="","",INDEX('Cronograma R. Operacional'!$V$5:$V$1000,$N45))</f>
        <v/>
      </c>
      <c r="P45">
        <f>IF($N45="","",N(INDEX('Cronograma R. Operacional'!$W$5:$W$1000,$N45)))</f>
        <v/>
      </c>
      <c r="Q45">
        <f>IF(OR(LEFT($L45,7)="Vencida",LEFT($L45,5)="Vence"),SUMPRODUCT(--(LEFT($L$5:$L45,7)="Vencida"))+SUMPRODUCT(--(LEFT($L$5:$L45,5)="Vence")),"")</f>
        <v/>
      </c>
    </row>
    <row r="46">
      <c r="A46" s="56">
        <f>IF($N46="","",INDEX('Cronograma R. Operacional'!$A$5:$A$1000,$N46))</f>
        <v/>
      </c>
      <c r="B46" s="62">
        <f>IF($N46="","",IF($O46="Sub","      ↳  "&amp;INDEX('Cronograma R. Operacional'!$C$5:$C$1000,$N46),INDEX('Cronograma R. Operacional'!$C$5:$C$1000,$N46)&amp;""))</f>
        <v/>
      </c>
      <c r="C46" s="79">
        <f>IF($N46="","",IF(INDEX('Cronograma R. Operacional'!$AR$5:$AR$1000,$N46)="","",INDEX('Cronograma R. Operacional'!$AR$5:$AR$1000,$N46)))</f>
        <v/>
      </c>
      <c r="D46" s="79">
        <f>IF($N46="","",IF(INDEX('Cronograma R. Operacional'!$AS$5:$AS$1000,$N46)="","",INDEX('Cronograma R. Operacional'!$AS$5:$AS$1000,$N46)))</f>
        <v/>
      </c>
      <c r="E46" s="56">
        <f>IF($N46="","",IF(NOT(ISNUMBER($D46)),"",IF($D46&lt;InicioCiclo,"Antes del ciclo",IF($D46&gt;=InicioCiclo+28,"Después del ciclo","Semana "&amp;(INT(($D46-InicioCiclo)/7)+1)))))</f>
        <v/>
      </c>
      <c r="F46" s="61">
        <f>IF($N46="","",IF($P46&gt;0,IF(1&lt;=SemanaActual,INDEX('Cronograma R. Operacional'!$AH$5:$AH$1000,$N46),""),IF(INDEX('Cronograma R. Operacional'!$I$5:$I$1000,$N46)="","",INDEX('Cronograma R. Operacional'!$I$5:$I$1000,$N46))))</f>
        <v/>
      </c>
      <c r="G46" s="61">
        <f>IF($N46="","",IF($P46&gt;0,IF(2&lt;=SemanaActual,INDEX('Cronograma R. Operacional'!$AI$5:$AI$1000,$N46),""),IF(INDEX('Cronograma R. Operacional'!$J$5:$J$1000,$N46)="","",INDEX('Cronograma R. Operacional'!$J$5:$J$1000,$N46))))</f>
        <v/>
      </c>
      <c r="H46" s="61">
        <f>IF($N46="","",IF($P46&gt;0,IF(3&lt;=SemanaActual,INDEX('Cronograma R. Operacional'!$AJ$5:$AJ$1000,$N46),""),IF(INDEX('Cronograma R. Operacional'!$K$5:$K$1000,$N46)="","",INDEX('Cronograma R. Operacional'!$K$5:$K$1000,$N46))))</f>
        <v/>
      </c>
      <c r="I46" s="61">
        <f>IF($N46="","",IF($P46&gt;0,IF(4&lt;=SemanaActual,INDEX('Cronograma R. Operacional'!$AK$5:$AK$1000,$N46),""),IF(INDEX('Cronograma R. Operacional'!$L$5:$L$1000,$N46)="","",INDEX('Cronograma R. Operacional'!$L$5:$L$1000,$N46))))</f>
        <v/>
      </c>
      <c r="J46" s="61">
        <f>IF($N46="","",INDEX('Cronograma R. Operacional'!$M$5:$M$1000,$N46))</f>
        <v/>
      </c>
      <c r="K46" s="56">
        <f>IF($N46="","",IF(N($J46)&gt;=1,"Completado",IF(AND(ISNUMBER($D46),$D46&lt;FechaRef),"Vencida",IF(N($J46)&gt;0,"En curso","Pendiente"))))</f>
        <v/>
      </c>
      <c r="L46" s="56">
        <f>IF($N46="","",INDEX('Cronograma R. Operacional'!$O$5:$O$1000,$N46)&amp;"")</f>
        <v/>
      </c>
      <c r="M46" s="62">
        <f>IF($N46="","",INDEX('Cronograma R. Operacional'!$Q$5:$Q$1000,$N46)&amp;"")</f>
        <v/>
      </c>
      <c r="N46">
        <f>IFERROR(MATCH(ROW()-4,rOrden_RO,0),"")</f>
        <v/>
      </c>
      <c r="O46">
        <f>IF($N46="","",INDEX('Cronograma R. Operacional'!$V$5:$V$1000,$N46))</f>
        <v/>
      </c>
      <c r="P46">
        <f>IF($N46="","",N(INDEX('Cronograma R. Operacional'!$W$5:$W$1000,$N46)))</f>
        <v/>
      </c>
      <c r="Q46">
        <f>IF(OR(LEFT($L46,7)="Vencida",LEFT($L46,5)="Vence"),SUMPRODUCT(--(LEFT($L$5:$L46,7)="Vencida"))+SUMPRODUCT(--(LEFT($L$5:$L46,5)="Vence")),"")</f>
        <v/>
      </c>
    </row>
    <row r="47">
      <c r="A47" s="56">
        <f>IF($N47="","",INDEX('Cronograma R. Operacional'!$A$5:$A$1000,$N47))</f>
        <v/>
      </c>
      <c r="B47" s="62">
        <f>IF($N47="","",IF($O47="Sub","      ↳  "&amp;INDEX('Cronograma R. Operacional'!$C$5:$C$1000,$N47),INDEX('Cronograma R. Operacional'!$C$5:$C$1000,$N47)&amp;""))</f>
        <v/>
      </c>
      <c r="C47" s="79">
        <f>IF($N47="","",IF(INDEX('Cronograma R. Operacional'!$AR$5:$AR$1000,$N47)="","",INDEX('Cronograma R. Operacional'!$AR$5:$AR$1000,$N47)))</f>
        <v/>
      </c>
      <c r="D47" s="79">
        <f>IF($N47="","",IF(INDEX('Cronograma R. Operacional'!$AS$5:$AS$1000,$N47)="","",INDEX('Cronograma R. Operacional'!$AS$5:$AS$1000,$N47)))</f>
        <v/>
      </c>
      <c r="E47" s="56">
        <f>IF($N47="","",IF(NOT(ISNUMBER($D47)),"",IF($D47&lt;InicioCiclo,"Antes del ciclo",IF($D47&gt;=InicioCiclo+28,"Después del ciclo","Semana "&amp;(INT(($D47-InicioCiclo)/7)+1)))))</f>
        <v/>
      </c>
      <c r="F47" s="61">
        <f>IF($N47="","",IF($P47&gt;0,IF(1&lt;=SemanaActual,INDEX('Cronograma R. Operacional'!$AH$5:$AH$1000,$N47),""),IF(INDEX('Cronograma R. Operacional'!$I$5:$I$1000,$N47)="","",INDEX('Cronograma R. Operacional'!$I$5:$I$1000,$N47))))</f>
        <v/>
      </c>
      <c r="G47" s="61">
        <f>IF($N47="","",IF($P47&gt;0,IF(2&lt;=SemanaActual,INDEX('Cronograma R. Operacional'!$AI$5:$AI$1000,$N47),""),IF(INDEX('Cronograma R. Operacional'!$J$5:$J$1000,$N47)="","",INDEX('Cronograma R. Operacional'!$J$5:$J$1000,$N47))))</f>
        <v/>
      </c>
      <c r="H47" s="61">
        <f>IF($N47="","",IF($P47&gt;0,IF(3&lt;=SemanaActual,INDEX('Cronograma R. Operacional'!$AJ$5:$AJ$1000,$N47),""),IF(INDEX('Cronograma R. Operacional'!$K$5:$K$1000,$N47)="","",INDEX('Cronograma R. Operacional'!$K$5:$K$1000,$N47))))</f>
        <v/>
      </c>
      <c r="I47" s="61">
        <f>IF($N47="","",IF($P47&gt;0,IF(4&lt;=SemanaActual,INDEX('Cronograma R. Operacional'!$AK$5:$AK$1000,$N47),""),IF(INDEX('Cronograma R. Operacional'!$L$5:$L$1000,$N47)="","",INDEX('Cronograma R. Operacional'!$L$5:$L$1000,$N47))))</f>
        <v/>
      </c>
      <c r="J47" s="61">
        <f>IF($N47="","",INDEX('Cronograma R. Operacional'!$M$5:$M$1000,$N47))</f>
        <v/>
      </c>
      <c r="K47" s="56">
        <f>IF($N47="","",IF(N($J47)&gt;=1,"Completado",IF(AND(ISNUMBER($D47),$D47&lt;FechaRef),"Vencida",IF(N($J47)&gt;0,"En curso","Pendiente"))))</f>
        <v/>
      </c>
      <c r="L47" s="56">
        <f>IF($N47="","",INDEX('Cronograma R. Operacional'!$O$5:$O$1000,$N47)&amp;"")</f>
        <v/>
      </c>
      <c r="M47" s="62">
        <f>IF($N47="","",INDEX('Cronograma R. Operacional'!$Q$5:$Q$1000,$N47)&amp;"")</f>
        <v/>
      </c>
      <c r="N47">
        <f>IFERROR(MATCH(ROW()-4,rOrden_RO,0),"")</f>
        <v/>
      </c>
      <c r="O47">
        <f>IF($N47="","",INDEX('Cronograma R. Operacional'!$V$5:$V$1000,$N47))</f>
        <v/>
      </c>
      <c r="P47">
        <f>IF($N47="","",N(INDEX('Cronograma R. Operacional'!$W$5:$W$1000,$N47)))</f>
        <v/>
      </c>
      <c r="Q47">
        <f>IF(OR(LEFT($L47,7)="Vencida",LEFT($L47,5)="Vence"),SUMPRODUCT(--(LEFT($L$5:$L47,7)="Vencida"))+SUMPRODUCT(--(LEFT($L$5:$L47,5)="Vence")),"")</f>
        <v/>
      </c>
    </row>
    <row r="48">
      <c r="A48" s="56">
        <f>IF($N48="","",INDEX('Cronograma R. Operacional'!$A$5:$A$1000,$N48))</f>
        <v/>
      </c>
      <c r="B48" s="62">
        <f>IF($N48="","",IF($O48="Sub","      ↳  "&amp;INDEX('Cronograma R. Operacional'!$C$5:$C$1000,$N48),INDEX('Cronograma R. Operacional'!$C$5:$C$1000,$N48)&amp;""))</f>
        <v/>
      </c>
      <c r="C48" s="79">
        <f>IF($N48="","",IF(INDEX('Cronograma R. Operacional'!$AR$5:$AR$1000,$N48)="","",INDEX('Cronograma R. Operacional'!$AR$5:$AR$1000,$N48)))</f>
        <v/>
      </c>
      <c r="D48" s="79">
        <f>IF($N48="","",IF(INDEX('Cronograma R. Operacional'!$AS$5:$AS$1000,$N48)="","",INDEX('Cronograma R. Operacional'!$AS$5:$AS$1000,$N48)))</f>
        <v/>
      </c>
      <c r="E48" s="56">
        <f>IF($N48="","",IF(NOT(ISNUMBER($D48)),"",IF($D48&lt;InicioCiclo,"Antes del ciclo",IF($D48&gt;=InicioCiclo+28,"Después del ciclo","Semana "&amp;(INT(($D48-InicioCiclo)/7)+1)))))</f>
        <v/>
      </c>
      <c r="F48" s="61">
        <f>IF($N48="","",IF($P48&gt;0,IF(1&lt;=SemanaActual,INDEX('Cronograma R. Operacional'!$AH$5:$AH$1000,$N48),""),IF(INDEX('Cronograma R. Operacional'!$I$5:$I$1000,$N48)="","",INDEX('Cronograma R. Operacional'!$I$5:$I$1000,$N48))))</f>
        <v/>
      </c>
      <c r="G48" s="61">
        <f>IF($N48="","",IF($P48&gt;0,IF(2&lt;=SemanaActual,INDEX('Cronograma R. Operacional'!$AI$5:$AI$1000,$N48),""),IF(INDEX('Cronograma R. Operacional'!$J$5:$J$1000,$N48)="","",INDEX('Cronograma R. Operacional'!$J$5:$J$1000,$N48))))</f>
        <v/>
      </c>
      <c r="H48" s="61">
        <f>IF($N48="","",IF($P48&gt;0,IF(3&lt;=SemanaActual,INDEX('Cronograma R. Operacional'!$AJ$5:$AJ$1000,$N48),""),IF(INDEX('Cronograma R. Operacional'!$K$5:$K$1000,$N48)="","",INDEX('Cronograma R. Operacional'!$K$5:$K$1000,$N48))))</f>
        <v/>
      </c>
      <c r="I48" s="61">
        <f>IF($N48="","",IF($P48&gt;0,IF(4&lt;=SemanaActual,INDEX('Cronograma R. Operacional'!$AK$5:$AK$1000,$N48),""),IF(INDEX('Cronograma R. Operacional'!$L$5:$L$1000,$N48)="","",INDEX('Cronograma R. Operacional'!$L$5:$L$1000,$N48))))</f>
        <v/>
      </c>
      <c r="J48" s="61">
        <f>IF($N48="","",INDEX('Cronograma R. Operacional'!$M$5:$M$1000,$N48))</f>
        <v/>
      </c>
      <c r="K48" s="56">
        <f>IF($N48="","",IF(N($J48)&gt;=1,"Completado",IF(AND(ISNUMBER($D48),$D48&lt;FechaRef),"Vencida",IF(N($J48)&gt;0,"En curso","Pendiente"))))</f>
        <v/>
      </c>
      <c r="L48" s="56">
        <f>IF($N48="","",INDEX('Cronograma R. Operacional'!$O$5:$O$1000,$N48)&amp;"")</f>
        <v/>
      </c>
      <c r="M48" s="62">
        <f>IF($N48="","",INDEX('Cronograma R. Operacional'!$Q$5:$Q$1000,$N48)&amp;"")</f>
        <v/>
      </c>
      <c r="N48">
        <f>IFERROR(MATCH(ROW()-4,rOrden_RO,0),"")</f>
        <v/>
      </c>
      <c r="O48">
        <f>IF($N48="","",INDEX('Cronograma R. Operacional'!$V$5:$V$1000,$N48))</f>
        <v/>
      </c>
      <c r="P48">
        <f>IF($N48="","",N(INDEX('Cronograma R. Operacional'!$W$5:$W$1000,$N48)))</f>
        <v/>
      </c>
      <c r="Q48">
        <f>IF(OR(LEFT($L48,7)="Vencida",LEFT($L48,5)="Vence"),SUMPRODUCT(--(LEFT($L$5:$L48,7)="Vencida"))+SUMPRODUCT(--(LEFT($L$5:$L48,5)="Vence")),"")</f>
        <v/>
      </c>
    </row>
    <row r="49">
      <c r="A49" s="56">
        <f>IF($N49="","",INDEX('Cronograma R. Operacional'!$A$5:$A$1000,$N49))</f>
        <v/>
      </c>
      <c r="B49" s="62">
        <f>IF($N49="","",IF($O49="Sub","      ↳  "&amp;INDEX('Cronograma R. Operacional'!$C$5:$C$1000,$N49),INDEX('Cronograma R. Operacional'!$C$5:$C$1000,$N49)&amp;""))</f>
        <v/>
      </c>
      <c r="C49" s="79">
        <f>IF($N49="","",IF(INDEX('Cronograma R. Operacional'!$AR$5:$AR$1000,$N49)="","",INDEX('Cronograma R. Operacional'!$AR$5:$AR$1000,$N49)))</f>
        <v/>
      </c>
      <c r="D49" s="79">
        <f>IF($N49="","",IF(INDEX('Cronograma R. Operacional'!$AS$5:$AS$1000,$N49)="","",INDEX('Cronograma R. Operacional'!$AS$5:$AS$1000,$N49)))</f>
        <v/>
      </c>
      <c r="E49" s="56">
        <f>IF($N49="","",IF(NOT(ISNUMBER($D49)),"",IF($D49&lt;InicioCiclo,"Antes del ciclo",IF($D49&gt;=InicioCiclo+28,"Después del ciclo","Semana "&amp;(INT(($D49-InicioCiclo)/7)+1)))))</f>
        <v/>
      </c>
      <c r="F49" s="61">
        <f>IF($N49="","",IF($P49&gt;0,IF(1&lt;=SemanaActual,INDEX('Cronograma R. Operacional'!$AH$5:$AH$1000,$N49),""),IF(INDEX('Cronograma R. Operacional'!$I$5:$I$1000,$N49)="","",INDEX('Cronograma R. Operacional'!$I$5:$I$1000,$N49))))</f>
        <v/>
      </c>
      <c r="G49" s="61">
        <f>IF($N49="","",IF($P49&gt;0,IF(2&lt;=SemanaActual,INDEX('Cronograma R. Operacional'!$AI$5:$AI$1000,$N49),""),IF(INDEX('Cronograma R. Operacional'!$J$5:$J$1000,$N49)="","",INDEX('Cronograma R. Operacional'!$J$5:$J$1000,$N49))))</f>
        <v/>
      </c>
      <c r="H49" s="61">
        <f>IF($N49="","",IF($P49&gt;0,IF(3&lt;=SemanaActual,INDEX('Cronograma R. Operacional'!$AJ$5:$AJ$1000,$N49),""),IF(INDEX('Cronograma R. Operacional'!$K$5:$K$1000,$N49)="","",INDEX('Cronograma R. Operacional'!$K$5:$K$1000,$N49))))</f>
        <v/>
      </c>
      <c r="I49" s="61">
        <f>IF($N49="","",IF($P49&gt;0,IF(4&lt;=SemanaActual,INDEX('Cronograma R. Operacional'!$AK$5:$AK$1000,$N49),""),IF(INDEX('Cronograma R. Operacional'!$L$5:$L$1000,$N49)="","",INDEX('Cronograma R. Operacional'!$L$5:$L$1000,$N49))))</f>
        <v/>
      </c>
      <c r="J49" s="61">
        <f>IF($N49="","",INDEX('Cronograma R. Operacional'!$M$5:$M$1000,$N49))</f>
        <v/>
      </c>
      <c r="K49" s="56">
        <f>IF($N49="","",IF(N($J49)&gt;=1,"Completado",IF(AND(ISNUMBER($D49),$D49&lt;FechaRef),"Vencida",IF(N($J49)&gt;0,"En curso","Pendiente"))))</f>
        <v/>
      </c>
      <c r="L49" s="56">
        <f>IF($N49="","",INDEX('Cronograma R. Operacional'!$O$5:$O$1000,$N49)&amp;"")</f>
        <v/>
      </c>
      <c r="M49" s="62">
        <f>IF($N49="","",INDEX('Cronograma R. Operacional'!$Q$5:$Q$1000,$N49)&amp;"")</f>
        <v/>
      </c>
      <c r="N49">
        <f>IFERROR(MATCH(ROW()-4,rOrden_RO,0),"")</f>
        <v/>
      </c>
      <c r="O49">
        <f>IF($N49="","",INDEX('Cronograma R. Operacional'!$V$5:$V$1000,$N49))</f>
        <v/>
      </c>
      <c r="P49">
        <f>IF($N49="","",N(INDEX('Cronograma R. Operacional'!$W$5:$W$1000,$N49)))</f>
        <v/>
      </c>
      <c r="Q49">
        <f>IF(OR(LEFT($L49,7)="Vencida",LEFT($L49,5)="Vence"),SUMPRODUCT(--(LEFT($L$5:$L49,7)="Vencida"))+SUMPRODUCT(--(LEFT($L$5:$L49,5)="Vence")),"")</f>
        <v/>
      </c>
    </row>
    <row r="50">
      <c r="A50" s="56">
        <f>IF($N50="","",INDEX('Cronograma R. Operacional'!$A$5:$A$1000,$N50))</f>
        <v/>
      </c>
      <c r="B50" s="62">
        <f>IF($N50="","",IF($O50="Sub","      ↳  "&amp;INDEX('Cronograma R. Operacional'!$C$5:$C$1000,$N50),INDEX('Cronograma R. Operacional'!$C$5:$C$1000,$N50)&amp;""))</f>
        <v/>
      </c>
      <c r="C50" s="79">
        <f>IF($N50="","",IF(INDEX('Cronograma R. Operacional'!$AR$5:$AR$1000,$N50)="","",INDEX('Cronograma R. Operacional'!$AR$5:$AR$1000,$N50)))</f>
        <v/>
      </c>
      <c r="D50" s="79">
        <f>IF($N50="","",IF(INDEX('Cronograma R. Operacional'!$AS$5:$AS$1000,$N50)="","",INDEX('Cronograma R. Operacional'!$AS$5:$AS$1000,$N50)))</f>
        <v/>
      </c>
      <c r="E50" s="56">
        <f>IF($N50="","",IF(NOT(ISNUMBER($D50)),"",IF($D50&lt;InicioCiclo,"Antes del ciclo",IF($D50&gt;=InicioCiclo+28,"Después del ciclo","Semana "&amp;(INT(($D50-InicioCiclo)/7)+1)))))</f>
        <v/>
      </c>
      <c r="F50" s="61">
        <f>IF($N50="","",IF($P50&gt;0,IF(1&lt;=SemanaActual,INDEX('Cronograma R. Operacional'!$AH$5:$AH$1000,$N50),""),IF(INDEX('Cronograma R. Operacional'!$I$5:$I$1000,$N50)="","",INDEX('Cronograma R. Operacional'!$I$5:$I$1000,$N50))))</f>
        <v/>
      </c>
      <c r="G50" s="61">
        <f>IF($N50="","",IF($P50&gt;0,IF(2&lt;=SemanaActual,INDEX('Cronograma R. Operacional'!$AI$5:$AI$1000,$N50),""),IF(INDEX('Cronograma R. Operacional'!$J$5:$J$1000,$N50)="","",INDEX('Cronograma R. Operacional'!$J$5:$J$1000,$N50))))</f>
        <v/>
      </c>
      <c r="H50" s="61">
        <f>IF($N50="","",IF($P50&gt;0,IF(3&lt;=SemanaActual,INDEX('Cronograma R. Operacional'!$AJ$5:$AJ$1000,$N50),""),IF(INDEX('Cronograma R. Operacional'!$K$5:$K$1000,$N50)="","",INDEX('Cronograma R. Operacional'!$K$5:$K$1000,$N50))))</f>
        <v/>
      </c>
      <c r="I50" s="61">
        <f>IF($N50="","",IF($P50&gt;0,IF(4&lt;=SemanaActual,INDEX('Cronograma R. Operacional'!$AK$5:$AK$1000,$N50),""),IF(INDEX('Cronograma R. Operacional'!$L$5:$L$1000,$N50)="","",INDEX('Cronograma R. Operacional'!$L$5:$L$1000,$N50))))</f>
        <v/>
      </c>
      <c r="J50" s="61">
        <f>IF($N50="","",INDEX('Cronograma R. Operacional'!$M$5:$M$1000,$N50))</f>
        <v/>
      </c>
      <c r="K50" s="56">
        <f>IF($N50="","",IF(N($J50)&gt;=1,"Completado",IF(AND(ISNUMBER($D50),$D50&lt;FechaRef),"Vencida",IF(N($J50)&gt;0,"En curso","Pendiente"))))</f>
        <v/>
      </c>
      <c r="L50" s="56">
        <f>IF($N50="","",INDEX('Cronograma R. Operacional'!$O$5:$O$1000,$N50)&amp;"")</f>
        <v/>
      </c>
      <c r="M50" s="62">
        <f>IF($N50="","",INDEX('Cronograma R. Operacional'!$Q$5:$Q$1000,$N50)&amp;"")</f>
        <v/>
      </c>
      <c r="N50">
        <f>IFERROR(MATCH(ROW()-4,rOrden_RO,0),"")</f>
        <v/>
      </c>
      <c r="O50">
        <f>IF($N50="","",INDEX('Cronograma R. Operacional'!$V$5:$V$1000,$N50))</f>
        <v/>
      </c>
      <c r="P50">
        <f>IF($N50="","",N(INDEX('Cronograma R. Operacional'!$W$5:$W$1000,$N50)))</f>
        <v/>
      </c>
      <c r="Q50">
        <f>IF(OR(LEFT($L50,7)="Vencida",LEFT($L50,5)="Vence"),SUMPRODUCT(--(LEFT($L$5:$L50,7)="Vencida"))+SUMPRODUCT(--(LEFT($L$5:$L50,5)="Vence")),"")</f>
        <v/>
      </c>
    </row>
    <row r="51">
      <c r="A51" s="56">
        <f>IF($N51="","",INDEX('Cronograma R. Operacional'!$A$5:$A$1000,$N51))</f>
        <v/>
      </c>
      <c r="B51" s="62">
        <f>IF($N51="","",IF($O51="Sub","      ↳  "&amp;INDEX('Cronograma R. Operacional'!$C$5:$C$1000,$N51),INDEX('Cronograma R. Operacional'!$C$5:$C$1000,$N51)&amp;""))</f>
        <v/>
      </c>
      <c r="C51" s="79">
        <f>IF($N51="","",IF(INDEX('Cronograma R. Operacional'!$AR$5:$AR$1000,$N51)="","",INDEX('Cronograma R. Operacional'!$AR$5:$AR$1000,$N51)))</f>
        <v/>
      </c>
      <c r="D51" s="79">
        <f>IF($N51="","",IF(INDEX('Cronograma R. Operacional'!$AS$5:$AS$1000,$N51)="","",INDEX('Cronograma R. Operacional'!$AS$5:$AS$1000,$N51)))</f>
        <v/>
      </c>
      <c r="E51" s="56">
        <f>IF($N51="","",IF(NOT(ISNUMBER($D51)),"",IF($D51&lt;InicioCiclo,"Antes del ciclo",IF($D51&gt;=InicioCiclo+28,"Después del ciclo","Semana "&amp;(INT(($D51-InicioCiclo)/7)+1)))))</f>
        <v/>
      </c>
      <c r="F51" s="61">
        <f>IF($N51="","",IF($P51&gt;0,IF(1&lt;=SemanaActual,INDEX('Cronograma R. Operacional'!$AH$5:$AH$1000,$N51),""),IF(INDEX('Cronograma R. Operacional'!$I$5:$I$1000,$N51)="","",INDEX('Cronograma R. Operacional'!$I$5:$I$1000,$N51))))</f>
        <v/>
      </c>
      <c r="G51" s="61">
        <f>IF($N51="","",IF($P51&gt;0,IF(2&lt;=SemanaActual,INDEX('Cronograma R. Operacional'!$AI$5:$AI$1000,$N51),""),IF(INDEX('Cronograma R. Operacional'!$J$5:$J$1000,$N51)="","",INDEX('Cronograma R. Operacional'!$J$5:$J$1000,$N51))))</f>
        <v/>
      </c>
      <c r="H51" s="61">
        <f>IF($N51="","",IF($P51&gt;0,IF(3&lt;=SemanaActual,INDEX('Cronograma R. Operacional'!$AJ$5:$AJ$1000,$N51),""),IF(INDEX('Cronograma R. Operacional'!$K$5:$K$1000,$N51)="","",INDEX('Cronograma R. Operacional'!$K$5:$K$1000,$N51))))</f>
        <v/>
      </c>
      <c r="I51" s="61">
        <f>IF($N51="","",IF($P51&gt;0,IF(4&lt;=SemanaActual,INDEX('Cronograma R. Operacional'!$AK$5:$AK$1000,$N51),""),IF(INDEX('Cronograma R. Operacional'!$L$5:$L$1000,$N51)="","",INDEX('Cronograma R. Operacional'!$L$5:$L$1000,$N51))))</f>
        <v/>
      </c>
      <c r="J51" s="61">
        <f>IF($N51="","",INDEX('Cronograma R. Operacional'!$M$5:$M$1000,$N51))</f>
        <v/>
      </c>
      <c r="K51" s="56">
        <f>IF($N51="","",IF(N($J51)&gt;=1,"Completado",IF(AND(ISNUMBER($D51),$D51&lt;FechaRef),"Vencida",IF(N($J51)&gt;0,"En curso","Pendiente"))))</f>
        <v/>
      </c>
      <c r="L51" s="56">
        <f>IF($N51="","",INDEX('Cronograma R. Operacional'!$O$5:$O$1000,$N51)&amp;"")</f>
        <v/>
      </c>
      <c r="M51" s="62">
        <f>IF($N51="","",INDEX('Cronograma R. Operacional'!$Q$5:$Q$1000,$N51)&amp;"")</f>
        <v/>
      </c>
      <c r="N51">
        <f>IFERROR(MATCH(ROW()-4,rOrden_RO,0),"")</f>
        <v/>
      </c>
      <c r="O51">
        <f>IF($N51="","",INDEX('Cronograma R. Operacional'!$V$5:$V$1000,$N51))</f>
        <v/>
      </c>
      <c r="P51">
        <f>IF($N51="","",N(INDEX('Cronograma R. Operacional'!$W$5:$W$1000,$N51)))</f>
        <v/>
      </c>
      <c r="Q51">
        <f>IF(OR(LEFT($L51,7)="Vencida",LEFT($L51,5)="Vence"),SUMPRODUCT(--(LEFT($L$5:$L51,7)="Vencida"))+SUMPRODUCT(--(LEFT($L$5:$L51,5)="Vence")),"")</f>
        <v/>
      </c>
    </row>
    <row r="52">
      <c r="A52" s="56">
        <f>IF($N52="","",INDEX('Cronograma R. Operacional'!$A$5:$A$1000,$N52))</f>
        <v/>
      </c>
      <c r="B52" s="62">
        <f>IF($N52="","",IF($O52="Sub","      ↳  "&amp;INDEX('Cronograma R. Operacional'!$C$5:$C$1000,$N52),INDEX('Cronograma R. Operacional'!$C$5:$C$1000,$N52)&amp;""))</f>
        <v/>
      </c>
      <c r="C52" s="79">
        <f>IF($N52="","",IF(INDEX('Cronograma R. Operacional'!$AR$5:$AR$1000,$N52)="","",INDEX('Cronograma R. Operacional'!$AR$5:$AR$1000,$N52)))</f>
        <v/>
      </c>
      <c r="D52" s="79">
        <f>IF($N52="","",IF(INDEX('Cronograma R. Operacional'!$AS$5:$AS$1000,$N52)="","",INDEX('Cronograma R. Operacional'!$AS$5:$AS$1000,$N52)))</f>
        <v/>
      </c>
      <c r="E52" s="56">
        <f>IF($N52="","",IF(NOT(ISNUMBER($D52)),"",IF($D52&lt;InicioCiclo,"Antes del ciclo",IF($D52&gt;=InicioCiclo+28,"Después del ciclo","Semana "&amp;(INT(($D52-InicioCiclo)/7)+1)))))</f>
        <v/>
      </c>
      <c r="F52" s="61">
        <f>IF($N52="","",IF($P52&gt;0,IF(1&lt;=SemanaActual,INDEX('Cronograma R. Operacional'!$AH$5:$AH$1000,$N52),""),IF(INDEX('Cronograma R. Operacional'!$I$5:$I$1000,$N52)="","",INDEX('Cronograma R. Operacional'!$I$5:$I$1000,$N52))))</f>
        <v/>
      </c>
      <c r="G52" s="61">
        <f>IF($N52="","",IF($P52&gt;0,IF(2&lt;=SemanaActual,INDEX('Cronograma R. Operacional'!$AI$5:$AI$1000,$N52),""),IF(INDEX('Cronograma R. Operacional'!$J$5:$J$1000,$N52)="","",INDEX('Cronograma R. Operacional'!$J$5:$J$1000,$N52))))</f>
        <v/>
      </c>
      <c r="H52" s="61">
        <f>IF($N52="","",IF($P52&gt;0,IF(3&lt;=SemanaActual,INDEX('Cronograma R. Operacional'!$AJ$5:$AJ$1000,$N52),""),IF(INDEX('Cronograma R. Operacional'!$K$5:$K$1000,$N52)="","",INDEX('Cronograma R. Operacional'!$K$5:$K$1000,$N52))))</f>
        <v/>
      </c>
      <c r="I52" s="61">
        <f>IF($N52="","",IF($P52&gt;0,IF(4&lt;=SemanaActual,INDEX('Cronograma R. Operacional'!$AK$5:$AK$1000,$N52),""),IF(INDEX('Cronograma R. Operacional'!$L$5:$L$1000,$N52)="","",INDEX('Cronograma R. Operacional'!$L$5:$L$1000,$N52))))</f>
        <v/>
      </c>
      <c r="J52" s="61">
        <f>IF($N52="","",INDEX('Cronograma R. Operacional'!$M$5:$M$1000,$N52))</f>
        <v/>
      </c>
      <c r="K52" s="56">
        <f>IF($N52="","",IF(N($J52)&gt;=1,"Completado",IF(AND(ISNUMBER($D52),$D52&lt;FechaRef),"Vencida",IF(N($J52)&gt;0,"En curso","Pendiente"))))</f>
        <v/>
      </c>
      <c r="L52" s="56">
        <f>IF($N52="","",INDEX('Cronograma R. Operacional'!$O$5:$O$1000,$N52)&amp;"")</f>
        <v/>
      </c>
      <c r="M52" s="62">
        <f>IF($N52="","",INDEX('Cronograma R. Operacional'!$Q$5:$Q$1000,$N52)&amp;"")</f>
        <v/>
      </c>
      <c r="N52">
        <f>IFERROR(MATCH(ROW()-4,rOrden_RO,0),"")</f>
        <v/>
      </c>
      <c r="O52">
        <f>IF($N52="","",INDEX('Cronograma R. Operacional'!$V$5:$V$1000,$N52))</f>
        <v/>
      </c>
      <c r="P52">
        <f>IF($N52="","",N(INDEX('Cronograma R. Operacional'!$W$5:$W$1000,$N52)))</f>
        <v/>
      </c>
      <c r="Q52">
        <f>IF(OR(LEFT($L52,7)="Vencida",LEFT($L52,5)="Vence"),SUMPRODUCT(--(LEFT($L$5:$L52,7)="Vencida"))+SUMPRODUCT(--(LEFT($L$5:$L52,5)="Vence")),"")</f>
        <v/>
      </c>
    </row>
    <row r="53">
      <c r="A53" s="56">
        <f>IF($N53="","",INDEX('Cronograma R. Operacional'!$A$5:$A$1000,$N53))</f>
        <v/>
      </c>
      <c r="B53" s="62">
        <f>IF($N53="","",IF($O53="Sub","      ↳  "&amp;INDEX('Cronograma R. Operacional'!$C$5:$C$1000,$N53),INDEX('Cronograma R. Operacional'!$C$5:$C$1000,$N53)&amp;""))</f>
        <v/>
      </c>
      <c r="C53" s="79">
        <f>IF($N53="","",IF(INDEX('Cronograma R. Operacional'!$AR$5:$AR$1000,$N53)="","",INDEX('Cronograma R. Operacional'!$AR$5:$AR$1000,$N53)))</f>
        <v/>
      </c>
      <c r="D53" s="79">
        <f>IF($N53="","",IF(INDEX('Cronograma R. Operacional'!$AS$5:$AS$1000,$N53)="","",INDEX('Cronograma R. Operacional'!$AS$5:$AS$1000,$N53)))</f>
        <v/>
      </c>
      <c r="E53" s="56">
        <f>IF($N53="","",IF(NOT(ISNUMBER($D53)),"",IF($D53&lt;InicioCiclo,"Antes del ciclo",IF($D53&gt;=InicioCiclo+28,"Después del ciclo","Semana "&amp;(INT(($D53-InicioCiclo)/7)+1)))))</f>
        <v/>
      </c>
      <c r="F53" s="61">
        <f>IF($N53="","",IF($P53&gt;0,IF(1&lt;=SemanaActual,INDEX('Cronograma R. Operacional'!$AH$5:$AH$1000,$N53),""),IF(INDEX('Cronograma R. Operacional'!$I$5:$I$1000,$N53)="","",INDEX('Cronograma R. Operacional'!$I$5:$I$1000,$N53))))</f>
        <v/>
      </c>
      <c r="G53" s="61">
        <f>IF($N53="","",IF($P53&gt;0,IF(2&lt;=SemanaActual,INDEX('Cronograma R. Operacional'!$AI$5:$AI$1000,$N53),""),IF(INDEX('Cronograma R. Operacional'!$J$5:$J$1000,$N53)="","",INDEX('Cronograma R. Operacional'!$J$5:$J$1000,$N53))))</f>
        <v/>
      </c>
      <c r="H53" s="61">
        <f>IF($N53="","",IF($P53&gt;0,IF(3&lt;=SemanaActual,INDEX('Cronograma R. Operacional'!$AJ$5:$AJ$1000,$N53),""),IF(INDEX('Cronograma R. Operacional'!$K$5:$K$1000,$N53)="","",INDEX('Cronograma R. Operacional'!$K$5:$K$1000,$N53))))</f>
        <v/>
      </c>
      <c r="I53" s="61">
        <f>IF($N53="","",IF($P53&gt;0,IF(4&lt;=SemanaActual,INDEX('Cronograma R. Operacional'!$AK$5:$AK$1000,$N53),""),IF(INDEX('Cronograma R. Operacional'!$L$5:$L$1000,$N53)="","",INDEX('Cronograma R. Operacional'!$L$5:$L$1000,$N53))))</f>
        <v/>
      </c>
      <c r="J53" s="61">
        <f>IF($N53="","",INDEX('Cronograma R. Operacional'!$M$5:$M$1000,$N53))</f>
        <v/>
      </c>
      <c r="K53" s="56">
        <f>IF($N53="","",IF(N($J53)&gt;=1,"Completado",IF(AND(ISNUMBER($D53),$D53&lt;FechaRef),"Vencida",IF(N($J53)&gt;0,"En curso","Pendiente"))))</f>
        <v/>
      </c>
      <c r="L53" s="56">
        <f>IF($N53="","",INDEX('Cronograma R. Operacional'!$O$5:$O$1000,$N53)&amp;"")</f>
        <v/>
      </c>
      <c r="M53" s="62">
        <f>IF($N53="","",INDEX('Cronograma R. Operacional'!$Q$5:$Q$1000,$N53)&amp;"")</f>
        <v/>
      </c>
      <c r="N53">
        <f>IFERROR(MATCH(ROW()-4,rOrden_RO,0),"")</f>
        <v/>
      </c>
      <c r="O53">
        <f>IF($N53="","",INDEX('Cronograma R. Operacional'!$V$5:$V$1000,$N53))</f>
        <v/>
      </c>
      <c r="P53">
        <f>IF($N53="","",N(INDEX('Cronograma R. Operacional'!$W$5:$W$1000,$N53)))</f>
        <v/>
      </c>
      <c r="Q53">
        <f>IF(OR(LEFT($L53,7)="Vencida",LEFT($L53,5)="Vence"),SUMPRODUCT(--(LEFT($L$5:$L53,7)="Vencida"))+SUMPRODUCT(--(LEFT($L$5:$L53,5)="Vence")),"")</f>
        <v/>
      </c>
    </row>
    <row r="54">
      <c r="A54" s="56">
        <f>IF($N54="","",INDEX('Cronograma R. Operacional'!$A$5:$A$1000,$N54))</f>
        <v/>
      </c>
      <c r="B54" s="62">
        <f>IF($N54="","",IF($O54="Sub","      ↳  "&amp;INDEX('Cronograma R. Operacional'!$C$5:$C$1000,$N54),INDEX('Cronograma R. Operacional'!$C$5:$C$1000,$N54)&amp;""))</f>
        <v/>
      </c>
      <c r="C54" s="79">
        <f>IF($N54="","",IF(INDEX('Cronograma R. Operacional'!$AR$5:$AR$1000,$N54)="","",INDEX('Cronograma R. Operacional'!$AR$5:$AR$1000,$N54)))</f>
        <v/>
      </c>
      <c r="D54" s="79">
        <f>IF($N54="","",IF(INDEX('Cronograma R. Operacional'!$AS$5:$AS$1000,$N54)="","",INDEX('Cronograma R. Operacional'!$AS$5:$AS$1000,$N54)))</f>
        <v/>
      </c>
      <c r="E54" s="56">
        <f>IF($N54="","",IF(NOT(ISNUMBER($D54)),"",IF($D54&lt;InicioCiclo,"Antes del ciclo",IF($D54&gt;=InicioCiclo+28,"Después del ciclo","Semana "&amp;(INT(($D54-InicioCiclo)/7)+1)))))</f>
        <v/>
      </c>
      <c r="F54" s="61">
        <f>IF($N54="","",IF($P54&gt;0,IF(1&lt;=SemanaActual,INDEX('Cronograma R. Operacional'!$AH$5:$AH$1000,$N54),""),IF(INDEX('Cronograma R. Operacional'!$I$5:$I$1000,$N54)="","",INDEX('Cronograma R. Operacional'!$I$5:$I$1000,$N54))))</f>
        <v/>
      </c>
      <c r="G54" s="61">
        <f>IF($N54="","",IF($P54&gt;0,IF(2&lt;=SemanaActual,INDEX('Cronograma R. Operacional'!$AI$5:$AI$1000,$N54),""),IF(INDEX('Cronograma R. Operacional'!$J$5:$J$1000,$N54)="","",INDEX('Cronograma R. Operacional'!$J$5:$J$1000,$N54))))</f>
        <v/>
      </c>
      <c r="H54" s="61">
        <f>IF($N54="","",IF($P54&gt;0,IF(3&lt;=SemanaActual,INDEX('Cronograma R. Operacional'!$AJ$5:$AJ$1000,$N54),""),IF(INDEX('Cronograma R. Operacional'!$K$5:$K$1000,$N54)="","",INDEX('Cronograma R. Operacional'!$K$5:$K$1000,$N54))))</f>
        <v/>
      </c>
      <c r="I54" s="61">
        <f>IF($N54="","",IF($P54&gt;0,IF(4&lt;=SemanaActual,INDEX('Cronograma R. Operacional'!$AK$5:$AK$1000,$N54),""),IF(INDEX('Cronograma R. Operacional'!$L$5:$L$1000,$N54)="","",INDEX('Cronograma R. Operacional'!$L$5:$L$1000,$N54))))</f>
        <v/>
      </c>
      <c r="J54" s="61">
        <f>IF($N54="","",INDEX('Cronograma R. Operacional'!$M$5:$M$1000,$N54))</f>
        <v/>
      </c>
      <c r="K54" s="56">
        <f>IF($N54="","",IF(N($J54)&gt;=1,"Completado",IF(AND(ISNUMBER($D54),$D54&lt;FechaRef),"Vencida",IF(N($J54)&gt;0,"En curso","Pendiente"))))</f>
        <v/>
      </c>
      <c r="L54" s="56">
        <f>IF($N54="","",INDEX('Cronograma R. Operacional'!$O$5:$O$1000,$N54)&amp;"")</f>
        <v/>
      </c>
      <c r="M54" s="62">
        <f>IF($N54="","",INDEX('Cronograma R. Operacional'!$Q$5:$Q$1000,$N54)&amp;"")</f>
        <v/>
      </c>
      <c r="N54">
        <f>IFERROR(MATCH(ROW()-4,rOrden_RO,0),"")</f>
        <v/>
      </c>
      <c r="O54">
        <f>IF($N54="","",INDEX('Cronograma R. Operacional'!$V$5:$V$1000,$N54))</f>
        <v/>
      </c>
      <c r="P54">
        <f>IF($N54="","",N(INDEX('Cronograma R. Operacional'!$W$5:$W$1000,$N54)))</f>
        <v/>
      </c>
      <c r="Q54">
        <f>IF(OR(LEFT($L54,7)="Vencida",LEFT($L54,5)="Vence"),SUMPRODUCT(--(LEFT($L$5:$L54,7)="Vencida"))+SUMPRODUCT(--(LEFT($L$5:$L54,5)="Vence")),"")</f>
        <v/>
      </c>
    </row>
    <row r="55">
      <c r="A55" s="56">
        <f>IF($N55="","",INDEX('Cronograma R. Operacional'!$A$5:$A$1000,$N55))</f>
        <v/>
      </c>
      <c r="B55" s="62">
        <f>IF($N55="","",IF($O55="Sub","      ↳  "&amp;INDEX('Cronograma R. Operacional'!$C$5:$C$1000,$N55),INDEX('Cronograma R. Operacional'!$C$5:$C$1000,$N55)&amp;""))</f>
        <v/>
      </c>
      <c r="C55" s="79">
        <f>IF($N55="","",IF(INDEX('Cronograma R. Operacional'!$AR$5:$AR$1000,$N55)="","",INDEX('Cronograma R. Operacional'!$AR$5:$AR$1000,$N55)))</f>
        <v/>
      </c>
      <c r="D55" s="79">
        <f>IF($N55="","",IF(INDEX('Cronograma R. Operacional'!$AS$5:$AS$1000,$N55)="","",INDEX('Cronograma R. Operacional'!$AS$5:$AS$1000,$N55)))</f>
        <v/>
      </c>
      <c r="E55" s="56">
        <f>IF($N55="","",IF(NOT(ISNUMBER($D55)),"",IF($D55&lt;InicioCiclo,"Antes del ciclo",IF($D55&gt;=InicioCiclo+28,"Después del ciclo","Semana "&amp;(INT(($D55-InicioCiclo)/7)+1)))))</f>
        <v/>
      </c>
      <c r="F55" s="61">
        <f>IF($N55="","",IF($P55&gt;0,IF(1&lt;=SemanaActual,INDEX('Cronograma R. Operacional'!$AH$5:$AH$1000,$N55),""),IF(INDEX('Cronograma R. Operacional'!$I$5:$I$1000,$N55)="","",INDEX('Cronograma R. Operacional'!$I$5:$I$1000,$N55))))</f>
        <v/>
      </c>
      <c r="G55" s="61">
        <f>IF($N55="","",IF($P55&gt;0,IF(2&lt;=SemanaActual,INDEX('Cronograma R. Operacional'!$AI$5:$AI$1000,$N55),""),IF(INDEX('Cronograma R. Operacional'!$J$5:$J$1000,$N55)="","",INDEX('Cronograma R. Operacional'!$J$5:$J$1000,$N55))))</f>
        <v/>
      </c>
      <c r="H55" s="61">
        <f>IF($N55="","",IF($P55&gt;0,IF(3&lt;=SemanaActual,INDEX('Cronograma R. Operacional'!$AJ$5:$AJ$1000,$N55),""),IF(INDEX('Cronograma R. Operacional'!$K$5:$K$1000,$N55)="","",INDEX('Cronograma R. Operacional'!$K$5:$K$1000,$N55))))</f>
        <v/>
      </c>
      <c r="I55" s="61">
        <f>IF($N55="","",IF($P55&gt;0,IF(4&lt;=SemanaActual,INDEX('Cronograma R. Operacional'!$AK$5:$AK$1000,$N55),""),IF(INDEX('Cronograma R. Operacional'!$L$5:$L$1000,$N55)="","",INDEX('Cronograma R. Operacional'!$L$5:$L$1000,$N55))))</f>
        <v/>
      </c>
      <c r="J55" s="61">
        <f>IF($N55="","",INDEX('Cronograma R. Operacional'!$M$5:$M$1000,$N55))</f>
        <v/>
      </c>
      <c r="K55" s="56">
        <f>IF($N55="","",IF(N($J55)&gt;=1,"Completado",IF(AND(ISNUMBER($D55),$D55&lt;FechaRef),"Vencida",IF(N($J55)&gt;0,"En curso","Pendiente"))))</f>
        <v/>
      </c>
      <c r="L55" s="56">
        <f>IF($N55="","",INDEX('Cronograma R. Operacional'!$O$5:$O$1000,$N55)&amp;"")</f>
        <v/>
      </c>
      <c r="M55" s="62">
        <f>IF($N55="","",INDEX('Cronograma R. Operacional'!$Q$5:$Q$1000,$N55)&amp;"")</f>
        <v/>
      </c>
      <c r="N55">
        <f>IFERROR(MATCH(ROW()-4,rOrden_RO,0),"")</f>
        <v/>
      </c>
      <c r="O55">
        <f>IF($N55="","",INDEX('Cronograma R. Operacional'!$V$5:$V$1000,$N55))</f>
        <v/>
      </c>
      <c r="P55">
        <f>IF($N55="","",N(INDEX('Cronograma R. Operacional'!$W$5:$W$1000,$N55)))</f>
        <v/>
      </c>
      <c r="Q55">
        <f>IF(OR(LEFT($L55,7)="Vencida",LEFT($L55,5)="Vence"),SUMPRODUCT(--(LEFT($L$5:$L55,7)="Vencida"))+SUMPRODUCT(--(LEFT($L$5:$L55,5)="Vence")),"")</f>
        <v/>
      </c>
    </row>
    <row r="56">
      <c r="A56" s="56">
        <f>IF($N56="","",INDEX('Cronograma R. Operacional'!$A$5:$A$1000,$N56))</f>
        <v/>
      </c>
      <c r="B56" s="62">
        <f>IF($N56="","",IF($O56="Sub","      ↳  "&amp;INDEX('Cronograma R. Operacional'!$C$5:$C$1000,$N56),INDEX('Cronograma R. Operacional'!$C$5:$C$1000,$N56)&amp;""))</f>
        <v/>
      </c>
      <c r="C56" s="79">
        <f>IF($N56="","",IF(INDEX('Cronograma R. Operacional'!$AR$5:$AR$1000,$N56)="","",INDEX('Cronograma R. Operacional'!$AR$5:$AR$1000,$N56)))</f>
        <v/>
      </c>
      <c r="D56" s="79">
        <f>IF($N56="","",IF(INDEX('Cronograma R. Operacional'!$AS$5:$AS$1000,$N56)="","",INDEX('Cronograma R. Operacional'!$AS$5:$AS$1000,$N56)))</f>
        <v/>
      </c>
      <c r="E56" s="56">
        <f>IF($N56="","",IF(NOT(ISNUMBER($D56)),"",IF($D56&lt;InicioCiclo,"Antes del ciclo",IF($D56&gt;=InicioCiclo+28,"Después del ciclo","Semana "&amp;(INT(($D56-InicioCiclo)/7)+1)))))</f>
        <v/>
      </c>
      <c r="F56" s="61">
        <f>IF($N56="","",IF($P56&gt;0,IF(1&lt;=SemanaActual,INDEX('Cronograma R. Operacional'!$AH$5:$AH$1000,$N56),""),IF(INDEX('Cronograma R. Operacional'!$I$5:$I$1000,$N56)="","",INDEX('Cronograma R. Operacional'!$I$5:$I$1000,$N56))))</f>
        <v/>
      </c>
      <c r="G56" s="61">
        <f>IF($N56="","",IF($P56&gt;0,IF(2&lt;=SemanaActual,INDEX('Cronograma R. Operacional'!$AI$5:$AI$1000,$N56),""),IF(INDEX('Cronograma R. Operacional'!$J$5:$J$1000,$N56)="","",INDEX('Cronograma R. Operacional'!$J$5:$J$1000,$N56))))</f>
        <v/>
      </c>
      <c r="H56" s="61">
        <f>IF($N56="","",IF($P56&gt;0,IF(3&lt;=SemanaActual,INDEX('Cronograma R. Operacional'!$AJ$5:$AJ$1000,$N56),""),IF(INDEX('Cronograma R. Operacional'!$K$5:$K$1000,$N56)="","",INDEX('Cronograma R. Operacional'!$K$5:$K$1000,$N56))))</f>
        <v/>
      </c>
      <c r="I56" s="61">
        <f>IF($N56="","",IF($P56&gt;0,IF(4&lt;=SemanaActual,INDEX('Cronograma R. Operacional'!$AK$5:$AK$1000,$N56),""),IF(INDEX('Cronograma R. Operacional'!$L$5:$L$1000,$N56)="","",INDEX('Cronograma R. Operacional'!$L$5:$L$1000,$N56))))</f>
        <v/>
      </c>
      <c r="J56" s="61">
        <f>IF($N56="","",INDEX('Cronograma R. Operacional'!$M$5:$M$1000,$N56))</f>
        <v/>
      </c>
      <c r="K56" s="56">
        <f>IF($N56="","",IF(N($J56)&gt;=1,"Completado",IF(AND(ISNUMBER($D56),$D56&lt;FechaRef),"Vencida",IF(N($J56)&gt;0,"En curso","Pendiente"))))</f>
        <v/>
      </c>
      <c r="L56" s="56">
        <f>IF($N56="","",INDEX('Cronograma R. Operacional'!$O$5:$O$1000,$N56)&amp;"")</f>
        <v/>
      </c>
      <c r="M56" s="62">
        <f>IF($N56="","",INDEX('Cronograma R. Operacional'!$Q$5:$Q$1000,$N56)&amp;"")</f>
        <v/>
      </c>
      <c r="N56">
        <f>IFERROR(MATCH(ROW()-4,rOrden_RO,0),"")</f>
        <v/>
      </c>
      <c r="O56">
        <f>IF($N56="","",INDEX('Cronograma R. Operacional'!$V$5:$V$1000,$N56))</f>
        <v/>
      </c>
      <c r="P56">
        <f>IF($N56="","",N(INDEX('Cronograma R. Operacional'!$W$5:$W$1000,$N56)))</f>
        <v/>
      </c>
      <c r="Q56">
        <f>IF(OR(LEFT($L56,7)="Vencida",LEFT($L56,5)="Vence"),SUMPRODUCT(--(LEFT($L$5:$L56,7)="Vencida"))+SUMPRODUCT(--(LEFT($L$5:$L56,5)="Vence")),"")</f>
        <v/>
      </c>
    </row>
    <row r="57">
      <c r="A57" s="56">
        <f>IF($N57="","",INDEX('Cronograma R. Operacional'!$A$5:$A$1000,$N57))</f>
        <v/>
      </c>
      <c r="B57" s="62">
        <f>IF($N57="","",IF($O57="Sub","      ↳  "&amp;INDEX('Cronograma R. Operacional'!$C$5:$C$1000,$N57),INDEX('Cronograma R. Operacional'!$C$5:$C$1000,$N57)&amp;""))</f>
        <v/>
      </c>
      <c r="C57" s="79">
        <f>IF($N57="","",IF(INDEX('Cronograma R. Operacional'!$AR$5:$AR$1000,$N57)="","",INDEX('Cronograma R. Operacional'!$AR$5:$AR$1000,$N57)))</f>
        <v/>
      </c>
      <c r="D57" s="79">
        <f>IF($N57="","",IF(INDEX('Cronograma R. Operacional'!$AS$5:$AS$1000,$N57)="","",INDEX('Cronograma R. Operacional'!$AS$5:$AS$1000,$N57)))</f>
        <v/>
      </c>
      <c r="E57" s="56">
        <f>IF($N57="","",IF(NOT(ISNUMBER($D57)),"",IF($D57&lt;InicioCiclo,"Antes del ciclo",IF($D57&gt;=InicioCiclo+28,"Después del ciclo","Semana "&amp;(INT(($D57-InicioCiclo)/7)+1)))))</f>
        <v/>
      </c>
      <c r="F57" s="61">
        <f>IF($N57="","",IF($P57&gt;0,IF(1&lt;=SemanaActual,INDEX('Cronograma R. Operacional'!$AH$5:$AH$1000,$N57),""),IF(INDEX('Cronograma R. Operacional'!$I$5:$I$1000,$N57)="","",INDEX('Cronograma R. Operacional'!$I$5:$I$1000,$N57))))</f>
        <v/>
      </c>
      <c r="G57" s="61">
        <f>IF($N57="","",IF($P57&gt;0,IF(2&lt;=SemanaActual,INDEX('Cronograma R. Operacional'!$AI$5:$AI$1000,$N57),""),IF(INDEX('Cronograma R. Operacional'!$J$5:$J$1000,$N57)="","",INDEX('Cronograma R. Operacional'!$J$5:$J$1000,$N57))))</f>
        <v/>
      </c>
      <c r="H57" s="61">
        <f>IF($N57="","",IF($P57&gt;0,IF(3&lt;=SemanaActual,INDEX('Cronograma R. Operacional'!$AJ$5:$AJ$1000,$N57),""),IF(INDEX('Cronograma R. Operacional'!$K$5:$K$1000,$N57)="","",INDEX('Cronograma R. Operacional'!$K$5:$K$1000,$N57))))</f>
        <v/>
      </c>
      <c r="I57" s="61">
        <f>IF($N57="","",IF($P57&gt;0,IF(4&lt;=SemanaActual,INDEX('Cronograma R. Operacional'!$AK$5:$AK$1000,$N57),""),IF(INDEX('Cronograma R. Operacional'!$L$5:$L$1000,$N57)="","",INDEX('Cronograma R. Operacional'!$L$5:$L$1000,$N57))))</f>
        <v/>
      </c>
      <c r="J57" s="61">
        <f>IF($N57="","",INDEX('Cronograma R. Operacional'!$M$5:$M$1000,$N57))</f>
        <v/>
      </c>
      <c r="K57" s="56">
        <f>IF($N57="","",IF(N($J57)&gt;=1,"Completado",IF(AND(ISNUMBER($D57),$D57&lt;FechaRef),"Vencida",IF(N($J57)&gt;0,"En curso","Pendiente"))))</f>
        <v/>
      </c>
      <c r="L57" s="56">
        <f>IF($N57="","",INDEX('Cronograma R. Operacional'!$O$5:$O$1000,$N57)&amp;"")</f>
        <v/>
      </c>
      <c r="M57" s="62">
        <f>IF($N57="","",INDEX('Cronograma R. Operacional'!$Q$5:$Q$1000,$N57)&amp;"")</f>
        <v/>
      </c>
      <c r="N57">
        <f>IFERROR(MATCH(ROW()-4,rOrden_RO,0),"")</f>
        <v/>
      </c>
      <c r="O57">
        <f>IF($N57="","",INDEX('Cronograma R. Operacional'!$V$5:$V$1000,$N57))</f>
        <v/>
      </c>
      <c r="P57">
        <f>IF($N57="","",N(INDEX('Cronograma R. Operacional'!$W$5:$W$1000,$N57)))</f>
        <v/>
      </c>
      <c r="Q57">
        <f>IF(OR(LEFT($L57,7)="Vencida",LEFT($L57,5)="Vence"),SUMPRODUCT(--(LEFT($L$5:$L57,7)="Vencida"))+SUMPRODUCT(--(LEFT($L$5:$L57,5)="Vence")),"")</f>
        <v/>
      </c>
    </row>
    <row r="58">
      <c r="A58" s="56">
        <f>IF($N58="","",INDEX('Cronograma R. Operacional'!$A$5:$A$1000,$N58))</f>
        <v/>
      </c>
      <c r="B58" s="62">
        <f>IF($N58="","",IF($O58="Sub","      ↳  "&amp;INDEX('Cronograma R. Operacional'!$C$5:$C$1000,$N58),INDEX('Cronograma R. Operacional'!$C$5:$C$1000,$N58)&amp;""))</f>
        <v/>
      </c>
      <c r="C58" s="79">
        <f>IF($N58="","",IF(INDEX('Cronograma R. Operacional'!$AR$5:$AR$1000,$N58)="","",INDEX('Cronograma R. Operacional'!$AR$5:$AR$1000,$N58)))</f>
        <v/>
      </c>
      <c r="D58" s="79">
        <f>IF($N58="","",IF(INDEX('Cronograma R. Operacional'!$AS$5:$AS$1000,$N58)="","",INDEX('Cronograma R. Operacional'!$AS$5:$AS$1000,$N58)))</f>
        <v/>
      </c>
      <c r="E58" s="56">
        <f>IF($N58="","",IF(NOT(ISNUMBER($D58)),"",IF($D58&lt;InicioCiclo,"Antes del ciclo",IF($D58&gt;=InicioCiclo+28,"Después del ciclo","Semana "&amp;(INT(($D58-InicioCiclo)/7)+1)))))</f>
        <v/>
      </c>
      <c r="F58" s="61">
        <f>IF($N58="","",IF($P58&gt;0,IF(1&lt;=SemanaActual,INDEX('Cronograma R. Operacional'!$AH$5:$AH$1000,$N58),""),IF(INDEX('Cronograma R. Operacional'!$I$5:$I$1000,$N58)="","",INDEX('Cronograma R. Operacional'!$I$5:$I$1000,$N58))))</f>
        <v/>
      </c>
      <c r="G58" s="61">
        <f>IF($N58="","",IF($P58&gt;0,IF(2&lt;=SemanaActual,INDEX('Cronograma R. Operacional'!$AI$5:$AI$1000,$N58),""),IF(INDEX('Cronograma R. Operacional'!$J$5:$J$1000,$N58)="","",INDEX('Cronograma R. Operacional'!$J$5:$J$1000,$N58))))</f>
        <v/>
      </c>
      <c r="H58" s="61">
        <f>IF($N58="","",IF($P58&gt;0,IF(3&lt;=SemanaActual,INDEX('Cronograma R. Operacional'!$AJ$5:$AJ$1000,$N58),""),IF(INDEX('Cronograma R. Operacional'!$K$5:$K$1000,$N58)="","",INDEX('Cronograma R. Operacional'!$K$5:$K$1000,$N58))))</f>
        <v/>
      </c>
      <c r="I58" s="61">
        <f>IF($N58="","",IF($P58&gt;0,IF(4&lt;=SemanaActual,INDEX('Cronograma R. Operacional'!$AK$5:$AK$1000,$N58),""),IF(INDEX('Cronograma R. Operacional'!$L$5:$L$1000,$N58)="","",INDEX('Cronograma R. Operacional'!$L$5:$L$1000,$N58))))</f>
        <v/>
      </c>
      <c r="J58" s="61">
        <f>IF($N58="","",INDEX('Cronograma R. Operacional'!$M$5:$M$1000,$N58))</f>
        <v/>
      </c>
      <c r="K58" s="56">
        <f>IF($N58="","",IF(N($J58)&gt;=1,"Completado",IF(AND(ISNUMBER($D58),$D58&lt;FechaRef),"Vencida",IF(N($J58)&gt;0,"En curso","Pendiente"))))</f>
        <v/>
      </c>
      <c r="L58" s="56">
        <f>IF($N58="","",INDEX('Cronograma R. Operacional'!$O$5:$O$1000,$N58)&amp;"")</f>
        <v/>
      </c>
      <c r="M58" s="62">
        <f>IF($N58="","",INDEX('Cronograma R. Operacional'!$Q$5:$Q$1000,$N58)&amp;"")</f>
        <v/>
      </c>
      <c r="N58">
        <f>IFERROR(MATCH(ROW()-4,rOrden_RO,0),"")</f>
        <v/>
      </c>
      <c r="O58">
        <f>IF($N58="","",INDEX('Cronograma R. Operacional'!$V$5:$V$1000,$N58))</f>
        <v/>
      </c>
      <c r="P58">
        <f>IF($N58="","",N(INDEX('Cronograma R. Operacional'!$W$5:$W$1000,$N58)))</f>
        <v/>
      </c>
      <c r="Q58">
        <f>IF(OR(LEFT($L58,7)="Vencida",LEFT($L58,5)="Vence"),SUMPRODUCT(--(LEFT($L$5:$L58,7)="Vencida"))+SUMPRODUCT(--(LEFT($L$5:$L58,5)="Vence")),"")</f>
        <v/>
      </c>
    </row>
    <row r="59">
      <c r="A59" s="56">
        <f>IF($N59="","",INDEX('Cronograma R. Operacional'!$A$5:$A$1000,$N59))</f>
        <v/>
      </c>
      <c r="B59" s="62">
        <f>IF($N59="","",IF($O59="Sub","      ↳  "&amp;INDEX('Cronograma R. Operacional'!$C$5:$C$1000,$N59),INDEX('Cronograma R. Operacional'!$C$5:$C$1000,$N59)&amp;""))</f>
        <v/>
      </c>
      <c r="C59" s="79">
        <f>IF($N59="","",IF(INDEX('Cronograma R. Operacional'!$AR$5:$AR$1000,$N59)="","",INDEX('Cronograma R. Operacional'!$AR$5:$AR$1000,$N59)))</f>
        <v/>
      </c>
      <c r="D59" s="79">
        <f>IF($N59="","",IF(INDEX('Cronograma R. Operacional'!$AS$5:$AS$1000,$N59)="","",INDEX('Cronograma R. Operacional'!$AS$5:$AS$1000,$N59)))</f>
        <v/>
      </c>
      <c r="E59" s="56">
        <f>IF($N59="","",IF(NOT(ISNUMBER($D59)),"",IF($D59&lt;InicioCiclo,"Antes del ciclo",IF($D59&gt;=InicioCiclo+28,"Después del ciclo","Semana "&amp;(INT(($D59-InicioCiclo)/7)+1)))))</f>
        <v/>
      </c>
      <c r="F59" s="61">
        <f>IF($N59="","",IF($P59&gt;0,IF(1&lt;=SemanaActual,INDEX('Cronograma R. Operacional'!$AH$5:$AH$1000,$N59),""),IF(INDEX('Cronograma R. Operacional'!$I$5:$I$1000,$N59)="","",INDEX('Cronograma R. Operacional'!$I$5:$I$1000,$N59))))</f>
        <v/>
      </c>
      <c r="G59" s="61">
        <f>IF($N59="","",IF($P59&gt;0,IF(2&lt;=SemanaActual,INDEX('Cronograma R. Operacional'!$AI$5:$AI$1000,$N59),""),IF(INDEX('Cronograma R. Operacional'!$J$5:$J$1000,$N59)="","",INDEX('Cronograma R. Operacional'!$J$5:$J$1000,$N59))))</f>
        <v/>
      </c>
      <c r="H59" s="61">
        <f>IF($N59="","",IF($P59&gt;0,IF(3&lt;=SemanaActual,INDEX('Cronograma R. Operacional'!$AJ$5:$AJ$1000,$N59),""),IF(INDEX('Cronograma R. Operacional'!$K$5:$K$1000,$N59)="","",INDEX('Cronograma R. Operacional'!$K$5:$K$1000,$N59))))</f>
        <v/>
      </c>
      <c r="I59" s="61">
        <f>IF($N59="","",IF($P59&gt;0,IF(4&lt;=SemanaActual,INDEX('Cronograma R. Operacional'!$AK$5:$AK$1000,$N59),""),IF(INDEX('Cronograma R. Operacional'!$L$5:$L$1000,$N59)="","",INDEX('Cronograma R. Operacional'!$L$5:$L$1000,$N59))))</f>
        <v/>
      </c>
      <c r="J59" s="61">
        <f>IF($N59="","",INDEX('Cronograma R. Operacional'!$M$5:$M$1000,$N59))</f>
        <v/>
      </c>
      <c r="K59" s="56">
        <f>IF($N59="","",IF(N($J59)&gt;=1,"Completado",IF(AND(ISNUMBER($D59),$D59&lt;FechaRef),"Vencida",IF(N($J59)&gt;0,"En curso","Pendiente"))))</f>
        <v/>
      </c>
      <c r="L59" s="56">
        <f>IF($N59="","",INDEX('Cronograma R. Operacional'!$O$5:$O$1000,$N59)&amp;"")</f>
        <v/>
      </c>
      <c r="M59" s="62">
        <f>IF($N59="","",INDEX('Cronograma R. Operacional'!$Q$5:$Q$1000,$N59)&amp;"")</f>
        <v/>
      </c>
      <c r="N59">
        <f>IFERROR(MATCH(ROW()-4,rOrden_RO,0),"")</f>
        <v/>
      </c>
      <c r="O59">
        <f>IF($N59="","",INDEX('Cronograma R. Operacional'!$V$5:$V$1000,$N59))</f>
        <v/>
      </c>
      <c r="P59">
        <f>IF($N59="","",N(INDEX('Cronograma R. Operacional'!$W$5:$W$1000,$N59)))</f>
        <v/>
      </c>
      <c r="Q59">
        <f>IF(OR(LEFT($L59,7)="Vencida",LEFT($L59,5)="Vence"),SUMPRODUCT(--(LEFT($L$5:$L59,7)="Vencida"))+SUMPRODUCT(--(LEFT($L$5:$L59,5)="Vence")),"")</f>
        <v/>
      </c>
    </row>
    <row r="60">
      <c r="A60" s="56">
        <f>IF($N60="","",INDEX('Cronograma R. Operacional'!$A$5:$A$1000,$N60))</f>
        <v/>
      </c>
      <c r="B60" s="62">
        <f>IF($N60="","",IF($O60="Sub","      ↳  "&amp;INDEX('Cronograma R. Operacional'!$C$5:$C$1000,$N60),INDEX('Cronograma R. Operacional'!$C$5:$C$1000,$N60)&amp;""))</f>
        <v/>
      </c>
      <c r="C60" s="79">
        <f>IF($N60="","",IF(INDEX('Cronograma R. Operacional'!$AR$5:$AR$1000,$N60)="","",INDEX('Cronograma R. Operacional'!$AR$5:$AR$1000,$N60)))</f>
        <v/>
      </c>
      <c r="D60" s="79">
        <f>IF($N60="","",IF(INDEX('Cronograma R. Operacional'!$AS$5:$AS$1000,$N60)="","",INDEX('Cronograma R. Operacional'!$AS$5:$AS$1000,$N60)))</f>
        <v/>
      </c>
      <c r="E60" s="56">
        <f>IF($N60="","",IF(NOT(ISNUMBER($D60)),"",IF($D60&lt;InicioCiclo,"Antes del ciclo",IF($D60&gt;=InicioCiclo+28,"Después del ciclo","Semana "&amp;(INT(($D60-InicioCiclo)/7)+1)))))</f>
        <v/>
      </c>
      <c r="F60" s="61">
        <f>IF($N60="","",IF($P60&gt;0,IF(1&lt;=SemanaActual,INDEX('Cronograma R. Operacional'!$AH$5:$AH$1000,$N60),""),IF(INDEX('Cronograma R. Operacional'!$I$5:$I$1000,$N60)="","",INDEX('Cronograma R. Operacional'!$I$5:$I$1000,$N60))))</f>
        <v/>
      </c>
      <c r="G60" s="61">
        <f>IF($N60="","",IF($P60&gt;0,IF(2&lt;=SemanaActual,INDEX('Cronograma R. Operacional'!$AI$5:$AI$1000,$N60),""),IF(INDEX('Cronograma R. Operacional'!$J$5:$J$1000,$N60)="","",INDEX('Cronograma R. Operacional'!$J$5:$J$1000,$N60))))</f>
        <v/>
      </c>
      <c r="H60" s="61">
        <f>IF($N60="","",IF($P60&gt;0,IF(3&lt;=SemanaActual,INDEX('Cronograma R. Operacional'!$AJ$5:$AJ$1000,$N60),""),IF(INDEX('Cronograma R. Operacional'!$K$5:$K$1000,$N60)="","",INDEX('Cronograma R. Operacional'!$K$5:$K$1000,$N60))))</f>
        <v/>
      </c>
      <c r="I60" s="61">
        <f>IF($N60="","",IF($P60&gt;0,IF(4&lt;=SemanaActual,INDEX('Cronograma R. Operacional'!$AK$5:$AK$1000,$N60),""),IF(INDEX('Cronograma R. Operacional'!$L$5:$L$1000,$N60)="","",INDEX('Cronograma R. Operacional'!$L$5:$L$1000,$N60))))</f>
        <v/>
      </c>
      <c r="J60" s="61">
        <f>IF($N60="","",INDEX('Cronograma R. Operacional'!$M$5:$M$1000,$N60))</f>
        <v/>
      </c>
      <c r="K60" s="56">
        <f>IF($N60="","",IF(N($J60)&gt;=1,"Completado",IF(AND(ISNUMBER($D60),$D60&lt;FechaRef),"Vencida",IF(N($J60)&gt;0,"En curso","Pendiente"))))</f>
        <v/>
      </c>
      <c r="L60" s="56">
        <f>IF($N60="","",INDEX('Cronograma R. Operacional'!$O$5:$O$1000,$N60)&amp;"")</f>
        <v/>
      </c>
      <c r="M60" s="62">
        <f>IF($N60="","",INDEX('Cronograma R. Operacional'!$Q$5:$Q$1000,$N60)&amp;"")</f>
        <v/>
      </c>
      <c r="N60">
        <f>IFERROR(MATCH(ROW()-4,rOrden_RO,0),"")</f>
        <v/>
      </c>
      <c r="O60">
        <f>IF($N60="","",INDEX('Cronograma R. Operacional'!$V$5:$V$1000,$N60))</f>
        <v/>
      </c>
      <c r="P60">
        <f>IF($N60="","",N(INDEX('Cronograma R. Operacional'!$W$5:$W$1000,$N60)))</f>
        <v/>
      </c>
      <c r="Q60">
        <f>IF(OR(LEFT($L60,7)="Vencida",LEFT($L60,5)="Vence"),SUMPRODUCT(--(LEFT($L$5:$L60,7)="Vencida"))+SUMPRODUCT(--(LEFT($L$5:$L60,5)="Vence")),"")</f>
        <v/>
      </c>
    </row>
    <row r="61">
      <c r="A61" s="56">
        <f>IF($N61="","",INDEX('Cronograma R. Operacional'!$A$5:$A$1000,$N61))</f>
        <v/>
      </c>
      <c r="B61" s="62">
        <f>IF($N61="","",IF($O61="Sub","      ↳  "&amp;INDEX('Cronograma R. Operacional'!$C$5:$C$1000,$N61),INDEX('Cronograma R. Operacional'!$C$5:$C$1000,$N61)&amp;""))</f>
        <v/>
      </c>
      <c r="C61" s="79">
        <f>IF($N61="","",IF(INDEX('Cronograma R. Operacional'!$AR$5:$AR$1000,$N61)="","",INDEX('Cronograma R. Operacional'!$AR$5:$AR$1000,$N61)))</f>
        <v/>
      </c>
      <c r="D61" s="79">
        <f>IF($N61="","",IF(INDEX('Cronograma R. Operacional'!$AS$5:$AS$1000,$N61)="","",INDEX('Cronograma R. Operacional'!$AS$5:$AS$1000,$N61)))</f>
        <v/>
      </c>
      <c r="E61" s="56">
        <f>IF($N61="","",IF(NOT(ISNUMBER($D61)),"",IF($D61&lt;InicioCiclo,"Antes del ciclo",IF($D61&gt;=InicioCiclo+28,"Después del ciclo","Semana "&amp;(INT(($D61-InicioCiclo)/7)+1)))))</f>
        <v/>
      </c>
      <c r="F61" s="61">
        <f>IF($N61="","",IF($P61&gt;0,IF(1&lt;=SemanaActual,INDEX('Cronograma R. Operacional'!$AH$5:$AH$1000,$N61),""),IF(INDEX('Cronograma R. Operacional'!$I$5:$I$1000,$N61)="","",INDEX('Cronograma R. Operacional'!$I$5:$I$1000,$N61))))</f>
        <v/>
      </c>
      <c r="G61" s="61">
        <f>IF($N61="","",IF($P61&gt;0,IF(2&lt;=SemanaActual,INDEX('Cronograma R. Operacional'!$AI$5:$AI$1000,$N61),""),IF(INDEX('Cronograma R. Operacional'!$J$5:$J$1000,$N61)="","",INDEX('Cronograma R. Operacional'!$J$5:$J$1000,$N61))))</f>
        <v/>
      </c>
      <c r="H61" s="61">
        <f>IF($N61="","",IF($P61&gt;0,IF(3&lt;=SemanaActual,INDEX('Cronograma R. Operacional'!$AJ$5:$AJ$1000,$N61),""),IF(INDEX('Cronograma R. Operacional'!$K$5:$K$1000,$N61)="","",INDEX('Cronograma R. Operacional'!$K$5:$K$1000,$N61))))</f>
        <v/>
      </c>
      <c r="I61" s="61">
        <f>IF($N61="","",IF($P61&gt;0,IF(4&lt;=SemanaActual,INDEX('Cronograma R. Operacional'!$AK$5:$AK$1000,$N61),""),IF(INDEX('Cronograma R. Operacional'!$L$5:$L$1000,$N61)="","",INDEX('Cronograma R. Operacional'!$L$5:$L$1000,$N61))))</f>
        <v/>
      </c>
      <c r="J61" s="61">
        <f>IF($N61="","",INDEX('Cronograma R. Operacional'!$M$5:$M$1000,$N61))</f>
        <v/>
      </c>
      <c r="K61" s="56">
        <f>IF($N61="","",IF(N($J61)&gt;=1,"Completado",IF(AND(ISNUMBER($D61),$D61&lt;FechaRef),"Vencida",IF(N($J61)&gt;0,"En curso","Pendiente"))))</f>
        <v/>
      </c>
      <c r="L61" s="56">
        <f>IF($N61="","",INDEX('Cronograma R. Operacional'!$O$5:$O$1000,$N61)&amp;"")</f>
        <v/>
      </c>
      <c r="M61" s="62">
        <f>IF($N61="","",INDEX('Cronograma R. Operacional'!$Q$5:$Q$1000,$N61)&amp;"")</f>
        <v/>
      </c>
      <c r="N61">
        <f>IFERROR(MATCH(ROW()-4,rOrden_RO,0),"")</f>
        <v/>
      </c>
      <c r="O61">
        <f>IF($N61="","",INDEX('Cronograma R. Operacional'!$V$5:$V$1000,$N61))</f>
        <v/>
      </c>
      <c r="P61">
        <f>IF($N61="","",N(INDEX('Cronograma R. Operacional'!$W$5:$W$1000,$N61)))</f>
        <v/>
      </c>
      <c r="Q61">
        <f>IF(OR(LEFT($L61,7)="Vencida",LEFT($L61,5)="Vence"),SUMPRODUCT(--(LEFT($L$5:$L61,7)="Vencida"))+SUMPRODUCT(--(LEFT($L$5:$L61,5)="Vence")),"")</f>
        <v/>
      </c>
    </row>
    <row r="62">
      <c r="A62" s="56">
        <f>IF($N62="","",INDEX('Cronograma R. Operacional'!$A$5:$A$1000,$N62))</f>
        <v/>
      </c>
      <c r="B62" s="62">
        <f>IF($N62="","",IF($O62="Sub","      ↳  "&amp;INDEX('Cronograma R. Operacional'!$C$5:$C$1000,$N62),INDEX('Cronograma R. Operacional'!$C$5:$C$1000,$N62)&amp;""))</f>
        <v/>
      </c>
      <c r="C62" s="79">
        <f>IF($N62="","",IF(INDEX('Cronograma R. Operacional'!$AR$5:$AR$1000,$N62)="","",INDEX('Cronograma R. Operacional'!$AR$5:$AR$1000,$N62)))</f>
        <v/>
      </c>
      <c r="D62" s="79">
        <f>IF($N62="","",IF(INDEX('Cronograma R. Operacional'!$AS$5:$AS$1000,$N62)="","",INDEX('Cronograma R. Operacional'!$AS$5:$AS$1000,$N62)))</f>
        <v/>
      </c>
      <c r="E62" s="56">
        <f>IF($N62="","",IF(NOT(ISNUMBER($D62)),"",IF($D62&lt;InicioCiclo,"Antes del ciclo",IF($D62&gt;=InicioCiclo+28,"Después del ciclo","Semana "&amp;(INT(($D62-InicioCiclo)/7)+1)))))</f>
        <v/>
      </c>
      <c r="F62" s="61">
        <f>IF($N62="","",IF($P62&gt;0,IF(1&lt;=SemanaActual,INDEX('Cronograma R. Operacional'!$AH$5:$AH$1000,$N62),""),IF(INDEX('Cronograma R. Operacional'!$I$5:$I$1000,$N62)="","",INDEX('Cronograma R. Operacional'!$I$5:$I$1000,$N62))))</f>
        <v/>
      </c>
      <c r="G62" s="61">
        <f>IF($N62="","",IF($P62&gt;0,IF(2&lt;=SemanaActual,INDEX('Cronograma R. Operacional'!$AI$5:$AI$1000,$N62),""),IF(INDEX('Cronograma R. Operacional'!$J$5:$J$1000,$N62)="","",INDEX('Cronograma R. Operacional'!$J$5:$J$1000,$N62))))</f>
        <v/>
      </c>
      <c r="H62" s="61">
        <f>IF($N62="","",IF($P62&gt;0,IF(3&lt;=SemanaActual,INDEX('Cronograma R. Operacional'!$AJ$5:$AJ$1000,$N62),""),IF(INDEX('Cronograma R. Operacional'!$K$5:$K$1000,$N62)="","",INDEX('Cronograma R. Operacional'!$K$5:$K$1000,$N62))))</f>
        <v/>
      </c>
      <c r="I62" s="61">
        <f>IF($N62="","",IF($P62&gt;0,IF(4&lt;=SemanaActual,INDEX('Cronograma R. Operacional'!$AK$5:$AK$1000,$N62),""),IF(INDEX('Cronograma R. Operacional'!$L$5:$L$1000,$N62)="","",INDEX('Cronograma R. Operacional'!$L$5:$L$1000,$N62))))</f>
        <v/>
      </c>
      <c r="J62" s="61">
        <f>IF($N62="","",INDEX('Cronograma R. Operacional'!$M$5:$M$1000,$N62))</f>
        <v/>
      </c>
      <c r="K62" s="56">
        <f>IF($N62="","",IF(N($J62)&gt;=1,"Completado",IF(AND(ISNUMBER($D62),$D62&lt;FechaRef),"Vencida",IF(N($J62)&gt;0,"En curso","Pendiente"))))</f>
        <v/>
      </c>
      <c r="L62" s="56">
        <f>IF($N62="","",INDEX('Cronograma R. Operacional'!$O$5:$O$1000,$N62)&amp;"")</f>
        <v/>
      </c>
      <c r="M62" s="62">
        <f>IF($N62="","",INDEX('Cronograma R. Operacional'!$Q$5:$Q$1000,$N62)&amp;"")</f>
        <v/>
      </c>
      <c r="N62">
        <f>IFERROR(MATCH(ROW()-4,rOrden_RO,0),"")</f>
        <v/>
      </c>
      <c r="O62">
        <f>IF($N62="","",INDEX('Cronograma R. Operacional'!$V$5:$V$1000,$N62))</f>
        <v/>
      </c>
      <c r="P62">
        <f>IF($N62="","",N(INDEX('Cronograma R. Operacional'!$W$5:$W$1000,$N62)))</f>
        <v/>
      </c>
      <c r="Q62">
        <f>IF(OR(LEFT($L62,7)="Vencida",LEFT($L62,5)="Vence"),SUMPRODUCT(--(LEFT($L$5:$L62,7)="Vencida"))+SUMPRODUCT(--(LEFT($L$5:$L62,5)="Vence")),"")</f>
        <v/>
      </c>
    </row>
    <row r="63">
      <c r="A63" s="56">
        <f>IF($N63="","",INDEX('Cronograma R. Operacional'!$A$5:$A$1000,$N63))</f>
        <v/>
      </c>
      <c r="B63" s="62">
        <f>IF($N63="","",IF($O63="Sub","      ↳  "&amp;INDEX('Cronograma R. Operacional'!$C$5:$C$1000,$N63),INDEX('Cronograma R. Operacional'!$C$5:$C$1000,$N63)&amp;""))</f>
        <v/>
      </c>
      <c r="C63" s="79">
        <f>IF($N63="","",IF(INDEX('Cronograma R. Operacional'!$AR$5:$AR$1000,$N63)="","",INDEX('Cronograma R. Operacional'!$AR$5:$AR$1000,$N63)))</f>
        <v/>
      </c>
      <c r="D63" s="79">
        <f>IF($N63="","",IF(INDEX('Cronograma R. Operacional'!$AS$5:$AS$1000,$N63)="","",INDEX('Cronograma R. Operacional'!$AS$5:$AS$1000,$N63)))</f>
        <v/>
      </c>
      <c r="E63" s="56">
        <f>IF($N63="","",IF(NOT(ISNUMBER($D63)),"",IF($D63&lt;InicioCiclo,"Antes del ciclo",IF($D63&gt;=InicioCiclo+28,"Después del ciclo","Semana "&amp;(INT(($D63-InicioCiclo)/7)+1)))))</f>
        <v/>
      </c>
      <c r="F63" s="61">
        <f>IF($N63="","",IF($P63&gt;0,IF(1&lt;=SemanaActual,INDEX('Cronograma R. Operacional'!$AH$5:$AH$1000,$N63),""),IF(INDEX('Cronograma R. Operacional'!$I$5:$I$1000,$N63)="","",INDEX('Cronograma R. Operacional'!$I$5:$I$1000,$N63))))</f>
        <v/>
      </c>
      <c r="G63" s="61">
        <f>IF($N63="","",IF($P63&gt;0,IF(2&lt;=SemanaActual,INDEX('Cronograma R. Operacional'!$AI$5:$AI$1000,$N63),""),IF(INDEX('Cronograma R. Operacional'!$J$5:$J$1000,$N63)="","",INDEX('Cronograma R. Operacional'!$J$5:$J$1000,$N63))))</f>
        <v/>
      </c>
      <c r="H63" s="61">
        <f>IF($N63="","",IF($P63&gt;0,IF(3&lt;=SemanaActual,INDEX('Cronograma R. Operacional'!$AJ$5:$AJ$1000,$N63),""),IF(INDEX('Cronograma R. Operacional'!$K$5:$K$1000,$N63)="","",INDEX('Cronograma R. Operacional'!$K$5:$K$1000,$N63))))</f>
        <v/>
      </c>
      <c r="I63" s="61">
        <f>IF($N63="","",IF($P63&gt;0,IF(4&lt;=SemanaActual,INDEX('Cronograma R. Operacional'!$AK$5:$AK$1000,$N63),""),IF(INDEX('Cronograma R. Operacional'!$L$5:$L$1000,$N63)="","",INDEX('Cronograma R. Operacional'!$L$5:$L$1000,$N63))))</f>
        <v/>
      </c>
      <c r="J63" s="61">
        <f>IF($N63="","",INDEX('Cronograma R. Operacional'!$M$5:$M$1000,$N63))</f>
        <v/>
      </c>
      <c r="K63" s="56">
        <f>IF($N63="","",IF(N($J63)&gt;=1,"Completado",IF(AND(ISNUMBER($D63),$D63&lt;FechaRef),"Vencida",IF(N($J63)&gt;0,"En curso","Pendiente"))))</f>
        <v/>
      </c>
      <c r="L63" s="56">
        <f>IF($N63="","",INDEX('Cronograma R. Operacional'!$O$5:$O$1000,$N63)&amp;"")</f>
        <v/>
      </c>
      <c r="M63" s="62">
        <f>IF($N63="","",INDEX('Cronograma R. Operacional'!$Q$5:$Q$1000,$N63)&amp;"")</f>
        <v/>
      </c>
      <c r="N63">
        <f>IFERROR(MATCH(ROW()-4,rOrden_RO,0),"")</f>
        <v/>
      </c>
      <c r="O63">
        <f>IF($N63="","",INDEX('Cronograma R. Operacional'!$V$5:$V$1000,$N63))</f>
        <v/>
      </c>
      <c r="P63">
        <f>IF($N63="","",N(INDEX('Cronograma R. Operacional'!$W$5:$W$1000,$N63)))</f>
        <v/>
      </c>
      <c r="Q63">
        <f>IF(OR(LEFT($L63,7)="Vencida",LEFT($L63,5)="Vence"),SUMPRODUCT(--(LEFT($L$5:$L63,7)="Vencida"))+SUMPRODUCT(--(LEFT($L$5:$L63,5)="Vence")),"")</f>
        <v/>
      </c>
    </row>
    <row r="64">
      <c r="A64" s="56">
        <f>IF($N64="","",INDEX('Cronograma R. Operacional'!$A$5:$A$1000,$N64))</f>
        <v/>
      </c>
      <c r="B64" s="62">
        <f>IF($N64="","",IF($O64="Sub","      ↳  "&amp;INDEX('Cronograma R. Operacional'!$C$5:$C$1000,$N64),INDEX('Cronograma R. Operacional'!$C$5:$C$1000,$N64)&amp;""))</f>
        <v/>
      </c>
      <c r="C64" s="79">
        <f>IF($N64="","",IF(INDEX('Cronograma R. Operacional'!$AR$5:$AR$1000,$N64)="","",INDEX('Cronograma R. Operacional'!$AR$5:$AR$1000,$N64)))</f>
        <v/>
      </c>
      <c r="D64" s="79">
        <f>IF($N64="","",IF(INDEX('Cronograma R. Operacional'!$AS$5:$AS$1000,$N64)="","",INDEX('Cronograma R. Operacional'!$AS$5:$AS$1000,$N64)))</f>
        <v/>
      </c>
      <c r="E64" s="56">
        <f>IF($N64="","",IF(NOT(ISNUMBER($D64)),"",IF($D64&lt;InicioCiclo,"Antes del ciclo",IF($D64&gt;=InicioCiclo+28,"Después del ciclo","Semana "&amp;(INT(($D64-InicioCiclo)/7)+1)))))</f>
        <v/>
      </c>
      <c r="F64" s="61">
        <f>IF($N64="","",IF($P64&gt;0,IF(1&lt;=SemanaActual,INDEX('Cronograma R. Operacional'!$AH$5:$AH$1000,$N64),""),IF(INDEX('Cronograma R. Operacional'!$I$5:$I$1000,$N64)="","",INDEX('Cronograma R. Operacional'!$I$5:$I$1000,$N64))))</f>
        <v/>
      </c>
      <c r="G64" s="61">
        <f>IF($N64="","",IF($P64&gt;0,IF(2&lt;=SemanaActual,INDEX('Cronograma R. Operacional'!$AI$5:$AI$1000,$N64),""),IF(INDEX('Cronograma R. Operacional'!$J$5:$J$1000,$N64)="","",INDEX('Cronograma R. Operacional'!$J$5:$J$1000,$N64))))</f>
        <v/>
      </c>
      <c r="H64" s="61">
        <f>IF($N64="","",IF($P64&gt;0,IF(3&lt;=SemanaActual,INDEX('Cronograma R. Operacional'!$AJ$5:$AJ$1000,$N64),""),IF(INDEX('Cronograma R. Operacional'!$K$5:$K$1000,$N64)="","",INDEX('Cronograma R. Operacional'!$K$5:$K$1000,$N64))))</f>
        <v/>
      </c>
      <c r="I64" s="61">
        <f>IF($N64="","",IF($P64&gt;0,IF(4&lt;=SemanaActual,INDEX('Cronograma R. Operacional'!$AK$5:$AK$1000,$N64),""),IF(INDEX('Cronograma R. Operacional'!$L$5:$L$1000,$N64)="","",INDEX('Cronograma R. Operacional'!$L$5:$L$1000,$N64))))</f>
        <v/>
      </c>
      <c r="J64" s="61">
        <f>IF($N64="","",INDEX('Cronograma R. Operacional'!$M$5:$M$1000,$N64))</f>
        <v/>
      </c>
      <c r="K64" s="56">
        <f>IF($N64="","",IF(N($J64)&gt;=1,"Completado",IF(AND(ISNUMBER($D64),$D64&lt;FechaRef),"Vencida",IF(N($J64)&gt;0,"En curso","Pendiente"))))</f>
        <v/>
      </c>
      <c r="L64" s="56">
        <f>IF($N64="","",INDEX('Cronograma R. Operacional'!$O$5:$O$1000,$N64)&amp;"")</f>
        <v/>
      </c>
      <c r="M64" s="62">
        <f>IF($N64="","",INDEX('Cronograma R. Operacional'!$Q$5:$Q$1000,$N64)&amp;"")</f>
        <v/>
      </c>
      <c r="N64">
        <f>IFERROR(MATCH(ROW()-4,rOrden_RO,0),"")</f>
        <v/>
      </c>
      <c r="O64">
        <f>IF($N64="","",INDEX('Cronograma R. Operacional'!$V$5:$V$1000,$N64))</f>
        <v/>
      </c>
      <c r="P64">
        <f>IF($N64="","",N(INDEX('Cronograma R. Operacional'!$W$5:$W$1000,$N64)))</f>
        <v/>
      </c>
      <c r="Q64">
        <f>IF(OR(LEFT($L64,7)="Vencida",LEFT($L64,5)="Vence"),SUMPRODUCT(--(LEFT($L$5:$L64,7)="Vencida"))+SUMPRODUCT(--(LEFT($L$5:$L64,5)="Vence")),"")</f>
        <v/>
      </c>
    </row>
    <row r="65">
      <c r="A65" s="56">
        <f>IF($N65="","",INDEX('Cronograma R. Operacional'!$A$5:$A$1000,$N65))</f>
        <v/>
      </c>
      <c r="B65" s="62">
        <f>IF($N65="","",IF($O65="Sub","      ↳  "&amp;INDEX('Cronograma R. Operacional'!$C$5:$C$1000,$N65),INDEX('Cronograma R. Operacional'!$C$5:$C$1000,$N65)&amp;""))</f>
        <v/>
      </c>
      <c r="C65" s="79">
        <f>IF($N65="","",IF(INDEX('Cronograma R. Operacional'!$AR$5:$AR$1000,$N65)="","",INDEX('Cronograma R. Operacional'!$AR$5:$AR$1000,$N65)))</f>
        <v/>
      </c>
      <c r="D65" s="79">
        <f>IF($N65="","",IF(INDEX('Cronograma R. Operacional'!$AS$5:$AS$1000,$N65)="","",INDEX('Cronograma R. Operacional'!$AS$5:$AS$1000,$N65)))</f>
        <v/>
      </c>
      <c r="E65" s="56">
        <f>IF($N65="","",IF(NOT(ISNUMBER($D65)),"",IF($D65&lt;InicioCiclo,"Antes del ciclo",IF($D65&gt;=InicioCiclo+28,"Después del ciclo","Semana "&amp;(INT(($D65-InicioCiclo)/7)+1)))))</f>
        <v/>
      </c>
      <c r="F65" s="61">
        <f>IF($N65="","",IF($P65&gt;0,IF(1&lt;=SemanaActual,INDEX('Cronograma R. Operacional'!$AH$5:$AH$1000,$N65),""),IF(INDEX('Cronograma R. Operacional'!$I$5:$I$1000,$N65)="","",INDEX('Cronograma R. Operacional'!$I$5:$I$1000,$N65))))</f>
        <v/>
      </c>
      <c r="G65" s="61">
        <f>IF($N65="","",IF($P65&gt;0,IF(2&lt;=SemanaActual,INDEX('Cronograma R. Operacional'!$AI$5:$AI$1000,$N65),""),IF(INDEX('Cronograma R. Operacional'!$J$5:$J$1000,$N65)="","",INDEX('Cronograma R. Operacional'!$J$5:$J$1000,$N65))))</f>
        <v/>
      </c>
      <c r="H65" s="61">
        <f>IF($N65="","",IF($P65&gt;0,IF(3&lt;=SemanaActual,INDEX('Cronograma R. Operacional'!$AJ$5:$AJ$1000,$N65),""),IF(INDEX('Cronograma R. Operacional'!$K$5:$K$1000,$N65)="","",INDEX('Cronograma R. Operacional'!$K$5:$K$1000,$N65))))</f>
        <v/>
      </c>
      <c r="I65" s="61">
        <f>IF($N65="","",IF($P65&gt;0,IF(4&lt;=SemanaActual,INDEX('Cronograma R. Operacional'!$AK$5:$AK$1000,$N65),""),IF(INDEX('Cronograma R. Operacional'!$L$5:$L$1000,$N65)="","",INDEX('Cronograma R. Operacional'!$L$5:$L$1000,$N65))))</f>
        <v/>
      </c>
      <c r="J65" s="61">
        <f>IF($N65="","",INDEX('Cronograma R. Operacional'!$M$5:$M$1000,$N65))</f>
        <v/>
      </c>
      <c r="K65" s="56">
        <f>IF($N65="","",IF(N($J65)&gt;=1,"Completado",IF(AND(ISNUMBER($D65),$D65&lt;FechaRef),"Vencida",IF(N($J65)&gt;0,"En curso","Pendiente"))))</f>
        <v/>
      </c>
      <c r="L65" s="56">
        <f>IF($N65="","",INDEX('Cronograma R. Operacional'!$O$5:$O$1000,$N65)&amp;"")</f>
        <v/>
      </c>
      <c r="M65" s="62">
        <f>IF($N65="","",INDEX('Cronograma R. Operacional'!$Q$5:$Q$1000,$N65)&amp;"")</f>
        <v/>
      </c>
      <c r="N65">
        <f>IFERROR(MATCH(ROW()-4,rOrden_RO,0),"")</f>
        <v/>
      </c>
      <c r="O65">
        <f>IF($N65="","",INDEX('Cronograma R. Operacional'!$V$5:$V$1000,$N65))</f>
        <v/>
      </c>
      <c r="P65">
        <f>IF($N65="","",N(INDEX('Cronograma R. Operacional'!$W$5:$W$1000,$N65)))</f>
        <v/>
      </c>
      <c r="Q65">
        <f>IF(OR(LEFT($L65,7)="Vencida",LEFT($L65,5)="Vence"),SUMPRODUCT(--(LEFT($L$5:$L65,7)="Vencida"))+SUMPRODUCT(--(LEFT($L$5:$L65,5)="Vence")),"")</f>
        <v/>
      </c>
    </row>
    <row r="66">
      <c r="A66" s="56">
        <f>IF($N66="","",INDEX('Cronograma R. Operacional'!$A$5:$A$1000,$N66))</f>
        <v/>
      </c>
      <c r="B66" s="62">
        <f>IF($N66="","",IF($O66="Sub","      ↳  "&amp;INDEX('Cronograma R. Operacional'!$C$5:$C$1000,$N66),INDEX('Cronograma R. Operacional'!$C$5:$C$1000,$N66)&amp;""))</f>
        <v/>
      </c>
      <c r="C66" s="79">
        <f>IF($N66="","",IF(INDEX('Cronograma R. Operacional'!$AR$5:$AR$1000,$N66)="","",INDEX('Cronograma R. Operacional'!$AR$5:$AR$1000,$N66)))</f>
        <v/>
      </c>
      <c r="D66" s="79">
        <f>IF($N66="","",IF(INDEX('Cronograma R. Operacional'!$AS$5:$AS$1000,$N66)="","",INDEX('Cronograma R. Operacional'!$AS$5:$AS$1000,$N66)))</f>
        <v/>
      </c>
      <c r="E66" s="56">
        <f>IF($N66="","",IF(NOT(ISNUMBER($D66)),"",IF($D66&lt;InicioCiclo,"Antes del ciclo",IF($D66&gt;=InicioCiclo+28,"Después del ciclo","Semana "&amp;(INT(($D66-InicioCiclo)/7)+1)))))</f>
        <v/>
      </c>
      <c r="F66" s="61">
        <f>IF($N66="","",IF($P66&gt;0,IF(1&lt;=SemanaActual,INDEX('Cronograma R. Operacional'!$AH$5:$AH$1000,$N66),""),IF(INDEX('Cronograma R. Operacional'!$I$5:$I$1000,$N66)="","",INDEX('Cronograma R. Operacional'!$I$5:$I$1000,$N66))))</f>
        <v/>
      </c>
      <c r="G66" s="61">
        <f>IF($N66="","",IF($P66&gt;0,IF(2&lt;=SemanaActual,INDEX('Cronograma R. Operacional'!$AI$5:$AI$1000,$N66),""),IF(INDEX('Cronograma R. Operacional'!$J$5:$J$1000,$N66)="","",INDEX('Cronograma R. Operacional'!$J$5:$J$1000,$N66))))</f>
        <v/>
      </c>
      <c r="H66" s="61">
        <f>IF($N66="","",IF($P66&gt;0,IF(3&lt;=SemanaActual,INDEX('Cronograma R. Operacional'!$AJ$5:$AJ$1000,$N66),""),IF(INDEX('Cronograma R. Operacional'!$K$5:$K$1000,$N66)="","",INDEX('Cronograma R. Operacional'!$K$5:$K$1000,$N66))))</f>
        <v/>
      </c>
      <c r="I66" s="61">
        <f>IF($N66="","",IF($P66&gt;0,IF(4&lt;=SemanaActual,INDEX('Cronograma R. Operacional'!$AK$5:$AK$1000,$N66),""),IF(INDEX('Cronograma R. Operacional'!$L$5:$L$1000,$N66)="","",INDEX('Cronograma R. Operacional'!$L$5:$L$1000,$N66))))</f>
        <v/>
      </c>
      <c r="J66" s="61">
        <f>IF($N66="","",INDEX('Cronograma R. Operacional'!$M$5:$M$1000,$N66))</f>
        <v/>
      </c>
      <c r="K66" s="56">
        <f>IF($N66="","",IF(N($J66)&gt;=1,"Completado",IF(AND(ISNUMBER($D66),$D66&lt;FechaRef),"Vencida",IF(N($J66)&gt;0,"En curso","Pendiente"))))</f>
        <v/>
      </c>
      <c r="L66" s="56">
        <f>IF($N66="","",INDEX('Cronograma R. Operacional'!$O$5:$O$1000,$N66)&amp;"")</f>
        <v/>
      </c>
      <c r="M66" s="62">
        <f>IF($N66="","",INDEX('Cronograma R. Operacional'!$Q$5:$Q$1000,$N66)&amp;"")</f>
        <v/>
      </c>
      <c r="N66">
        <f>IFERROR(MATCH(ROW()-4,rOrden_RO,0),"")</f>
        <v/>
      </c>
      <c r="O66">
        <f>IF($N66="","",INDEX('Cronograma R. Operacional'!$V$5:$V$1000,$N66))</f>
        <v/>
      </c>
      <c r="P66">
        <f>IF($N66="","",N(INDEX('Cronograma R. Operacional'!$W$5:$W$1000,$N66)))</f>
        <v/>
      </c>
      <c r="Q66">
        <f>IF(OR(LEFT($L66,7)="Vencida",LEFT($L66,5)="Vence"),SUMPRODUCT(--(LEFT($L$5:$L66,7)="Vencida"))+SUMPRODUCT(--(LEFT($L$5:$L66,5)="Vence")),"")</f>
        <v/>
      </c>
    </row>
    <row r="67">
      <c r="A67" s="56">
        <f>IF($N67="","",INDEX('Cronograma R. Operacional'!$A$5:$A$1000,$N67))</f>
        <v/>
      </c>
      <c r="B67" s="62">
        <f>IF($N67="","",IF($O67="Sub","      ↳  "&amp;INDEX('Cronograma R. Operacional'!$C$5:$C$1000,$N67),INDEX('Cronograma R. Operacional'!$C$5:$C$1000,$N67)&amp;""))</f>
        <v/>
      </c>
      <c r="C67" s="79">
        <f>IF($N67="","",IF(INDEX('Cronograma R. Operacional'!$AR$5:$AR$1000,$N67)="","",INDEX('Cronograma R. Operacional'!$AR$5:$AR$1000,$N67)))</f>
        <v/>
      </c>
      <c r="D67" s="79">
        <f>IF($N67="","",IF(INDEX('Cronograma R. Operacional'!$AS$5:$AS$1000,$N67)="","",INDEX('Cronograma R. Operacional'!$AS$5:$AS$1000,$N67)))</f>
        <v/>
      </c>
      <c r="E67" s="56">
        <f>IF($N67="","",IF(NOT(ISNUMBER($D67)),"",IF($D67&lt;InicioCiclo,"Antes del ciclo",IF($D67&gt;=InicioCiclo+28,"Después del ciclo","Semana "&amp;(INT(($D67-InicioCiclo)/7)+1)))))</f>
        <v/>
      </c>
      <c r="F67" s="61">
        <f>IF($N67="","",IF($P67&gt;0,IF(1&lt;=SemanaActual,INDEX('Cronograma R. Operacional'!$AH$5:$AH$1000,$N67),""),IF(INDEX('Cronograma R. Operacional'!$I$5:$I$1000,$N67)="","",INDEX('Cronograma R. Operacional'!$I$5:$I$1000,$N67))))</f>
        <v/>
      </c>
      <c r="G67" s="61">
        <f>IF($N67="","",IF($P67&gt;0,IF(2&lt;=SemanaActual,INDEX('Cronograma R. Operacional'!$AI$5:$AI$1000,$N67),""),IF(INDEX('Cronograma R. Operacional'!$J$5:$J$1000,$N67)="","",INDEX('Cronograma R. Operacional'!$J$5:$J$1000,$N67))))</f>
        <v/>
      </c>
      <c r="H67" s="61">
        <f>IF($N67="","",IF($P67&gt;0,IF(3&lt;=SemanaActual,INDEX('Cronograma R. Operacional'!$AJ$5:$AJ$1000,$N67),""),IF(INDEX('Cronograma R. Operacional'!$K$5:$K$1000,$N67)="","",INDEX('Cronograma R. Operacional'!$K$5:$K$1000,$N67))))</f>
        <v/>
      </c>
      <c r="I67" s="61">
        <f>IF($N67="","",IF($P67&gt;0,IF(4&lt;=SemanaActual,INDEX('Cronograma R. Operacional'!$AK$5:$AK$1000,$N67),""),IF(INDEX('Cronograma R. Operacional'!$L$5:$L$1000,$N67)="","",INDEX('Cronograma R. Operacional'!$L$5:$L$1000,$N67))))</f>
        <v/>
      </c>
      <c r="J67" s="61">
        <f>IF($N67="","",INDEX('Cronograma R. Operacional'!$M$5:$M$1000,$N67))</f>
        <v/>
      </c>
      <c r="K67" s="56">
        <f>IF($N67="","",IF(N($J67)&gt;=1,"Completado",IF(AND(ISNUMBER($D67),$D67&lt;FechaRef),"Vencida",IF(N($J67)&gt;0,"En curso","Pendiente"))))</f>
        <v/>
      </c>
      <c r="L67" s="56">
        <f>IF($N67="","",INDEX('Cronograma R. Operacional'!$O$5:$O$1000,$N67)&amp;"")</f>
        <v/>
      </c>
      <c r="M67" s="62">
        <f>IF($N67="","",INDEX('Cronograma R. Operacional'!$Q$5:$Q$1000,$N67)&amp;"")</f>
        <v/>
      </c>
      <c r="N67">
        <f>IFERROR(MATCH(ROW()-4,rOrden_RO,0),"")</f>
        <v/>
      </c>
      <c r="O67">
        <f>IF($N67="","",INDEX('Cronograma R. Operacional'!$V$5:$V$1000,$N67))</f>
        <v/>
      </c>
      <c r="P67">
        <f>IF($N67="","",N(INDEX('Cronograma R. Operacional'!$W$5:$W$1000,$N67)))</f>
        <v/>
      </c>
      <c r="Q67">
        <f>IF(OR(LEFT($L67,7)="Vencida",LEFT($L67,5)="Vence"),SUMPRODUCT(--(LEFT($L$5:$L67,7)="Vencida"))+SUMPRODUCT(--(LEFT($L$5:$L67,5)="Vence")),"")</f>
        <v/>
      </c>
    </row>
    <row r="68">
      <c r="A68" s="56">
        <f>IF($N68="","",INDEX('Cronograma R. Operacional'!$A$5:$A$1000,$N68))</f>
        <v/>
      </c>
      <c r="B68" s="62">
        <f>IF($N68="","",IF($O68="Sub","      ↳  "&amp;INDEX('Cronograma R. Operacional'!$C$5:$C$1000,$N68),INDEX('Cronograma R. Operacional'!$C$5:$C$1000,$N68)&amp;""))</f>
        <v/>
      </c>
      <c r="C68" s="79">
        <f>IF($N68="","",IF(INDEX('Cronograma R. Operacional'!$AR$5:$AR$1000,$N68)="","",INDEX('Cronograma R. Operacional'!$AR$5:$AR$1000,$N68)))</f>
        <v/>
      </c>
      <c r="D68" s="79">
        <f>IF($N68="","",IF(INDEX('Cronograma R. Operacional'!$AS$5:$AS$1000,$N68)="","",INDEX('Cronograma R. Operacional'!$AS$5:$AS$1000,$N68)))</f>
        <v/>
      </c>
      <c r="E68" s="56">
        <f>IF($N68="","",IF(NOT(ISNUMBER($D68)),"",IF($D68&lt;InicioCiclo,"Antes del ciclo",IF($D68&gt;=InicioCiclo+28,"Después del ciclo","Semana "&amp;(INT(($D68-InicioCiclo)/7)+1)))))</f>
        <v/>
      </c>
      <c r="F68" s="61">
        <f>IF($N68="","",IF($P68&gt;0,IF(1&lt;=SemanaActual,INDEX('Cronograma R. Operacional'!$AH$5:$AH$1000,$N68),""),IF(INDEX('Cronograma R. Operacional'!$I$5:$I$1000,$N68)="","",INDEX('Cronograma R. Operacional'!$I$5:$I$1000,$N68))))</f>
        <v/>
      </c>
      <c r="G68" s="61">
        <f>IF($N68="","",IF($P68&gt;0,IF(2&lt;=SemanaActual,INDEX('Cronograma R. Operacional'!$AI$5:$AI$1000,$N68),""),IF(INDEX('Cronograma R. Operacional'!$J$5:$J$1000,$N68)="","",INDEX('Cronograma R. Operacional'!$J$5:$J$1000,$N68))))</f>
        <v/>
      </c>
      <c r="H68" s="61">
        <f>IF($N68="","",IF($P68&gt;0,IF(3&lt;=SemanaActual,INDEX('Cronograma R. Operacional'!$AJ$5:$AJ$1000,$N68),""),IF(INDEX('Cronograma R. Operacional'!$K$5:$K$1000,$N68)="","",INDEX('Cronograma R. Operacional'!$K$5:$K$1000,$N68))))</f>
        <v/>
      </c>
      <c r="I68" s="61">
        <f>IF($N68="","",IF($P68&gt;0,IF(4&lt;=SemanaActual,INDEX('Cronograma R. Operacional'!$AK$5:$AK$1000,$N68),""),IF(INDEX('Cronograma R. Operacional'!$L$5:$L$1000,$N68)="","",INDEX('Cronograma R. Operacional'!$L$5:$L$1000,$N68))))</f>
        <v/>
      </c>
      <c r="J68" s="61">
        <f>IF($N68="","",INDEX('Cronograma R. Operacional'!$M$5:$M$1000,$N68))</f>
        <v/>
      </c>
      <c r="K68" s="56">
        <f>IF($N68="","",IF(N($J68)&gt;=1,"Completado",IF(AND(ISNUMBER($D68),$D68&lt;FechaRef),"Vencida",IF(N($J68)&gt;0,"En curso","Pendiente"))))</f>
        <v/>
      </c>
      <c r="L68" s="56">
        <f>IF($N68="","",INDEX('Cronograma R. Operacional'!$O$5:$O$1000,$N68)&amp;"")</f>
        <v/>
      </c>
      <c r="M68" s="62">
        <f>IF($N68="","",INDEX('Cronograma R. Operacional'!$Q$5:$Q$1000,$N68)&amp;"")</f>
        <v/>
      </c>
      <c r="N68">
        <f>IFERROR(MATCH(ROW()-4,rOrden_RO,0),"")</f>
        <v/>
      </c>
      <c r="O68">
        <f>IF($N68="","",INDEX('Cronograma R. Operacional'!$V$5:$V$1000,$N68))</f>
        <v/>
      </c>
      <c r="P68">
        <f>IF($N68="","",N(INDEX('Cronograma R. Operacional'!$W$5:$W$1000,$N68)))</f>
        <v/>
      </c>
      <c r="Q68">
        <f>IF(OR(LEFT($L68,7)="Vencida",LEFT($L68,5)="Vence"),SUMPRODUCT(--(LEFT($L$5:$L68,7)="Vencida"))+SUMPRODUCT(--(LEFT($L$5:$L68,5)="Vence")),"")</f>
        <v/>
      </c>
    </row>
    <row r="69">
      <c r="A69" s="56">
        <f>IF($N69="","",INDEX('Cronograma R. Operacional'!$A$5:$A$1000,$N69))</f>
        <v/>
      </c>
      <c r="B69" s="62">
        <f>IF($N69="","",IF($O69="Sub","      ↳  "&amp;INDEX('Cronograma R. Operacional'!$C$5:$C$1000,$N69),INDEX('Cronograma R. Operacional'!$C$5:$C$1000,$N69)&amp;""))</f>
        <v/>
      </c>
      <c r="C69" s="79">
        <f>IF($N69="","",IF(INDEX('Cronograma R. Operacional'!$AR$5:$AR$1000,$N69)="","",INDEX('Cronograma R. Operacional'!$AR$5:$AR$1000,$N69)))</f>
        <v/>
      </c>
      <c r="D69" s="79">
        <f>IF($N69="","",IF(INDEX('Cronograma R. Operacional'!$AS$5:$AS$1000,$N69)="","",INDEX('Cronograma R. Operacional'!$AS$5:$AS$1000,$N69)))</f>
        <v/>
      </c>
      <c r="E69" s="56">
        <f>IF($N69="","",IF(NOT(ISNUMBER($D69)),"",IF($D69&lt;InicioCiclo,"Antes del ciclo",IF($D69&gt;=InicioCiclo+28,"Después del ciclo","Semana "&amp;(INT(($D69-InicioCiclo)/7)+1)))))</f>
        <v/>
      </c>
      <c r="F69" s="61">
        <f>IF($N69="","",IF($P69&gt;0,IF(1&lt;=SemanaActual,INDEX('Cronograma R. Operacional'!$AH$5:$AH$1000,$N69),""),IF(INDEX('Cronograma R. Operacional'!$I$5:$I$1000,$N69)="","",INDEX('Cronograma R. Operacional'!$I$5:$I$1000,$N69))))</f>
        <v/>
      </c>
      <c r="G69" s="61">
        <f>IF($N69="","",IF($P69&gt;0,IF(2&lt;=SemanaActual,INDEX('Cronograma R. Operacional'!$AI$5:$AI$1000,$N69),""),IF(INDEX('Cronograma R. Operacional'!$J$5:$J$1000,$N69)="","",INDEX('Cronograma R. Operacional'!$J$5:$J$1000,$N69))))</f>
        <v/>
      </c>
      <c r="H69" s="61">
        <f>IF($N69="","",IF($P69&gt;0,IF(3&lt;=SemanaActual,INDEX('Cronograma R. Operacional'!$AJ$5:$AJ$1000,$N69),""),IF(INDEX('Cronograma R. Operacional'!$K$5:$K$1000,$N69)="","",INDEX('Cronograma R. Operacional'!$K$5:$K$1000,$N69))))</f>
        <v/>
      </c>
      <c r="I69" s="61">
        <f>IF($N69="","",IF($P69&gt;0,IF(4&lt;=SemanaActual,INDEX('Cronograma R. Operacional'!$AK$5:$AK$1000,$N69),""),IF(INDEX('Cronograma R. Operacional'!$L$5:$L$1000,$N69)="","",INDEX('Cronograma R. Operacional'!$L$5:$L$1000,$N69))))</f>
        <v/>
      </c>
      <c r="J69" s="61">
        <f>IF($N69="","",INDEX('Cronograma R. Operacional'!$M$5:$M$1000,$N69))</f>
        <v/>
      </c>
      <c r="K69" s="56">
        <f>IF($N69="","",IF(N($J69)&gt;=1,"Completado",IF(AND(ISNUMBER($D69),$D69&lt;FechaRef),"Vencida",IF(N($J69)&gt;0,"En curso","Pendiente"))))</f>
        <v/>
      </c>
      <c r="L69" s="56">
        <f>IF($N69="","",INDEX('Cronograma R. Operacional'!$O$5:$O$1000,$N69)&amp;"")</f>
        <v/>
      </c>
      <c r="M69" s="62">
        <f>IF($N69="","",INDEX('Cronograma R. Operacional'!$Q$5:$Q$1000,$N69)&amp;"")</f>
        <v/>
      </c>
      <c r="N69">
        <f>IFERROR(MATCH(ROW()-4,rOrden_RO,0),"")</f>
        <v/>
      </c>
      <c r="O69">
        <f>IF($N69="","",INDEX('Cronograma R. Operacional'!$V$5:$V$1000,$N69))</f>
        <v/>
      </c>
      <c r="P69">
        <f>IF($N69="","",N(INDEX('Cronograma R. Operacional'!$W$5:$W$1000,$N69)))</f>
        <v/>
      </c>
      <c r="Q69">
        <f>IF(OR(LEFT($L69,7)="Vencida",LEFT($L69,5)="Vence"),SUMPRODUCT(--(LEFT($L$5:$L69,7)="Vencida"))+SUMPRODUCT(--(LEFT($L$5:$L69,5)="Vence")),"")</f>
        <v/>
      </c>
    </row>
    <row r="70">
      <c r="A70" s="56">
        <f>IF($N70="","",INDEX('Cronograma R. Operacional'!$A$5:$A$1000,$N70))</f>
        <v/>
      </c>
      <c r="B70" s="62">
        <f>IF($N70="","",IF($O70="Sub","      ↳  "&amp;INDEX('Cronograma R. Operacional'!$C$5:$C$1000,$N70),INDEX('Cronograma R. Operacional'!$C$5:$C$1000,$N70)&amp;""))</f>
        <v/>
      </c>
      <c r="C70" s="79">
        <f>IF($N70="","",IF(INDEX('Cronograma R. Operacional'!$AR$5:$AR$1000,$N70)="","",INDEX('Cronograma R. Operacional'!$AR$5:$AR$1000,$N70)))</f>
        <v/>
      </c>
      <c r="D70" s="79">
        <f>IF($N70="","",IF(INDEX('Cronograma R. Operacional'!$AS$5:$AS$1000,$N70)="","",INDEX('Cronograma R. Operacional'!$AS$5:$AS$1000,$N70)))</f>
        <v/>
      </c>
      <c r="E70" s="56">
        <f>IF($N70="","",IF(NOT(ISNUMBER($D70)),"",IF($D70&lt;InicioCiclo,"Antes del ciclo",IF($D70&gt;=InicioCiclo+28,"Después del ciclo","Semana "&amp;(INT(($D70-InicioCiclo)/7)+1)))))</f>
        <v/>
      </c>
      <c r="F70" s="61">
        <f>IF($N70="","",IF($P70&gt;0,IF(1&lt;=SemanaActual,INDEX('Cronograma R. Operacional'!$AH$5:$AH$1000,$N70),""),IF(INDEX('Cronograma R. Operacional'!$I$5:$I$1000,$N70)="","",INDEX('Cronograma R. Operacional'!$I$5:$I$1000,$N70))))</f>
        <v/>
      </c>
      <c r="G70" s="61">
        <f>IF($N70="","",IF($P70&gt;0,IF(2&lt;=SemanaActual,INDEX('Cronograma R. Operacional'!$AI$5:$AI$1000,$N70),""),IF(INDEX('Cronograma R. Operacional'!$J$5:$J$1000,$N70)="","",INDEX('Cronograma R. Operacional'!$J$5:$J$1000,$N70))))</f>
        <v/>
      </c>
      <c r="H70" s="61">
        <f>IF($N70="","",IF($P70&gt;0,IF(3&lt;=SemanaActual,INDEX('Cronograma R. Operacional'!$AJ$5:$AJ$1000,$N70),""),IF(INDEX('Cronograma R. Operacional'!$K$5:$K$1000,$N70)="","",INDEX('Cronograma R. Operacional'!$K$5:$K$1000,$N70))))</f>
        <v/>
      </c>
      <c r="I70" s="61">
        <f>IF($N70="","",IF($P70&gt;0,IF(4&lt;=SemanaActual,INDEX('Cronograma R. Operacional'!$AK$5:$AK$1000,$N70),""),IF(INDEX('Cronograma R. Operacional'!$L$5:$L$1000,$N70)="","",INDEX('Cronograma R. Operacional'!$L$5:$L$1000,$N70))))</f>
        <v/>
      </c>
      <c r="J70" s="61">
        <f>IF($N70="","",INDEX('Cronograma R. Operacional'!$M$5:$M$1000,$N70))</f>
        <v/>
      </c>
      <c r="K70" s="56">
        <f>IF($N70="","",IF(N($J70)&gt;=1,"Completado",IF(AND(ISNUMBER($D70),$D70&lt;FechaRef),"Vencida",IF(N($J70)&gt;0,"En curso","Pendiente"))))</f>
        <v/>
      </c>
      <c r="L70" s="56">
        <f>IF($N70="","",INDEX('Cronograma R. Operacional'!$O$5:$O$1000,$N70)&amp;"")</f>
        <v/>
      </c>
      <c r="M70" s="62">
        <f>IF($N70="","",INDEX('Cronograma R. Operacional'!$Q$5:$Q$1000,$N70)&amp;"")</f>
        <v/>
      </c>
      <c r="N70">
        <f>IFERROR(MATCH(ROW()-4,rOrden_RO,0),"")</f>
        <v/>
      </c>
      <c r="O70">
        <f>IF($N70="","",INDEX('Cronograma R. Operacional'!$V$5:$V$1000,$N70))</f>
        <v/>
      </c>
      <c r="P70">
        <f>IF($N70="","",N(INDEX('Cronograma R. Operacional'!$W$5:$W$1000,$N70)))</f>
        <v/>
      </c>
      <c r="Q70">
        <f>IF(OR(LEFT($L70,7)="Vencida",LEFT($L70,5)="Vence"),SUMPRODUCT(--(LEFT($L$5:$L70,7)="Vencida"))+SUMPRODUCT(--(LEFT($L$5:$L70,5)="Vence")),"")</f>
        <v/>
      </c>
    </row>
    <row r="71">
      <c r="A71" s="56">
        <f>IF($N71="","",INDEX('Cronograma R. Operacional'!$A$5:$A$1000,$N71))</f>
        <v/>
      </c>
      <c r="B71" s="62">
        <f>IF($N71="","",IF($O71="Sub","      ↳  "&amp;INDEX('Cronograma R. Operacional'!$C$5:$C$1000,$N71),INDEX('Cronograma R. Operacional'!$C$5:$C$1000,$N71)&amp;""))</f>
        <v/>
      </c>
      <c r="C71" s="79">
        <f>IF($N71="","",IF(INDEX('Cronograma R. Operacional'!$AR$5:$AR$1000,$N71)="","",INDEX('Cronograma R. Operacional'!$AR$5:$AR$1000,$N71)))</f>
        <v/>
      </c>
      <c r="D71" s="79">
        <f>IF($N71="","",IF(INDEX('Cronograma R. Operacional'!$AS$5:$AS$1000,$N71)="","",INDEX('Cronograma R. Operacional'!$AS$5:$AS$1000,$N71)))</f>
        <v/>
      </c>
      <c r="E71" s="56">
        <f>IF($N71="","",IF(NOT(ISNUMBER($D71)),"",IF($D71&lt;InicioCiclo,"Antes del ciclo",IF($D71&gt;=InicioCiclo+28,"Después del ciclo","Semana "&amp;(INT(($D71-InicioCiclo)/7)+1)))))</f>
        <v/>
      </c>
      <c r="F71" s="61">
        <f>IF($N71="","",IF($P71&gt;0,IF(1&lt;=SemanaActual,INDEX('Cronograma R. Operacional'!$AH$5:$AH$1000,$N71),""),IF(INDEX('Cronograma R. Operacional'!$I$5:$I$1000,$N71)="","",INDEX('Cronograma R. Operacional'!$I$5:$I$1000,$N71))))</f>
        <v/>
      </c>
      <c r="G71" s="61">
        <f>IF($N71="","",IF($P71&gt;0,IF(2&lt;=SemanaActual,INDEX('Cronograma R. Operacional'!$AI$5:$AI$1000,$N71),""),IF(INDEX('Cronograma R. Operacional'!$J$5:$J$1000,$N71)="","",INDEX('Cronograma R. Operacional'!$J$5:$J$1000,$N71))))</f>
        <v/>
      </c>
      <c r="H71" s="61">
        <f>IF($N71="","",IF($P71&gt;0,IF(3&lt;=SemanaActual,INDEX('Cronograma R. Operacional'!$AJ$5:$AJ$1000,$N71),""),IF(INDEX('Cronograma R. Operacional'!$K$5:$K$1000,$N71)="","",INDEX('Cronograma R. Operacional'!$K$5:$K$1000,$N71))))</f>
        <v/>
      </c>
      <c r="I71" s="61">
        <f>IF($N71="","",IF($P71&gt;0,IF(4&lt;=SemanaActual,INDEX('Cronograma R. Operacional'!$AK$5:$AK$1000,$N71),""),IF(INDEX('Cronograma R. Operacional'!$L$5:$L$1000,$N71)="","",INDEX('Cronograma R. Operacional'!$L$5:$L$1000,$N71))))</f>
        <v/>
      </c>
      <c r="J71" s="61">
        <f>IF($N71="","",INDEX('Cronograma R. Operacional'!$M$5:$M$1000,$N71))</f>
        <v/>
      </c>
      <c r="K71" s="56">
        <f>IF($N71="","",IF(N($J71)&gt;=1,"Completado",IF(AND(ISNUMBER($D71),$D71&lt;FechaRef),"Vencida",IF(N($J71)&gt;0,"En curso","Pendiente"))))</f>
        <v/>
      </c>
      <c r="L71" s="56">
        <f>IF($N71="","",INDEX('Cronograma R. Operacional'!$O$5:$O$1000,$N71)&amp;"")</f>
        <v/>
      </c>
      <c r="M71" s="62">
        <f>IF($N71="","",INDEX('Cronograma R. Operacional'!$Q$5:$Q$1000,$N71)&amp;"")</f>
        <v/>
      </c>
      <c r="N71">
        <f>IFERROR(MATCH(ROW()-4,rOrden_RO,0),"")</f>
        <v/>
      </c>
      <c r="O71">
        <f>IF($N71="","",INDEX('Cronograma R. Operacional'!$V$5:$V$1000,$N71))</f>
        <v/>
      </c>
      <c r="P71">
        <f>IF($N71="","",N(INDEX('Cronograma R. Operacional'!$W$5:$W$1000,$N71)))</f>
        <v/>
      </c>
      <c r="Q71">
        <f>IF(OR(LEFT($L71,7)="Vencida",LEFT($L71,5)="Vence"),SUMPRODUCT(--(LEFT($L$5:$L71,7)="Vencida"))+SUMPRODUCT(--(LEFT($L$5:$L71,5)="Vence")),"")</f>
        <v/>
      </c>
    </row>
    <row r="72">
      <c r="A72" s="56">
        <f>IF($N72="","",INDEX('Cronograma R. Operacional'!$A$5:$A$1000,$N72))</f>
        <v/>
      </c>
      <c r="B72" s="62">
        <f>IF($N72="","",IF($O72="Sub","      ↳  "&amp;INDEX('Cronograma R. Operacional'!$C$5:$C$1000,$N72),INDEX('Cronograma R. Operacional'!$C$5:$C$1000,$N72)&amp;""))</f>
        <v/>
      </c>
      <c r="C72" s="79">
        <f>IF($N72="","",IF(INDEX('Cronograma R. Operacional'!$AR$5:$AR$1000,$N72)="","",INDEX('Cronograma R. Operacional'!$AR$5:$AR$1000,$N72)))</f>
        <v/>
      </c>
      <c r="D72" s="79">
        <f>IF($N72="","",IF(INDEX('Cronograma R. Operacional'!$AS$5:$AS$1000,$N72)="","",INDEX('Cronograma R. Operacional'!$AS$5:$AS$1000,$N72)))</f>
        <v/>
      </c>
      <c r="E72" s="56">
        <f>IF($N72="","",IF(NOT(ISNUMBER($D72)),"",IF($D72&lt;InicioCiclo,"Antes del ciclo",IF($D72&gt;=InicioCiclo+28,"Después del ciclo","Semana "&amp;(INT(($D72-InicioCiclo)/7)+1)))))</f>
        <v/>
      </c>
      <c r="F72" s="61">
        <f>IF($N72="","",IF($P72&gt;0,IF(1&lt;=SemanaActual,INDEX('Cronograma R. Operacional'!$AH$5:$AH$1000,$N72),""),IF(INDEX('Cronograma R. Operacional'!$I$5:$I$1000,$N72)="","",INDEX('Cronograma R. Operacional'!$I$5:$I$1000,$N72))))</f>
        <v/>
      </c>
      <c r="G72" s="61">
        <f>IF($N72="","",IF($P72&gt;0,IF(2&lt;=SemanaActual,INDEX('Cronograma R. Operacional'!$AI$5:$AI$1000,$N72),""),IF(INDEX('Cronograma R. Operacional'!$J$5:$J$1000,$N72)="","",INDEX('Cronograma R. Operacional'!$J$5:$J$1000,$N72))))</f>
        <v/>
      </c>
      <c r="H72" s="61">
        <f>IF($N72="","",IF($P72&gt;0,IF(3&lt;=SemanaActual,INDEX('Cronograma R. Operacional'!$AJ$5:$AJ$1000,$N72),""),IF(INDEX('Cronograma R. Operacional'!$K$5:$K$1000,$N72)="","",INDEX('Cronograma R. Operacional'!$K$5:$K$1000,$N72))))</f>
        <v/>
      </c>
      <c r="I72" s="61">
        <f>IF($N72="","",IF($P72&gt;0,IF(4&lt;=SemanaActual,INDEX('Cronograma R. Operacional'!$AK$5:$AK$1000,$N72),""),IF(INDEX('Cronograma R. Operacional'!$L$5:$L$1000,$N72)="","",INDEX('Cronograma R. Operacional'!$L$5:$L$1000,$N72))))</f>
        <v/>
      </c>
      <c r="J72" s="61">
        <f>IF($N72="","",INDEX('Cronograma R. Operacional'!$M$5:$M$1000,$N72))</f>
        <v/>
      </c>
      <c r="K72" s="56">
        <f>IF($N72="","",IF(N($J72)&gt;=1,"Completado",IF(AND(ISNUMBER($D72),$D72&lt;FechaRef),"Vencida",IF(N($J72)&gt;0,"En curso","Pendiente"))))</f>
        <v/>
      </c>
      <c r="L72" s="56">
        <f>IF($N72="","",INDEX('Cronograma R. Operacional'!$O$5:$O$1000,$N72)&amp;"")</f>
        <v/>
      </c>
      <c r="M72" s="62">
        <f>IF($N72="","",INDEX('Cronograma R. Operacional'!$Q$5:$Q$1000,$N72)&amp;"")</f>
        <v/>
      </c>
      <c r="N72">
        <f>IFERROR(MATCH(ROW()-4,rOrden_RO,0),"")</f>
        <v/>
      </c>
      <c r="O72">
        <f>IF($N72="","",INDEX('Cronograma R. Operacional'!$V$5:$V$1000,$N72))</f>
        <v/>
      </c>
      <c r="P72">
        <f>IF($N72="","",N(INDEX('Cronograma R. Operacional'!$W$5:$W$1000,$N72)))</f>
        <v/>
      </c>
      <c r="Q72">
        <f>IF(OR(LEFT($L72,7)="Vencida",LEFT($L72,5)="Vence"),SUMPRODUCT(--(LEFT($L$5:$L72,7)="Vencida"))+SUMPRODUCT(--(LEFT($L$5:$L72,5)="Vence")),"")</f>
        <v/>
      </c>
    </row>
    <row r="73">
      <c r="A73" s="56">
        <f>IF($N73="","",INDEX('Cronograma R. Operacional'!$A$5:$A$1000,$N73))</f>
        <v/>
      </c>
      <c r="B73" s="62">
        <f>IF($N73="","",IF($O73="Sub","      ↳  "&amp;INDEX('Cronograma R. Operacional'!$C$5:$C$1000,$N73),INDEX('Cronograma R. Operacional'!$C$5:$C$1000,$N73)&amp;""))</f>
        <v/>
      </c>
      <c r="C73" s="79">
        <f>IF($N73="","",IF(INDEX('Cronograma R. Operacional'!$AR$5:$AR$1000,$N73)="","",INDEX('Cronograma R. Operacional'!$AR$5:$AR$1000,$N73)))</f>
        <v/>
      </c>
      <c r="D73" s="79">
        <f>IF($N73="","",IF(INDEX('Cronograma R. Operacional'!$AS$5:$AS$1000,$N73)="","",INDEX('Cronograma R. Operacional'!$AS$5:$AS$1000,$N73)))</f>
        <v/>
      </c>
      <c r="E73" s="56">
        <f>IF($N73="","",IF(NOT(ISNUMBER($D73)),"",IF($D73&lt;InicioCiclo,"Antes del ciclo",IF($D73&gt;=InicioCiclo+28,"Después del ciclo","Semana "&amp;(INT(($D73-InicioCiclo)/7)+1)))))</f>
        <v/>
      </c>
      <c r="F73" s="61">
        <f>IF($N73="","",IF($P73&gt;0,IF(1&lt;=SemanaActual,INDEX('Cronograma R. Operacional'!$AH$5:$AH$1000,$N73),""),IF(INDEX('Cronograma R. Operacional'!$I$5:$I$1000,$N73)="","",INDEX('Cronograma R. Operacional'!$I$5:$I$1000,$N73))))</f>
        <v/>
      </c>
      <c r="G73" s="61">
        <f>IF($N73="","",IF($P73&gt;0,IF(2&lt;=SemanaActual,INDEX('Cronograma R. Operacional'!$AI$5:$AI$1000,$N73),""),IF(INDEX('Cronograma R. Operacional'!$J$5:$J$1000,$N73)="","",INDEX('Cronograma R. Operacional'!$J$5:$J$1000,$N73))))</f>
        <v/>
      </c>
      <c r="H73" s="61">
        <f>IF($N73="","",IF($P73&gt;0,IF(3&lt;=SemanaActual,INDEX('Cronograma R. Operacional'!$AJ$5:$AJ$1000,$N73),""),IF(INDEX('Cronograma R. Operacional'!$K$5:$K$1000,$N73)="","",INDEX('Cronograma R. Operacional'!$K$5:$K$1000,$N73))))</f>
        <v/>
      </c>
      <c r="I73" s="61">
        <f>IF($N73="","",IF($P73&gt;0,IF(4&lt;=SemanaActual,INDEX('Cronograma R. Operacional'!$AK$5:$AK$1000,$N73),""),IF(INDEX('Cronograma R. Operacional'!$L$5:$L$1000,$N73)="","",INDEX('Cronograma R. Operacional'!$L$5:$L$1000,$N73))))</f>
        <v/>
      </c>
      <c r="J73" s="61">
        <f>IF($N73="","",INDEX('Cronograma R. Operacional'!$M$5:$M$1000,$N73))</f>
        <v/>
      </c>
      <c r="K73" s="56">
        <f>IF($N73="","",IF(N($J73)&gt;=1,"Completado",IF(AND(ISNUMBER($D73),$D73&lt;FechaRef),"Vencida",IF(N($J73)&gt;0,"En curso","Pendiente"))))</f>
        <v/>
      </c>
      <c r="L73" s="56">
        <f>IF($N73="","",INDEX('Cronograma R. Operacional'!$O$5:$O$1000,$N73)&amp;"")</f>
        <v/>
      </c>
      <c r="M73" s="62">
        <f>IF($N73="","",INDEX('Cronograma R. Operacional'!$Q$5:$Q$1000,$N73)&amp;"")</f>
        <v/>
      </c>
      <c r="N73">
        <f>IFERROR(MATCH(ROW()-4,rOrden_RO,0),"")</f>
        <v/>
      </c>
      <c r="O73">
        <f>IF($N73="","",INDEX('Cronograma R. Operacional'!$V$5:$V$1000,$N73))</f>
        <v/>
      </c>
      <c r="P73">
        <f>IF($N73="","",N(INDEX('Cronograma R. Operacional'!$W$5:$W$1000,$N73)))</f>
        <v/>
      </c>
      <c r="Q73">
        <f>IF(OR(LEFT($L73,7)="Vencida",LEFT($L73,5)="Vence"),SUMPRODUCT(--(LEFT($L$5:$L73,7)="Vencida"))+SUMPRODUCT(--(LEFT($L$5:$L73,5)="Vence")),"")</f>
        <v/>
      </c>
    </row>
    <row r="74">
      <c r="A74" s="56">
        <f>IF($N74="","",INDEX('Cronograma R. Operacional'!$A$5:$A$1000,$N74))</f>
        <v/>
      </c>
      <c r="B74" s="62">
        <f>IF($N74="","",IF($O74="Sub","      ↳  "&amp;INDEX('Cronograma R. Operacional'!$C$5:$C$1000,$N74),INDEX('Cronograma R. Operacional'!$C$5:$C$1000,$N74)&amp;""))</f>
        <v/>
      </c>
      <c r="C74" s="79">
        <f>IF($N74="","",IF(INDEX('Cronograma R. Operacional'!$AR$5:$AR$1000,$N74)="","",INDEX('Cronograma R. Operacional'!$AR$5:$AR$1000,$N74)))</f>
        <v/>
      </c>
      <c r="D74" s="79">
        <f>IF($N74="","",IF(INDEX('Cronograma R. Operacional'!$AS$5:$AS$1000,$N74)="","",INDEX('Cronograma R. Operacional'!$AS$5:$AS$1000,$N74)))</f>
        <v/>
      </c>
      <c r="E74" s="56">
        <f>IF($N74="","",IF(NOT(ISNUMBER($D74)),"",IF($D74&lt;InicioCiclo,"Antes del ciclo",IF($D74&gt;=InicioCiclo+28,"Después del ciclo","Semana "&amp;(INT(($D74-InicioCiclo)/7)+1)))))</f>
        <v/>
      </c>
      <c r="F74" s="61">
        <f>IF($N74="","",IF($P74&gt;0,IF(1&lt;=SemanaActual,INDEX('Cronograma R. Operacional'!$AH$5:$AH$1000,$N74),""),IF(INDEX('Cronograma R. Operacional'!$I$5:$I$1000,$N74)="","",INDEX('Cronograma R. Operacional'!$I$5:$I$1000,$N74))))</f>
        <v/>
      </c>
      <c r="G74" s="61">
        <f>IF($N74="","",IF($P74&gt;0,IF(2&lt;=SemanaActual,INDEX('Cronograma R. Operacional'!$AI$5:$AI$1000,$N74),""),IF(INDEX('Cronograma R. Operacional'!$J$5:$J$1000,$N74)="","",INDEX('Cronograma R. Operacional'!$J$5:$J$1000,$N74))))</f>
        <v/>
      </c>
      <c r="H74" s="61">
        <f>IF($N74="","",IF($P74&gt;0,IF(3&lt;=SemanaActual,INDEX('Cronograma R. Operacional'!$AJ$5:$AJ$1000,$N74),""),IF(INDEX('Cronograma R. Operacional'!$K$5:$K$1000,$N74)="","",INDEX('Cronograma R. Operacional'!$K$5:$K$1000,$N74))))</f>
        <v/>
      </c>
      <c r="I74" s="61">
        <f>IF($N74="","",IF($P74&gt;0,IF(4&lt;=SemanaActual,INDEX('Cronograma R. Operacional'!$AK$5:$AK$1000,$N74),""),IF(INDEX('Cronograma R. Operacional'!$L$5:$L$1000,$N74)="","",INDEX('Cronograma R. Operacional'!$L$5:$L$1000,$N74))))</f>
        <v/>
      </c>
      <c r="J74" s="61">
        <f>IF($N74="","",INDEX('Cronograma R. Operacional'!$M$5:$M$1000,$N74))</f>
        <v/>
      </c>
      <c r="K74" s="56">
        <f>IF($N74="","",IF(N($J74)&gt;=1,"Completado",IF(AND(ISNUMBER($D74),$D74&lt;FechaRef),"Vencida",IF(N($J74)&gt;0,"En curso","Pendiente"))))</f>
        <v/>
      </c>
      <c r="L74" s="56">
        <f>IF($N74="","",INDEX('Cronograma R. Operacional'!$O$5:$O$1000,$N74)&amp;"")</f>
        <v/>
      </c>
      <c r="M74" s="62">
        <f>IF($N74="","",INDEX('Cronograma R. Operacional'!$Q$5:$Q$1000,$N74)&amp;"")</f>
        <v/>
      </c>
      <c r="N74">
        <f>IFERROR(MATCH(ROW()-4,rOrden_RO,0),"")</f>
        <v/>
      </c>
      <c r="O74">
        <f>IF($N74="","",INDEX('Cronograma R. Operacional'!$V$5:$V$1000,$N74))</f>
        <v/>
      </c>
      <c r="P74">
        <f>IF($N74="","",N(INDEX('Cronograma R. Operacional'!$W$5:$W$1000,$N74)))</f>
        <v/>
      </c>
      <c r="Q74">
        <f>IF(OR(LEFT($L74,7)="Vencida",LEFT($L74,5)="Vence"),SUMPRODUCT(--(LEFT($L$5:$L74,7)="Vencida"))+SUMPRODUCT(--(LEFT($L$5:$L74,5)="Vence")),"")</f>
        <v/>
      </c>
    </row>
    <row r="75">
      <c r="A75" s="56">
        <f>IF($N75="","",INDEX('Cronograma R. Operacional'!$A$5:$A$1000,$N75))</f>
        <v/>
      </c>
      <c r="B75" s="62">
        <f>IF($N75="","",IF($O75="Sub","      ↳  "&amp;INDEX('Cronograma R. Operacional'!$C$5:$C$1000,$N75),INDEX('Cronograma R. Operacional'!$C$5:$C$1000,$N75)&amp;""))</f>
        <v/>
      </c>
      <c r="C75" s="79">
        <f>IF($N75="","",IF(INDEX('Cronograma R. Operacional'!$AR$5:$AR$1000,$N75)="","",INDEX('Cronograma R. Operacional'!$AR$5:$AR$1000,$N75)))</f>
        <v/>
      </c>
      <c r="D75" s="79">
        <f>IF($N75="","",IF(INDEX('Cronograma R. Operacional'!$AS$5:$AS$1000,$N75)="","",INDEX('Cronograma R. Operacional'!$AS$5:$AS$1000,$N75)))</f>
        <v/>
      </c>
      <c r="E75" s="56">
        <f>IF($N75="","",IF(NOT(ISNUMBER($D75)),"",IF($D75&lt;InicioCiclo,"Antes del ciclo",IF($D75&gt;=InicioCiclo+28,"Después del ciclo","Semana "&amp;(INT(($D75-InicioCiclo)/7)+1)))))</f>
        <v/>
      </c>
      <c r="F75" s="61">
        <f>IF($N75="","",IF($P75&gt;0,IF(1&lt;=SemanaActual,INDEX('Cronograma R. Operacional'!$AH$5:$AH$1000,$N75),""),IF(INDEX('Cronograma R. Operacional'!$I$5:$I$1000,$N75)="","",INDEX('Cronograma R. Operacional'!$I$5:$I$1000,$N75))))</f>
        <v/>
      </c>
      <c r="G75" s="61">
        <f>IF($N75="","",IF($P75&gt;0,IF(2&lt;=SemanaActual,INDEX('Cronograma R. Operacional'!$AI$5:$AI$1000,$N75),""),IF(INDEX('Cronograma R. Operacional'!$J$5:$J$1000,$N75)="","",INDEX('Cronograma R. Operacional'!$J$5:$J$1000,$N75))))</f>
        <v/>
      </c>
      <c r="H75" s="61">
        <f>IF($N75="","",IF($P75&gt;0,IF(3&lt;=SemanaActual,INDEX('Cronograma R. Operacional'!$AJ$5:$AJ$1000,$N75),""),IF(INDEX('Cronograma R. Operacional'!$K$5:$K$1000,$N75)="","",INDEX('Cronograma R. Operacional'!$K$5:$K$1000,$N75))))</f>
        <v/>
      </c>
      <c r="I75" s="61">
        <f>IF($N75="","",IF($P75&gt;0,IF(4&lt;=SemanaActual,INDEX('Cronograma R. Operacional'!$AK$5:$AK$1000,$N75),""),IF(INDEX('Cronograma R. Operacional'!$L$5:$L$1000,$N75)="","",INDEX('Cronograma R. Operacional'!$L$5:$L$1000,$N75))))</f>
        <v/>
      </c>
      <c r="J75" s="61">
        <f>IF($N75="","",INDEX('Cronograma R. Operacional'!$M$5:$M$1000,$N75))</f>
        <v/>
      </c>
      <c r="K75" s="56">
        <f>IF($N75="","",IF(N($J75)&gt;=1,"Completado",IF(AND(ISNUMBER($D75),$D75&lt;FechaRef),"Vencida",IF(N($J75)&gt;0,"En curso","Pendiente"))))</f>
        <v/>
      </c>
      <c r="L75" s="56">
        <f>IF($N75="","",INDEX('Cronograma R. Operacional'!$O$5:$O$1000,$N75)&amp;"")</f>
        <v/>
      </c>
      <c r="M75" s="62">
        <f>IF($N75="","",INDEX('Cronograma R. Operacional'!$Q$5:$Q$1000,$N75)&amp;"")</f>
        <v/>
      </c>
      <c r="N75">
        <f>IFERROR(MATCH(ROW()-4,rOrden_RO,0),"")</f>
        <v/>
      </c>
      <c r="O75">
        <f>IF($N75="","",INDEX('Cronograma R. Operacional'!$V$5:$V$1000,$N75))</f>
        <v/>
      </c>
      <c r="P75">
        <f>IF($N75="","",N(INDEX('Cronograma R. Operacional'!$W$5:$W$1000,$N75)))</f>
        <v/>
      </c>
      <c r="Q75">
        <f>IF(OR(LEFT($L75,7)="Vencida",LEFT($L75,5)="Vence"),SUMPRODUCT(--(LEFT($L$5:$L75,7)="Vencida"))+SUMPRODUCT(--(LEFT($L$5:$L75,5)="Vence")),"")</f>
        <v/>
      </c>
    </row>
    <row r="76">
      <c r="A76" s="56">
        <f>IF($N76="","",INDEX('Cronograma R. Operacional'!$A$5:$A$1000,$N76))</f>
        <v/>
      </c>
      <c r="B76" s="62">
        <f>IF($N76="","",IF($O76="Sub","      ↳  "&amp;INDEX('Cronograma R. Operacional'!$C$5:$C$1000,$N76),INDEX('Cronograma R. Operacional'!$C$5:$C$1000,$N76)&amp;""))</f>
        <v/>
      </c>
      <c r="C76" s="79">
        <f>IF($N76="","",IF(INDEX('Cronograma R. Operacional'!$AR$5:$AR$1000,$N76)="","",INDEX('Cronograma R. Operacional'!$AR$5:$AR$1000,$N76)))</f>
        <v/>
      </c>
      <c r="D76" s="79">
        <f>IF($N76="","",IF(INDEX('Cronograma R. Operacional'!$AS$5:$AS$1000,$N76)="","",INDEX('Cronograma R. Operacional'!$AS$5:$AS$1000,$N76)))</f>
        <v/>
      </c>
      <c r="E76" s="56">
        <f>IF($N76="","",IF(NOT(ISNUMBER($D76)),"",IF($D76&lt;InicioCiclo,"Antes del ciclo",IF($D76&gt;=InicioCiclo+28,"Después del ciclo","Semana "&amp;(INT(($D76-InicioCiclo)/7)+1)))))</f>
        <v/>
      </c>
      <c r="F76" s="61">
        <f>IF($N76="","",IF($P76&gt;0,IF(1&lt;=SemanaActual,INDEX('Cronograma R. Operacional'!$AH$5:$AH$1000,$N76),""),IF(INDEX('Cronograma R. Operacional'!$I$5:$I$1000,$N76)="","",INDEX('Cronograma R. Operacional'!$I$5:$I$1000,$N76))))</f>
        <v/>
      </c>
      <c r="G76" s="61">
        <f>IF($N76="","",IF($P76&gt;0,IF(2&lt;=SemanaActual,INDEX('Cronograma R. Operacional'!$AI$5:$AI$1000,$N76),""),IF(INDEX('Cronograma R. Operacional'!$J$5:$J$1000,$N76)="","",INDEX('Cronograma R. Operacional'!$J$5:$J$1000,$N76))))</f>
        <v/>
      </c>
      <c r="H76" s="61">
        <f>IF($N76="","",IF($P76&gt;0,IF(3&lt;=SemanaActual,INDEX('Cronograma R. Operacional'!$AJ$5:$AJ$1000,$N76),""),IF(INDEX('Cronograma R. Operacional'!$K$5:$K$1000,$N76)="","",INDEX('Cronograma R. Operacional'!$K$5:$K$1000,$N76))))</f>
        <v/>
      </c>
      <c r="I76" s="61">
        <f>IF($N76="","",IF($P76&gt;0,IF(4&lt;=SemanaActual,INDEX('Cronograma R. Operacional'!$AK$5:$AK$1000,$N76),""),IF(INDEX('Cronograma R. Operacional'!$L$5:$L$1000,$N76)="","",INDEX('Cronograma R. Operacional'!$L$5:$L$1000,$N76))))</f>
        <v/>
      </c>
      <c r="J76" s="61">
        <f>IF($N76="","",INDEX('Cronograma R. Operacional'!$M$5:$M$1000,$N76))</f>
        <v/>
      </c>
      <c r="K76" s="56">
        <f>IF($N76="","",IF(N($J76)&gt;=1,"Completado",IF(AND(ISNUMBER($D76),$D76&lt;FechaRef),"Vencida",IF(N($J76)&gt;0,"En curso","Pendiente"))))</f>
        <v/>
      </c>
      <c r="L76" s="56">
        <f>IF($N76="","",INDEX('Cronograma R. Operacional'!$O$5:$O$1000,$N76)&amp;"")</f>
        <v/>
      </c>
      <c r="M76" s="62">
        <f>IF($N76="","",INDEX('Cronograma R. Operacional'!$Q$5:$Q$1000,$N76)&amp;"")</f>
        <v/>
      </c>
      <c r="N76">
        <f>IFERROR(MATCH(ROW()-4,rOrden_RO,0),"")</f>
        <v/>
      </c>
      <c r="O76">
        <f>IF($N76="","",INDEX('Cronograma R. Operacional'!$V$5:$V$1000,$N76))</f>
        <v/>
      </c>
      <c r="P76">
        <f>IF($N76="","",N(INDEX('Cronograma R. Operacional'!$W$5:$W$1000,$N76)))</f>
        <v/>
      </c>
      <c r="Q76">
        <f>IF(OR(LEFT($L76,7)="Vencida",LEFT($L76,5)="Vence"),SUMPRODUCT(--(LEFT($L$5:$L76,7)="Vencida"))+SUMPRODUCT(--(LEFT($L$5:$L76,5)="Vence")),"")</f>
        <v/>
      </c>
    </row>
    <row r="77">
      <c r="A77" s="56">
        <f>IF($N77="","",INDEX('Cronograma R. Operacional'!$A$5:$A$1000,$N77))</f>
        <v/>
      </c>
      <c r="B77" s="62">
        <f>IF($N77="","",IF($O77="Sub","      ↳  "&amp;INDEX('Cronograma R. Operacional'!$C$5:$C$1000,$N77),INDEX('Cronograma R. Operacional'!$C$5:$C$1000,$N77)&amp;""))</f>
        <v/>
      </c>
      <c r="C77" s="79">
        <f>IF($N77="","",IF(INDEX('Cronograma R. Operacional'!$AR$5:$AR$1000,$N77)="","",INDEX('Cronograma R. Operacional'!$AR$5:$AR$1000,$N77)))</f>
        <v/>
      </c>
      <c r="D77" s="79">
        <f>IF($N77="","",IF(INDEX('Cronograma R. Operacional'!$AS$5:$AS$1000,$N77)="","",INDEX('Cronograma R. Operacional'!$AS$5:$AS$1000,$N77)))</f>
        <v/>
      </c>
      <c r="E77" s="56">
        <f>IF($N77="","",IF(NOT(ISNUMBER($D77)),"",IF($D77&lt;InicioCiclo,"Antes del ciclo",IF($D77&gt;=InicioCiclo+28,"Después del ciclo","Semana "&amp;(INT(($D77-InicioCiclo)/7)+1)))))</f>
        <v/>
      </c>
      <c r="F77" s="61">
        <f>IF($N77="","",IF($P77&gt;0,IF(1&lt;=SemanaActual,INDEX('Cronograma R. Operacional'!$AH$5:$AH$1000,$N77),""),IF(INDEX('Cronograma R. Operacional'!$I$5:$I$1000,$N77)="","",INDEX('Cronograma R. Operacional'!$I$5:$I$1000,$N77))))</f>
        <v/>
      </c>
      <c r="G77" s="61">
        <f>IF($N77="","",IF($P77&gt;0,IF(2&lt;=SemanaActual,INDEX('Cronograma R. Operacional'!$AI$5:$AI$1000,$N77),""),IF(INDEX('Cronograma R. Operacional'!$J$5:$J$1000,$N77)="","",INDEX('Cronograma R. Operacional'!$J$5:$J$1000,$N77))))</f>
        <v/>
      </c>
      <c r="H77" s="61">
        <f>IF($N77="","",IF($P77&gt;0,IF(3&lt;=SemanaActual,INDEX('Cronograma R. Operacional'!$AJ$5:$AJ$1000,$N77),""),IF(INDEX('Cronograma R. Operacional'!$K$5:$K$1000,$N77)="","",INDEX('Cronograma R. Operacional'!$K$5:$K$1000,$N77))))</f>
        <v/>
      </c>
      <c r="I77" s="61">
        <f>IF($N77="","",IF($P77&gt;0,IF(4&lt;=SemanaActual,INDEX('Cronograma R. Operacional'!$AK$5:$AK$1000,$N77),""),IF(INDEX('Cronograma R. Operacional'!$L$5:$L$1000,$N77)="","",INDEX('Cronograma R. Operacional'!$L$5:$L$1000,$N77))))</f>
        <v/>
      </c>
      <c r="J77" s="61">
        <f>IF($N77="","",INDEX('Cronograma R. Operacional'!$M$5:$M$1000,$N77))</f>
        <v/>
      </c>
      <c r="K77" s="56">
        <f>IF($N77="","",IF(N($J77)&gt;=1,"Completado",IF(AND(ISNUMBER($D77),$D77&lt;FechaRef),"Vencida",IF(N($J77)&gt;0,"En curso","Pendiente"))))</f>
        <v/>
      </c>
      <c r="L77" s="56">
        <f>IF($N77="","",INDEX('Cronograma R. Operacional'!$O$5:$O$1000,$N77)&amp;"")</f>
        <v/>
      </c>
      <c r="M77" s="62">
        <f>IF($N77="","",INDEX('Cronograma R. Operacional'!$Q$5:$Q$1000,$N77)&amp;"")</f>
        <v/>
      </c>
      <c r="N77">
        <f>IFERROR(MATCH(ROW()-4,rOrden_RO,0),"")</f>
        <v/>
      </c>
      <c r="O77">
        <f>IF($N77="","",INDEX('Cronograma R. Operacional'!$V$5:$V$1000,$N77))</f>
        <v/>
      </c>
      <c r="P77">
        <f>IF($N77="","",N(INDEX('Cronograma R. Operacional'!$W$5:$W$1000,$N77)))</f>
        <v/>
      </c>
      <c r="Q77">
        <f>IF(OR(LEFT($L77,7)="Vencida",LEFT($L77,5)="Vence"),SUMPRODUCT(--(LEFT($L$5:$L77,7)="Vencida"))+SUMPRODUCT(--(LEFT($L$5:$L77,5)="Vence")),"")</f>
        <v/>
      </c>
    </row>
    <row r="78">
      <c r="A78" s="56">
        <f>IF($N78="","",INDEX('Cronograma R. Operacional'!$A$5:$A$1000,$N78))</f>
        <v/>
      </c>
      <c r="B78" s="62">
        <f>IF($N78="","",IF($O78="Sub","      ↳  "&amp;INDEX('Cronograma R. Operacional'!$C$5:$C$1000,$N78),INDEX('Cronograma R. Operacional'!$C$5:$C$1000,$N78)&amp;""))</f>
        <v/>
      </c>
      <c r="C78" s="79">
        <f>IF($N78="","",IF(INDEX('Cronograma R. Operacional'!$AR$5:$AR$1000,$N78)="","",INDEX('Cronograma R. Operacional'!$AR$5:$AR$1000,$N78)))</f>
        <v/>
      </c>
      <c r="D78" s="79">
        <f>IF($N78="","",IF(INDEX('Cronograma R. Operacional'!$AS$5:$AS$1000,$N78)="","",INDEX('Cronograma R. Operacional'!$AS$5:$AS$1000,$N78)))</f>
        <v/>
      </c>
      <c r="E78" s="56">
        <f>IF($N78="","",IF(NOT(ISNUMBER($D78)),"",IF($D78&lt;InicioCiclo,"Antes del ciclo",IF($D78&gt;=InicioCiclo+28,"Después del ciclo","Semana "&amp;(INT(($D78-InicioCiclo)/7)+1)))))</f>
        <v/>
      </c>
      <c r="F78" s="61">
        <f>IF($N78="","",IF($P78&gt;0,IF(1&lt;=SemanaActual,INDEX('Cronograma R. Operacional'!$AH$5:$AH$1000,$N78),""),IF(INDEX('Cronograma R. Operacional'!$I$5:$I$1000,$N78)="","",INDEX('Cronograma R. Operacional'!$I$5:$I$1000,$N78))))</f>
        <v/>
      </c>
      <c r="G78" s="61">
        <f>IF($N78="","",IF($P78&gt;0,IF(2&lt;=SemanaActual,INDEX('Cronograma R. Operacional'!$AI$5:$AI$1000,$N78),""),IF(INDEX('Cronograma R. Operacional'!$J$5:$J$1000,$N78)="","",INDEX('Cronograma R. Operacional'!$J$5:$J$1000,$N78))))</f>
        <v/>
      </c>
      <c r="H78" s="61">
        <f>IF($N78="","",IF($P78&gt;0,IF(3&lt;=SemanaActual,INDEX('Cronograma R. Operacional'!$AJ$5:$AJ$1000,$N78),""),IF(INDEX('Cronograma R. Operacional'!$K$5:$K$1000,$N78)="","",INDEX('Cronograma R. Operacional'!$K$5:$K$1000,$N78))))</f>
        <v/>
      </c>
      <c r="I78" s="61">
        <f>IF($N78="","",IF($P78&gt;0,IF(4&lt;=SemanaActual,INDEX('Cronograma R. Operacional'!$AK$5:$AK$1000,$N78),""),IF(INDEX('Cronograma R. Operacional'!$L$5:$L$1000,$N78)="","",INDEX('Cronograma R. Operacional'!$L$5:$L$1000,$N78))))</f>
        <v/>
      </c>
      <c r="J78" s="61">
        <f>IF($N78="","",INDEX('Cronograma R. Operacional'!$M$5:$M$1000,$N78))</f>
        <v/>
      </c>
      <c r="K78" s="56">
        <f>IF($N78="","",IF(N($J78)&gt;=1,"Completado",IF(AND(ISNUMBER($D78),$D78&lt;FechaRef),"Vencida",IF(N($J78)&gt;0,"En curso","Pendiente"))))</f>
        <v/>
      </c>
      <c r="L78" s="56">
        <f>IF($N78="","",INDEX('Cronograma R. Operacional'!$O$5:$O$1000,$N78)&amp;"")</f>
        <v/>
      </c>
      <c r="M78" s="62">
        <f>IF($N78="","",INDEX('Cronograma R. Operacional'!$Q$5:$Q$1000,$N78)&amp;"")</f>
        <v/>
      </c>
      <c r="N78">
        <f>IFERROR(MATCH(ROW()-4,rOrden_RO,0),"")</f>
        <v/>
      </c>
      <c r="O78">
        <f>IF($N78="","",INDEX('Cronograma R. Operacional'!$V$5:$V$1000,$N78))</f>
        <v/>
      </c>
      <c r="P78">
        <f>IF($N78="","",N(INDEX('Cronograma R. Operacional'!$W$5:$W$1000,$N78)))</f>
        <v/>
      </c>
      <c r="Q78">
        <f>IF(OR(LEFT($L78,7)="Vencida",LEFT($L78,5)="Vence"),SUMPRODUCT(--(LEFT($L$5:$L78,7)="Vencida"))+SUMPRODUCT(--(LEFT($L$5:$L78,5)="Vence")),"")</f>
        <v/>
      </c>
    </row>
    <row r="79">
      <c r="A79" s="56">
        <f>IF($N79="","",INDEX('Cronograma R. Operacional'!$A$5:$A$1000,$N79))</f>
        <v/>
      </c>
      <c r="B79" s="62">
        <f>IF($N79="","",IF($O79="Sub","      ↳  "&amp;INDEX('Cronograma R. Operacional'!$C$5:$C$1000,$N79),INDEX('Cronograma R. Operacional'!$C$5:$C$1000,$N79)&amp;""))</f>
        <v/>
      </c>
      <c r="C79" s="79">
        <f>IF($N79="","",IF(INDEX('Cronograma R. Operacional'!$AR$5:$AR$1000,$N79)="","",INDEX('Cronograma R. Operacional'!$AR$5:$AR$1000,$N79)))</f>
        <v/>
      </c>
      <c r="D79" s="79">
        <f>IF($N79="","",IF(INDEX('Cronograma R. Operacional'!$AS$5:$AS$1000,$N79)="","",INDEX('Cronograma R. Operacional'!$AS$5:$AS$1000,$N79)))</f>
        <v/>
      </c>
      <c r="E79" s="56">
        <f>IF($N79="","",IF(NOT(ISNUMBER($D79)),"",IF($D79&lt;InicioCiclo,"Antes del ciclo",IF($D79&gt;=InicioCiclo+28,"Después del ciclo","Semana "&amp;(INT(($D79-InicioCiclo)/7)+1)))))</f>
        <v/>
      </c>
      <c r="F79" s="61">
        <f>IF($N79="","",IF($P79&gt;0,IF(1&lt;=SemanaActual,INDEX('Cronograma R. Operacional'!$AH$5:$AH$1000,$N79),""),IF(INDEX('Cronograma R. Operacional'!$I$5:$I$1000,$N79)="","",INDEX('Cronograma R. Operacional'!$I$5:$I$1000,$N79))))</f>
        <v/>
      </c>
      <c r="G79" s="61">
        <f>IF($N79="","",IF($P79&gt;0,IF(2&lt;=SemanaActual,INDEX('Cronograma R. Operacional'!$AI$5:$AI$1000,$N79),""),IF(INDEX('Cronograma R. Operacional'!$J$5:$J$1000,$N79)="","",INDEX('Cronograma R. Operacional'!$J$5:$J$1000,$N79))))</f>
        <v/>
      </c>
      <c r="H79" s="61">
        <f>IF($N79="","",IF($P79&gt;0,IF(3&lt;=SemanaActual,INDEX('Cronograma R. Operacional'!$AJ$5:$AJ$1000,$N79),""),IF(INDEX('Cronograma R. Operacional'!$K$5:$K$1000,$N79)="","",INDEX('Cronograma R. Operacional'!$K$5:$K$1000,$N79))))</f>
        <v/>
      </c>
      <c r="I79" s="61">
        <f>IF($N79="","",IF($P79&gt;0,IF(4&lt;=SemanaActual,INDEX('Cronograma R. Operacional'!$AK$5:$AK$1000,$N79),""),IF(INDEX('Cronograma R. Operacional'!$L$5:$L$1000,$N79)="","",INDEX('Cronograma R. Operacional'!$L$5:$L$1000,$N79))))</f>
        <v/>
      </c>
      <c r="J79" s="61">
        <f>IF($N79="","",INDEX('Cronograma R. Operacional'!$M$5:$M$1000,$N79))</f>
        <v/>
      </c>
      <c r="K79" s="56">
        <f>IF($N79="","",IF(N($J79)&gt;=1,"Completado",IF(AND(ISNUMBER($D79),$D79&lt;FechaRef),"Vencida",IF(N($J79)&gt;0,"En curso","Pendiente"))))</f>
        <v/>
      </c>
      <c r="L79" s="56">
        <f>IF($N79="","",INDEX('Cronograma R. Operacional'!$O$5:$O$1000,$N79)&amp;"")</f>
        <v/>
      </c>
      <c r="M79" s="62">
        <f>IF($N79="","",INDEX('Cronograma R. Operacional'!$Q$5:$Q$1000,$N79)&amp;"")</f>
        <v/>
      </c>
      <c r="N79">
        <f>IFERROR(MATCH(ROW()-4,rOrden_RO,0),"")</f>
        <v/>
      </c>
      <c r="O79">
        <f>IF($N79="","",INDEX('Cronograma R. Operacional'!$V$5:$V$1000,$N79))</f>
        <v/>
      </c>
      <c r="P79">
        <f>IF($N79="","",N(INDEX('Cronograma R. Operacional'!$W$5:$W$1000,$N79)))</f>
        <v/>
      </c>
      <c r="Q79">
        <f>IF(OR(LEFT($L79,7)="Vencida",LEFT($L79,5)="Vence"),SUMPRODUCT(--(LEFT($L$5:$L79,7)="Vencida"))+SUMPRODUCT(--(LEFT($L$5:$L79,5)="Vence")),"")</f>
        <v/>
      </c>
    </row>
    <row r="80">
      <c r="A80" s="56">
        <f>IF($N80="","",INDEX('Cronograma R. Operacional'!$A$5:$A$1000,$N80))</f>
        <v/>
      </c>
      <c r="B80" s="62">
        <f>IF($N80="","",IF($O80="Sub","      ↳  "&amp;INDEX('Cronograma R. Operacional'!$C$5:$C$1000,$N80),INDEX('Cronograma R. Operacional'!$C$5:$C$1000,$N80)&amp;""))</f>
        <v/>
      </c>
      <c r="C80" s="79">
        <f>IF($N80="","",IF(INDEX('Cronograma R. Operacional'!$AR$5:$AR$1000,$N80)="","",INDEX('Cronograma R. Operacional'!$AR$5:$AR$1000,$N80)))</f>
        <v/>
      </c>
      <c r="D80" s="79">
        <f>IF($N80="","",IF(INDEX('Cronograma R. Operacional'!$AS$5:$AS$1000,$N80)="","",INDEX('Cronograma R. Operacional'!$AS$5:$AS$1000,$N80)))</f>
        <v/>
      </c>
      <c r="E80" s="56">
        <f>IF($N80="","",IF(NOT(ISNUMBER($D80)),"",IF($D80&lt;InicioCiclo,"Antes del ciclo",IF($D80&gt;=InicioCiclo+28,"Después del ciclo","Semana "&amp;(INT(($D80-InicioCiclo)/7)+1)))))</f>
        <v/>
      </c>
      <c r="F80" s="61">
        <f>IF($N80="","",IF($P80&gt;0,IF(1&lt;=SemanaActual,INDEX('Cronograma R. Operacional'!$AH$5:$AH$1000,$N80),""),IF(INDEX('Cronograma R. Operacional'!$I$5:$I$1000,$N80)="","",INDEX('Cronograma R. Operacional'!$I$5:$I$1000,$N80))))</f>
        <v/>
      </c>
      <c r="G80" s="61">
        <f>IF($N80="","",IF($P80&gt;0,IF(2&lt;=SemanaActual,INDEX('Cronograma R. Operacional'!$AI$5:$AI$1000,$N80),""),IF(INDEX('Cronograma R. Operacional'!$J$5:$J$1000,$N80)="","",INDEX('Cronograma R. Operacional'!$J$5:$J$1000,$N80))))</f>
        <v/>
      </c>
      <c r="H80" s="61">
        <f>IF($N80="","",IF($P80&gt;0,IF(3&lt;=SemanaActual,INDEX('Cronograma R. Operacional'!$AJ$5:$AJ$1000,$N80),""),IF(INDEX('Cronograma R. Operacional'!$K$5:$K$1000,$N80)="","",INDEX('Cronograma R. Operacional'!$K$5:$K$1000,$N80))))</f>
        <v/>
      </c>
      <c r="I80" s="61">
        <f>IF($N80="","",IF($P80&gt;0,IF(4&lt;=SemanaActual,INDEX('Cronograma R. Operacional'!$AK$5:$AK$1000,$N80),""),IF(INDEX('Cronograma R. Operacional'!$L$5:$L$1000,$N80)="","",INDEX('Cronograma R. Operacional'!$L$5:$L$1000,$N80))))</f>
        <v/>
      </c>
      <c r="J80" s="61">
        <f>IF($N80="","",INDEX('Cronograma R. Operacional'!$M$5:$M$1000,$N80))</f>
        <v/>
      </c>
      <c r="K80" s="56">
        <f>IF($N80="","",IF(N($J80)&gt;=1,"Completado",IF(AND(ISNUMBER($D80),$D80&lt;FechaRef),"Vencida",IF(N($J80)&gt;0,"En curso","Pendiente"))))</f>
        <v/>
      </c>
      <c r="L80" s="56">
        <f>IF($N80="","",INDEX('Cronograma R. Operacional'!$O$5:$O$1000,$N80)&amp;"")</f>
        <v/>
      </c>
      <c r="M80" s="62">
        <f>IF($N80="","",INDEX('Cronograma R. Operacional'!$Q$5:$Q$1000,$N80)&amp;"")</f>
        <v/>
      </c>
      <c r="N80">
        <f>IFERROR(MATCH(ROW()-4,rOrden_RO,0),"")</f>
        <v/>
      </c>
      <c r="O80">
        <f>IF($N80="","",INDEX('Cronograma R. Operacional'!$V$5:$V$1000,$N80))</f>
        <v/>
      </c>
      <c r="P80">
        <f>IF($N80="","",N(INDEX('Cronograma R. Operacional'!$W$5:$W$1000,$N80)))</f>
        <v/>
      </c>
      <c r="Q80">
        <f>IF(OR(LEFT($L80,7)="Vencida",LEFT($L80,5)="Vence"),SUMPRODUCT(--(LEFT($L$5:$L80,7)="Vencida"))+SUMPRODUCT(--(LEFT($L$5:$L80,5)="Vence")),"")</f>
        <v/>
      </c>
    </row>
    <row r="81">
      <c r="A81" s="56">
        <f>IF($N81="","",INDEX('Cronograma R. Operacional'!$A$5:$A$1000,$N81))</f>
        <v/>
      </c>
      <c r="B81" s="62">
        <f>IF($N81="","",IF($O81="Sub","      ↳  "&amp;INDEX('Cronograma R. Operacional'!$C$5:$C$1000,$N81),INDEX('Cronograma R. Operacional'!$C$5:$C$1000,$N81)&amp;""))</f>
        <v/>
      </c>
      <c r="C81" s="79">
        <f>IF($N81="","",IF(INDEX('Cronograma R. Operacional'!$AR$5:$AR$1000,$N81)="","",INDEX('Cronograma R. Operacional'!$AR$5:$AR$1000,$N81)))</f>
        <v/>
      </c>
      <c r="D81" s="79">
        <f>IF($N81="","",IF(INDEX('Cronograma R. Operacional'!$AS$5:$AS$1000,$N81)="","",INDEX('Cronograma R. Operacional'!$AS$5:$AS$1000,$N81)))</f>
        <v/>
      </c>
      <c r="E81" s="56">
        <f>IF($N81="","",IF(NOT(ISNUMBER($D81)),"",IF($D81&lt;InicioCiclo,"Antes del ciclo",IF($D81&gt;=InicioCiclo+28,"Después del ciclo","Semana "&amp;(INT(($D81-InicioCiclo)/7)+1)))))</f>
        <v/>
      </c>
      <c r="F81" s="61">
        <f>IF($N81="","",IF($P81&gt;0,IF(1&lt;=SemanaActual,INDEX('Cronograma R. Operacional'!$AH$5:$AH$1000,$N81),""),IF(INDEX('Cronograma R. Operacional'!$I$5:$I$1000,$N81)="","",INDEX('Cronograma R. Operacional'!$I$5:$I$1000,$N81))))</f>
        <v/>
      </c>
      <c r="G81" s="61">
        <f>IF($N81="","",IF($P81&gt;0,IF(2&lt;=SemanaActual,INDEX('Cronograma R. Operacional'!$AI$5:$AI$1000,$N81),""),IF(INDEX('Cronograma R. Operacional'!$J$5:$J$1000,$N81)="","",INDEX('Cronograma R. Operacional'!$J$5:$J$1000,$N81))))</f>
        <v/>
      </c>
      <c r="H81" s="61">
        <f>IF($N81="","",IF($P81&gt;0,IF(3&lt;=SemanaActual,INDEX('Cronograma R. Operacional'!$AJ$5:$AJ$1000,$N81),""),IF(INDEX('Cronograma R. Operacional'!$K$5:$K$1000,$N81)="","",INDEX('Cronograma R. Operacional'!$K$5:$K$1000,$N81))))</f>
        <v/>
      </c>
      <c r="I81" s="61">
        <f>IF($N81="","",IF($P81&gt;0,IF(4&lt;=SemanaActual,INDEX('Cronograma R. Operacional'!$AK$5:$AK$1000,$N81),""),IF(INDEX('Cronograma R. Operacional'!$L$5:$L$1000,$N81)="","",INDEX('Cronograma R. Operacional'!$L$5:$L$1000,$N81))))</f>
        <v/>
      </c>
      <c r="J81" s="61">
        <f>IF($N81="","",INDEX('Cronograma R. Operacional'!$M$5:$M$1000,$N81))</f>
        <v/>
      </c>
      <c r="K81" s="56">
        <f>IF($N81="","",IF(N($J81)&gt;=1,"Completado",IF(AND(ISNUMBER($D81),$D81&lt;FechaRef),"Vencida",IF(N($J81)&gt;0,"En curso","Pendiente"))))</f>
        <v/>
      </c>
      <c r="L81" s="56">
        <f>IF($N81="","",INDEX('Cronograma R. Operacional'!$O$5:$O$1000,$N81)&amp;"")</f>
        <v/>
      </c>
      <c r="M81" s="62">
        <f>IF($N81="","",INDEX('Cronograma R. Operacional'!$Q$5:$Q$1000,$N81)&amp;"")</f>
        <v/>
      </c>
      <c r="N81">
        <f>IFERROR(MATCH(ROW()-4,rOrden_RO,0),"")</f>
        <v/>
      </c>
      <c r="O81">
        <f>IF($N81="","",INDEX('Cronograma R. Operacional'!$V$5:$V$1000,$N81))</f>
        <v/>
      </c>
      <c r="P81">
        <f>IF($N81="","",N(INDEX('Cronograma R. Operacional'!$W$5:$W$1000,$N81)))</f>
        <v/>
      </c>
      <c r="Q81">
        <f>IF(OR(LEFT($L81,7)="Vencida",LEFT($L81,5)="Vence"),SUMPRODUCT(--(LEFT($L$5:$L81,7)="Vencida"))+SUMPRODUCT(--(LEFT($L$5:$L81,5)="Vence")),"")</f>
        <v/>
      </c>
    </row>
    <row r="82">
      <c r="A82" s="56">
        <f>IF($N82="","",INDEX('Cronograma R. Operacional'!$A$5:$A$1000,$N82))</f>
        <v/>
      </c>
      <c r="B82" s="62">
        <f>IF($N82="","",IF($O82="Sub","      ↳  "&amp;INDEX('Cronograma R. Operacional'!$C$5:$C$1000,$N82),INDEX('Cronograma R. Operacional'!$C$5:$C$1000,$N82)&amp;""))</f>
        <v/>
      </c>
      <c r="C82" s="79">
        <f>IF($N82="","",IF(INDEX('Cronograma R. Operacional'!$AR$5:$AR$1000,$N82)="","",INDEX('Cronograma R. Operacional'!$AR$5:$AR$1000,$N82)))</f>
        <v/>
      </c>
      <c r="D82" s="79">
        <f>IF($N82="","",IF(INDEX('Cronograma R. Operacional'!$AS$5:$AS$1000,$N82)="","",INDEX('Cronograma R. Operacional'!$AS$5:$AS$1000,$N82)))</f>
        <v/>
      </c>
      <c r="E82" s="56">
        <f>IF($N82="","",IF(NOT(ISNUMBER($D82)),"",IF($D82&lt;InicioCiclo,"Antes del ciclo",IF($D82&gt;=InicioCiclo+28,"Después del ciclo","Semana "&amp;(INT(($D82-InicioCiclo)/7)+1)))))</f>
        <v/>
      </c>
      <c r="F82" s="61">
        <f>IF($N82="","",IF($P82&gt;0,IF(1&lt;=SemanaActual,INDEX('Cronograma R. Operacional'!$AH$5:$AH$1000,$N82),""),IF(INDEX('Cronograma R. Operacional'!$I$5:$I$1000,$N82)="","",INDEX('Cronograma R. Operacional'!$I$5:$I$1000,$N82))))</f>
        <v/>
      </c>
      <c r="G82" s="61">
        <f>IF($N82="","",IF($P82&gt;0,IF(2&lt;=SemanaActual,INDEX('Cronograma R. Operacional'!$AI$5:$AI$1000,$N82),""),IF(INDEX('Cronograma R. Operacional'!$J$5:$J$1000,$N82)="","",INDEX('Cronograma R. Operacional'!$J$5:$J$1000,$N82))))</f>
        <v/>
      </c>
      <c r="H82" s="61">
        <f>IF($N82="","",IF($P82&gt;0,IF(3&lt;=SemanaActual,INDEX('Cronograma R. Operacional'!$AJ$5:$AJ$1000,$N82),""),IF(INDEX('Cronograma R. Operacional'!$K$5:$K$1000,$N82)="","",INDEX('Cronograma R. Operacional'!$K$5:$K$1000,$N82))))</f>
        <v/>
      </c>
      <c r="I82" s="61">
        <f>IF($N82="","",IF($P82&gt;0,IF(4&lt;=SemanaActual,INDEX('Cronograma R. Operacional'!$AK$5:$AK$1000,$N82),""),IF(INDEX('Cronograma R. Operacional'!$L$5:$L$1000,$N82)="","",INDEX('Cronograma R. Operacional'!$L$5:$L$1000,$N82))))</f>
        <v/>
      </c>
      <c r="J82" s="61">
        <f>IF($N82="","",INDEX('Cronograma R. Operacional'!$M$5:$M$1000,$N82))</f>
        <v/>
      </c>
      <c r="K82" s="56">
        <f>IF($N82="","",IF(N($J82)&gt;=1,"Completado",IF(AND(ISNUMBER($D82),$D82&lt;FechaRef),"Vencida",IF(N($J82)&gt;0,"En curso","Pendiente"))))</f>
        <v/>
      </c>
      <c r="L82" s="56">
        <f>IF($N82="","",INDEX('Cronograma R. Operacional'!$O$5:$O$1000,$N82)&amp;"")</f>
        <v/>
      </c>
      <c r="M82" s="62">
        <f>IF($N82="","",INDEX('Cronograma R. Operacional'!$Q$5:$Q$1000,$N82)&amp;"")</f>
        <v/>
      </c>
      <c r="N82">
        <f>IFERROR(MATCH(ROW()-4,rOrden_RO,0),"")</f>
        <v/>
      </c>
      <c r="O82">
        <f>IF($N82="","",INDEX('Cronograma R. Operacional'!$V$5:$V$1000,$N82))</f>
        <v/>
      </c>
      <c r="P82">
        <f>IF($N82="","",N(INDEX('Cronograma R. Operacional'!$W$5:$W$1000,$N82)))</f>
        <v/>
      </c>
      <c r="Q82">
        <f>IF(OR(LEFT($L82,7)="Vencida",LEFT($L82,5)="Vence"),SUMPRODUCT(--(LEFT($L$5:$L82,7)="Vencida"))+SUMPRODUCT(--(LEFT($L$5:$L82,5)="Vence")),"")</f>
        <v/>
      </c>
    </row>
    <row r="83">
      <c r="A83" s="56">
        <f>IF($N83="","",INDEX('Cronograma R. Operacional'!$A$5:$A$1000,$N83))</f>
        <v/>
      </c>
      <c r="B83" s="62">
        <f>IF($N83="","",IF($O83="Sub","      ↳  "&amp;INDEX('Cronograma R. Operacional'!$C$5:$C$1000,$N83),INDEX('Cronograma R. Operacional'!$C$5:$C$1000,$N83)&amp;""))</f>
        <v/>
      </c>
      <c r="C83" s="79">
        <f>IF($N83="","",IF(INDEX('Cronograma R. Operacional'!$AR$5:$AR$1000,$N83)="","",INDEX('Cronograma R. Operacional'!$AR$5:$AR$1000,$N83)))</f>
        <v/>
      </c>
      <c r="D83" s="79">
        <f>IF($N83="","",IF(INDEX('Cronograma R. Operacional'!$AS$5:$AS$1000,$N83)="","",INDEX('Cronograma R. Operacional'!$AS$5:$AS$1000,$N83)))</f>
        <v/>
      </c>
      <c r="E83" s="56">
        <f>IF($N83="","",IF(NOT(ISNUMBER($D83)),"",IF($D83&lt;InicioCiclo,"Antes del ciclo",IF($D83&gt;=InicioCiclo+28,"Después del ciclo","Semana "&amp;(INT(($D83-InicioCiclo)/7)+1)))))</f>
        <v/>
      </c>
      <c r="F83" s="61">
        <f>IF($N83="","",IF($P83&gt;0,IF(1&lt;=SemanaActual,INDEX('Cronograma R. Operacional'!$AH$5:$AH$1000,$N83),""),IF(INDEX('Cronograma R. Operacional'!$I$5:$I$1000,$N83)="","",INDEX('Cronograma R. Operacional'!$I$5:$I$1000,$N83))))</f>
        <v/>
      </c>
      <c r="G83" s="61">
        <f>IF($N83="","",IF($P83&gt;0,IF(2&lt;=SemanaActual,INDEX('Cronograma R. Operacional'!$AI$5:$AI$1000,$N83),""),IF(INDEX('Cronograma R. Operacional'!$J$5:$J$1000,$N83)="","",INDEX('Cronograma R. Operacional'!$J$5:$J$1000,$N83))))</f>
        <v/>
      </c>
      <c r="H83" s="61">
        <f>IF($N83="","",IF($P83&gt;0,IF(3&lt;=SemanaActual,INDEX('Cronograma R. Operacional'!$AJ$5:$AJ$1000,$N83),""),IF(INDEX('Cronograma R. Operacional'!$K$5:$K$1000,$N83)="","",INDEX('Cronograma R. Operacional'!$K$5:$K$1000,$N83))))</f>
        <v/>
      </c>
      <c r="I83" s="61">
        <f>IF($N83="","",IF($P83&gt;0,IF(4&lt;=SemanaActual,INDEX('Cronograma R. Operacional'!$AK$5:$AK$1000,$N83),""),IF(INDEX('Cronograma R. Operacional'!$L$5:$L$1000,$N83)="","",INDEX('Cronograma R. Operacional'!$L$5:$L$1000,$N83))))</f>
        <v/>
      </c>
      <c r="J83" s="61">
        <f>IF($N83="","",INDEX('Cronograma R. Operacional'!$M$5:$M$1000,$N83))</f>
        <v/>
      </c>
      <c r="K83" s="56">
        <f>IF($N83="","",IF(N($J83)&gt;=1,"Completado",IF(AND(ISNUMBER($D83),$D83&lt;FechaRef),"Vencida",IF(N($J83)&gt;0,"En curso","Pendiente"))))</f>
        <v/>
      </c>
      <c r="L83" s="56">
        <f>IF($N83="","",INDEX('Cronograma R. Operacional'!$O$5:$O$1000,$N83)&amp;"")</f>
        <v/>
      </c>
      <c r="M83" s="62">
        <f>IF($N83="","",INDEX('Cronograma R. Operacional'!$Q$5:$Q$1000,$N83)&amp;"")</f>
        <v/>
      </c>
      <c r="N83">
        <f>IFERROR(MATCH(ROW()-4,rOrden_RO,0),"")</f>
        <v/>
      </c>
      <c r="O83">
        <f>IF($N83="","",INDEX('Cronograma R. Operacional'!$V$5:$V$1000,$N83))</f>
        <v/>
      </c>
      <c r="P83">
        <f>IF($N83="","",N(INDEX('Cronograma R. Operacional'!$W$5:$W$1000,$N83)))</f>
        <v/>
      </c>
      <c r="Q83">
        <f>IF(OR(LEFT($L83,7)="Vencida",LEFT($L83,5)="Vence"),SUMPRODUCT(--(LEFT($L$5:$L83,7)="Vencida"))+SUMPRODUCT(--(LEFT($L$5:$L83,5)="Vence")),"")</f>
        <v/>
      </c>
    </row>
    <row r="84">
      <c r="A84" s="56">
        <f>IF($N84="","",INDEX('Cronograma R. Operacional'!$A$5:$A$1000,$N84))</f>
        <v/>
      </c>
      <c r="B84" s="62">
        <f>IF($N84="","",IF($O84="Sub","      ↳  "&amp;INDEX('Cronograma R. Operacional'!$C$5:$C$1000,$N84),INDEX('Cronograma R. Operacional'!$C$5:$C$1000,$N84)&amp;""))</f>
        <v/>
      </c>
      <c r="C84" s="79">
        <f>IF($N84="","",IF(INDEX('Cronograma R. Operacional'!$AR$5:$AR$1000,$N84)="","",INDEX('Cronograma R. Operacional'!$AR$5:$AR$1000,$N84)))</f>
        <v/>
      </c>
      <c r="D84" s="79">
        <f>IF($N84="","",IF(INDEX('Cronograma R. Operacional'!$AS$5:$AS$1000,$N84)="","",INDEX('Cronograma R. Operacional'!$AS$5:$AS$1000,$N84)))</f>
        <v/>
      </c>
      <c r="E84" s="56">
        <f>IF($N84="","",IF(NOT(ISNUMBER($D84)),"",IF($D84&lt;InicioCiclo,"Antes del ciclo",IF($D84&gt;=InicioCiclo+28,"Después del ciclo","Semana "&amp;(INT(($D84-InicioCiclo)/7)+1)))))</f>
        <v/>
      </c>
      <c r="F84" s="61">
        <f>IF($N84="","",IF($P84&gt;0,IF(1&lt;=SemanaActual,INDEX('Cronograma R. Operacional'!$AH$5:$AH$1000,$N84),""),IF(INDEX('Cronograma R. Operacional'!$I$5:$I$1000,$N84)="","",INDEX('Cronograma R. Operacional'!$I$5:$I$1000,$N84))))</f>
        <v/>
      </c>
      <c r="G84" s="61">
        <f>IF($N84="","",IF($P84&gt;0,IF(2&lt;=SemanaActual,INDEX('Cronograma R. Operacional'!$AI$5:$AI$1000,$N84),""),IF(INDEX('Cronograma R. Operacional'!$J$5:$J$1000,$N84)="","",INDEX('Cronograma R. Operacional'!$J$5:$J$1000,$N84))))</f>
        <v/>
      </c>
      <c r="H84" s="61">
        <f>IF($N84="","",IF($P84&gt;0,IF(3&lt;=SemanaActual,INDEX('Cronograma R. Operacional'!$AJ$5:$AJ$1000,$N84),""),IF(INDEX('Cronograma R. Operacional'!$K$5:$K$1000,$N84)="","",INDEX('Cronograma R. Operacional'!$K$5:$K$1000,$N84))))</f>
        <v/>
      </c>
      <c r="I84" s="61">
        <f>IF($N84="","",IF($P84&gt;0,IF(4&lt;=SemanaActual,INDEX('Cronograma R. Operacional'!$AK$5:$AK$1000,$N84),""),IF(INDEX('Cronograma R. Operacional'!$L$5:$L$1000,$N84)="","",INDEX('Cronograma R. Operacional'!$L$5:$L$1000,$N84))))</f>
        <v/>
      </c>
      <c r="J84" s="61">
        <f>IF($N84="","",INDEX('Cronograma R. Operacional'!$M$5:$M$1000,$N84))</f>
        <v/>
      </c>
      <c r="K84" s="56">
        <f>IF($N84="","",IF(N($J84)&gt;=1,"Completado",IF(AND(ISNUMBER($D84),$D84&lt;FechaRef),"Vencida",IF(N($J84)&gt;0,"En curso","Pendiente"))))</f>
        <v/>
      </c>
      <c r="L84" s="56">
        <f>IF($N84="","",INDEX('Cronograma R. Operacional'!$O$5:$O$1000,$N84)&amp;"")</f>
        <v/>
      </c>
      <c r="M84" s="62">
        <f>IF($N84="","",INDEX('Cronograma R. Operacional'!$Q$5:$Q$1000,$N84)&amp;"")</f>
        <v/>
      </c>
      <c r="N84">
        <f>IFERROR(MATCH(ROW()-4,rOrden_RO,0),"")</f>
        <v/>
      </c>
      <c r="O84">
        <f>IF($N84="","",INDEX('Cronograma R. Operacional'!$V$5:$V$1000,$N84))</f>
        <v/>
      </c>
      <c r="P84">
        <f>IF($N84="","",N(INDEX('Cronograma R. Operacional'!$W$5:$W$1000,$N84)))</f>
        <v/>
      </c>
      <c r="Q84">
        <f>IF(OR(LEFT($L84,7)="Vencida",LEFT($L84,5)="Vence"),SUMPRODUCT(--(LEFT($L$5:$L84,7)="Vencida"))+SUMPRODUCT(--(LEFT($L$5:$L84,5)="Vence")),"")</f>
        <v/>
      </c>
    </row>
    <row r="85">
      <c r="A85" s="56">
        <f>IF($N85="","",INDEX('Cronograma R. Operacional'!$A$5:$A$1000,$N85))</f>
        <v/>
      </c>
      <c r="B85" s="62">
        <f>IF($N85="","",IF($O85="Sub","      ↳  "&amp;INDEX('Cronograma R. Operacional'!$C$5:$C$1000,$N85),INDEX('Cronograma R. Operacional'!$C$5:$C$1000,$N85)&amp;""))</f>
        <v/>
      </c>
      <c r="C85" s="79">
        <f>IF($N85="","",IF(INDEX('Cronograma R. Operacional'!$AR$5:$AR$1000,$N85)="","",INDEX('Cronograma R. Operacional'!$AR$5:$AR$1000,$N85)))</f>
        <v/>
      </c>
      <c r="D85" s="79">
        <f>IF($N85="","",IF(INDEX('Cronograma R. Operacional'!$AS$5:$AS$1000,$N85)="","",INDEX('Cronograma R. Operacional'!$AS$5:$AS$1000,$N85)))</f>
        <v/>
      </c>
      <c r="E85" s="56">
        <f>IF($N85="","",IF(NOT(ISNUMBER($D85)),"",IF($D85&lt;InicioCiclo,"Antes del ciclo",IF($D85&gt;=InicioCiclo+28,"Después del ciclo","Semana "&amp;(INT(($D85-InicioCiclo)/7)+1)))))</f>
        <v/>
      </c>
      <c r="F85" s="61">
        <f>IF($N85="","",IF($P85&gt;0,IF(1&lt;=SemanaActual,INDEX('Cronograma R. Operacional'!$AH$5:$AH$1000,$N85),""),IF(INDEX('Cronograma R. Operacional'!$I$5:$I$1000,$N85)="","",INDEX('Cronograma R. Operacional'!$I$5:$I$1000,$N85))))</f>
        <v/>
      </c>
      <c r="G85" s="61">
        <f>IF($N85="","",IF($P85&gt;0,IF(2&lt;=SemanaActual,INDEX('Cronograma R. Operacional'!$AI$5:$AI$1000,$N85),""),IF(INDEX('Cronograma R. Operacional'!$J$5:$J$1000,$N85)="","",INDEX('Cronograma R. Operacional'!$J$5:$J$1000,$N85))))</f>
        <v/>
      </c>
      <c r="H85" s="61">
        <f>IF($N85="","",IF($P85&gt;0,IF(3&lt;=SemanaActual,INDEX('Cronograma R. Operacional'!$AJ$5:$AJ$1000,$N85),""),IF(INDEX('Cronograma R. Operacional'!$K$5:$K$1000,$N85)="","",INDEX('Cronograma R. Operacional'!$K$5:$K$1000,$N85))))</f>
        <v/>
      </c>
      <c r="I85" s="61">
        <f>IF($N85="","",IF($P85&gt;0,IF(4&lt;=SemanaActual,INDEX('Cronograma R. Operacional'!$AK$5:$AK$1000,$N85),""),IF(INDEX('Cronograma R. Operacional'!$L$5:$L$1000,$N85)="","",INDEX('Cronograma R. Operacional'!$L$5:$L$1000,$N85))))</f>
        <v/>
      </c>
      <c r="J85" s="61">
        <f>IF($N85="","",INDEX('Cronograma R. Operacional'!$M$5:$M$1000,$N85))</f>
        <v/>
      </c>
      <c r="K85" s="56">
        <f>IF($N85="","",IF(N($J85)&gt;=1,"Completado",IF(AND(ISNUMBER($D85),$D85&lt;FechaRef),"Vencida",IF(N($J85)&gt;0,"En curso","Pendiente"))))</f>
        <v/>
      </c>
      <c r="L85" s="56">
        <f>IF($N85="","",INDEX('Cronograma R. Operacional'!$O$5:$O$1000,$N85)&amp;"")</f>
        <v/>
      </c>
      <c r="M85" s="62">
        <f>IF($N85="","",INDEX('Cronograma R. Operacional'!$Q$5:$Q$1000,$N85)&amp;"")</f>
        <v/>
      </c>
      <c r="N85">
        <f>IFERROR(MATCH(ROW()-4,rOrden_RO,0),"")</f>
        <v/>
      </c>
      <c r="O85">
        <f>IF($N85="","",INDEX('Cronograma R. Operacional'!$V$5:$V$1000,$N85))</f>
        <v/>
      </c>
      <c r="P85">
        <f>IF($N85="","",N(INDEX('Cronograma R. Operacional'!$W$5:$W$1000,$N85)))</f>
        <v/>
      </c>
      <c r="Q85">
        <f>IF(OR(LEFT($L85,7)="Vencida",LEFT($L85,5)="Vence"),SUMPRODUCT(--(LEFT($L$5:$L85,7)="Vencida"))+SUMPRODUCT(--(LEFT($L$5:$L85,5)="Vence")),"")</f>
        <v/>
      </c>
    </row>
    <row r="86">
      <c r="A86" s="56">
        <f>IF($N86="","",INDEX('Cronograma R. Operacional'!$A$5:$A$1000,$N86))</f>
        <v/>
      </c>
      <c r="B86" s="62">
        <f>IF($N86="","",IF($O86="Sub","      ↳  "&amp;INDEX('Cronograma R. Operacional'!$C$5:$C$1000,$N86),INDEX('Cronograma R. Operacional'!$C$5:$C$1000,$N86)&amp;""))</f>
        <v/>
      </c>
      <c r="C86" s="79">
        <f>IF($N86="","",IF(INDEX('Cronograma R. Operacional'!$AR$5:$AR$1000,$N86)="","",INDEX('Cronograma R. Operacional'!$AR$5:$AR$1000,$N86)))</f>
        <v/>
      </c>
      <c r="D86" s="79">
        <f>IF($N86="","",IF(INDEX('Cronograma R. Operacional'!$AS$5:$AS$1000,$N86)="","",INDEX('Cronograma R. Operacional'!$AS$5:$AS$1000,$N86)))</f>
        <v/>
      </c>
      <c r="E86" s="56">
        <f>IF($N86="","",IF(NOT(ISNUMBER($D86)),"",IF($D86&lt;InicioCiclo,"Antes del ciclo",IF($D86&gt;=InicioCiclo+28,"Después del ciclo","Semana "&amp;(INT(($D86-InicioCiclo)/7)+1)))))</f>
        <v/>
      </c>
      <c r="F86" s="61">
        <f>IF($N86="","",IF($P86&gt;0,IF(1&lt;=SemanaActual,INDEX('Cronograma R. Operacional'!$AH$5:$AH$1000,$N86),""),IF(INDEX('Cronograma R. Operacional'!$I$5:$I$1000,$N86)="","",INDEX('Cronograma R. Operacional'!$I$5:$I$1000,$N86))))</f>
        <v/>
      </c>
      <c r="G86" s="61">
        <f>IF($N86="","",IF($P86&gt;0,IF(2&lt;=SemanaActual,INDEX('Cronograma R. Operacional'!$AI$5:$AI$1000,$N86),""),IF(INDEX('Cronograma R. Operacional'!$J$5:$J$1000,$N86)="","",INDEX('Cronograma R. Operacional'!$J$5:$J$1000,$N86))))</f>
        <v/>
      </c>
      <c r="H86" s="61">
        <f>IF($N86="","",IF($P86&gt;0,IF(3&lt;=SemanaActual,INDEX('Cronograma R. Operacional'!$AJ$5:$AJ$1000,$N86),""),IF(INDEX('Cronograma R. Operacional'!$K$5:$K$1000,$N86)="","",INDEX('Cronograma R. Operacional'!$K$5:$K$1000,$N86))))</f>
        <v/>
      </c>
      <c r="I86" s="61">
        <f>IF($N86="","",IF($P86&gt;0,IF(4&lt;=SemanaActual,INDEX('Cronograma R. Operacional'!$AK$5:$AK$1000,$N86),""),IF(INDEX('Cronograma R. Operacional'!$L$5:$L$1000,$N86)="","",INDEX('Cronograma R. Operacional'!$L$5:$L$1000,$N86))))</f>
        <v/>
      </c>
      <c r="J86" s="61">
        <f>IF($N86="","",INDEX('Cronograma R. Operacional'!$M$5:$M$1000,$N86))</f>
        <v/>
      </c>
      <c r="K86" s="56">
        <f>IF($N86="","",IF(N($J86)&gt;=1,"Completado",IF(AND(ISNUMBER($D86),$D86&lt;FechaRef),"Vencida",IF(N($J86)&gt;0,"En curso","Pendiente"))))</f>
        <v/>
      </c>
      <c r="L86" s="56">
        <f>IF($N86="","",INDEX('Cronograma R. Operacional'!$O$5:$O$1000,$N86)&amp;"")</f>
        <v/>
      </c>
      <c r="M86" s="62">
        <f>IF($N86="","",INDEX('Cronograma R. Operacional'!$Q$5:$Q$1000,$N86)&amp;"")</f>
        <v/>
      </c>
      <c r="N86">
        <f>IFERROR(MATCH(ROW()-4,rOrden_RO,0),"")</f>
        <v/>
      </c>
      <c r="O86">
        <f>IF($N86="","",INDEX('Cronograma R. Operacional'!$V$5:$V$1000,$N86))</f>
        <v/>
      </c>
      <c r="P86">
        <f>IF($N86="","",N(INDEX('Cronograma R. Operacional'!$W$5:$W$1000,$N86)))</f>
        <v/>
      </c>
      <c r="Q86">
        <f>IF(OR(LEFT($L86,7)="Vencida",LEFT($L86,5)="Vence"),SUMPRODUCT(--(LEFT($L$5:$L86,7)="Vencida"))+SUMPRODUCT(--(LEFT($L$5:$L86,5)="Vence")),"")</f>
        <v/>
      </c>
    </row>
    <row r="87">
      <c r="A87" s="56">
        <f>IF($N87="","",INDEX('Cronograma R. Operacional'!$A$5:$A$1000,$N87))</f>
        <v/>
      </c>
      <c r="B87" s="62">
        <f>IF($N87="","",IF($O87="Sub","      ↳  "&amp;INDEX('Cronograma R. Operacional'!$C$5:$C$1000,$N87),INDEX('Cronograma R. Operacional'!$C$5:$C$1000,$N87)&amp;""))</f>
        <v/>
      </c>
      <c r="C87" s="79">
        <f>IF($N87="","",IF(INDEX('Cronograma R. Operacional'!$AR$5:$AR$1000,$N87)="","",INDEX('Cronograma R. Operacional'!$AR$5:$AR$1000,$N87)))</f>
        <v/>
      </c>
      <c r="D87" s="79">
        <f>IF($N87="","",IF(INDEX('Cronograma R. Operacional'!$AS$5:$AS$1000,$N87)="","",INDEX('Cronograma R. Operacional'!$AS$5:$AS$1000,$N87)))</f>
        <v/>
      </c>
      <c r="E87" s="56">
        <f>IF($N87="","",IF(NOT(ISNUMBER($D87)),"",IF($D87&lt;InicioCiclo,"Antes del ciclo",IF($D87&gt;=InicioCiclo+28,"Después del ciclo","Semana "&amp;(INT(($D87-InicioCiclo)/7)+1)))))</f>
        <v/>
      </c>
      <c r="F87" s="61">
        <f>IF($N87="","",IF($P87&gt;0,IF(1&lt;=SemanaActual,INDEX('Cronograma R. Operacional'!$AH$5:$AH$1000,$N87),""),IF(INDEX('Cronograma R. Operacional'!$I$5:$I$1000,$N87)="","",INDEX('Cronograma R. Operacional'!$I$5:$I$1000,$N87))))</f>
        <v/>
      </c>
      <c r="G87" s="61">
        <f>IF($N87="","",IF($P87&gt;0,IF(2&lt;=SemanaActual,INDEX('Cronograma R. Operacional'!$AI$5:$AI$1000,$N87),""),IF(INDEX('Cronograma R. Operacional'!$J$5:$J$1000,$N87)="","",INDEX('Cronograma R. Operacional'!$J$5:$J$1000,$N87))))</f>
        <v/>
      </c>
      <c r="H87" s="61">
        <f>IF($N87="","",IF($P87&gt;0,IF(3&lt;=SemanaActual,INDEX('Cronograma R. Operacional'!$AJ$5:$AJ$1000,$N87),""),IF(INDEX('Cronograma R. Operacional'!$K$5:$K$1000,$N87)="","",INDEX('Cronograma R. Operacional'!$K$5:$K$1000,$N87))))</f>
        <v/>
      </c>
      <c r="I87" s="61">
        <f>IF($N87="","",IF($P87&gt;0,IF(4&lt;=SemanaActual,INDEX('Cronograma R. Operacional'!$AK$5:$AK$1000,$N87),""),IF(INDEX('Cronograma R. Operacional'!$L$5:$L$1000,$N87)="","",INDEX('Cronograma R. Operacional'!$L$5:$L$1000,$N87))))</f>
        <v/>
      </c>
      <c r="J87" s="61">
        <f>IF($N87="","",INDEX('Cronograma R. Operacional'!$M$5:$M$1000,$N87))</f>
        <v/>
      </c>
      <c r="K87" s="56">
        <f>IF($N87="","",IF(N($J87)&gt;=1,"Completado",IF(AND(ISNUMBER($D87),$D87&lt;FechaRef),"Vencida",IF(N($J87)&gt;0,"En curso","Pendiente"))))</f>
        <v/>
      </c>
      <c r="L87" s="56">
        <f>IF($N87="","",INDEX('Cronograma R. Operacional'!$O$5:$O$1000,$N87)&amp;"")</f>
        <v/>
      </c>
      <c r="M87" s="62">
        <f>IF($N87="","",INDEX('Cronograma R. Operacional'!$Q$5:$Q$1000,$N87)&amp;"")</f>
        <v/>
      </c>
      <c r="N87">
        <f>IFERROR(MATCH(ROW()-4,rOrden_RO,0),"")</f>
        <v/>
      </c>
      <c r="O87">
        <f>IF($N87="","",INDEX('Cronograma R. Operacional'!$V$5:$V$1000,$N87))</f>
        <v/>
      </c>
      <c r="P87">
        <f>IF($N87="","",N(INDEX('Cronograma R. Operacional'!$W$5:$W$1000,$N87)))</f>
        <v/>
      </c>
      <c r="Q87">
        <f>IF(OR(LEFT($L87,7)="Vencida",LEFT($L87,5)="Vence"),SUMPRODUCT(--(LEFT($L$5:$L87,7)="Vencida"))+SUMPRODUCT(--(LEFT($L$5:$L87,5)="Vence")),"")</f>
        <v/>
      </c>
    </row>
    <row r="88">
      <c r="A88" s="56">
        <f>IF($N88="","",INDEX('Cronograma R. Operacional'!$A$5:$A$1000,$N88))</f>
        <v/>
      </c>
      <c r="B88" s="62">
        <f>IF($N88="","",IF($O88="Sub","      ↳  "&amp;INDEX('Cronograma R. Operacional'!$C$5:$C$1000,$N88),INDEX('Cronograma R. Operacional'!$C$5:$C$1000,$N88)&amp;""))</f>
        <v/>
      </c>
      <c r="C88" s="79">
        <f>IF($N88="","",IF(INDEX('Cronograma R. Operacional'!$AR$5:$AR$1000,$N88)="","",INDEX('Cronograma R. Operacional'!$AR$5:$AR$1000,$N88)))</f>
        <v/>
      </c>
      <c r="D88" s="79">
        <f>IF($N88="","",IF(INDEX('Cronograma R. Operacional'!$AS$5:$AS$1000,$N88)="","",INDEX('Cronograma R. Operacional'!$AS$5:$AS$1000,$N88)))</f>
        <v/>
      </c>
      <c r="E88" s="56">
        <f>IF($N88="","",IF(NOT(ISNUMBER($D88)),"",IF($D88&lt;InicioCiclo,"Antes del ciclo",IF($D88&gt;=InicioCiclo+28,"Después del ciclo","Semana "&amp;(INT(($D88-InicioCiclo)/7)+1)))))</f>
        <v/>
      </c>
      <c r="F88" s="61">
        <f>IF($N88="","",IF($P88&gt;0,IF(1&lt;=SemanaActual,INDEX('Cronograma R. Operacional'!$AH$5:$AH$1000,$N88),""),IF(INDEX('Cronograma R. Operacional'!$I$5:$I$1000,$N88)="","",INDEX('Cronograma R. Operacional'!$I$5:$I$1000,$N88))))</f>
        <v/>
      </c>
      <c r="G88" s="61">
        <f>IF($N88="","",IF($P88&gt;0,IF(2&lt;=SemanaActual,INDEX('Cronograma R. Operacional'!$AI$5:$AI$1000,$N88),""),IF(INDEX('Cronograma R. Operacional'!$J$5:$J$1000,$N88)="","",INDEX('Cronograma R. Operacional'!$J$5:$J$1000,$N88))))</f>
        <v/>
      </c>
      <c r="H88" s="61">
        <f>IF($N88="","",IF($P88&gt;0,IF(3&lt;=SemanaActual,INDEX('Cronograma R. Operacional'!$AJ$5:$AJ$1000,$N88),""),IF(INDEX('Cronograma R. Operacional'!$K$5:$K$1000,$N88)="","",INDEX('Cronograma R. Operacional'!$K$5:$K$1000,$N88))))</f>
        <v/>
      </c>
      <c r="I88" s="61">
        <f>IF($N88="","",IF($P88&gt;0,IF(4&lt;=SemanaActual,INDEX('Cronograma R. Operacional'!$AK$5:$AK$1000,$N88),""),IF(INDEX('Cronograma R. Operacional'!$L$5:$L$1000,$N88)="","",INDEX('Cronograma R. Operacional'!$L$5:$L$1000,$N88))))</f>
        <v/>
      </c>
      <c r="J88" s="61">
        <f>IF($N88="","",INDEX('Cronograma R. Operacional'!$M$5:$M$1000,$N88))</f>
        <v/>
      </c>
      <c r="K88" s="56">
        <f>IF($N88="","",IF(N($J88)&gt;=1,"Completado",IF(AND(ISNUMBER($D88),$D88&lt;FechaRef),"Vencida",IF(N($J88)&gt;0,"En curso","Pendiente"))))</f>
        <v/>
      </c>
      <c r="L88" s="56">
        <f>IF($N88="","",INDEX('Cronograma R. Operacional'!$O$5:$O$1000,$N88)&amp;"")</f>
        <v/>
      </c>
      <c r="M88" s="62">
        <f>IF($N88="","",INDEX('Cronograma R. Operacional'!$Q$5:$Q$1000,$N88)&amp;"")</f>
        <v/>
      </c>
      <c r="N88">
        <f>IFERROR(MATCH(ROW()-4,rOrden_RO,0),"")</f>
        <v/>
      </c>
      <c r="O88">
        <f>IF($N88="","",INDEX('Cronograma R. Operacional'!$V$5:$V$1000,$N88))</f>
        <v/>
      </c>
      <c r="P88">
        <f>IF($N88="","",N(INDEX('Cronograma R. Operacional'!$W$5:$W$1000,$N88)))</f>
        <v/>
      </c>
      <c r="Q88">
        <f>IF(OR(LEFT($L88,7)="Vencida",LEFT($L88,5)="Vence"),SUMPRODUCT(--(LEFT($L$5:$L88,7)="Vencida"))+SUMPRODUCT(--(LEFT($L$5:$L88,5)="Vence")),"")</f>
        <v/>
      </c>
    </row>
    <row r="89">
      <c r="A89" s="56">
        <f>IF($N89="","",INDEX('Cronograma R. Operacional'!$A$5:$A$1000,$N89))</f>
        <v/>
      </c>
      <c r="B89" s="62">
        <f>IF($N89="","",IF($O89="Sub","      ↳  "&amp;INDEX('Cronograma R. Operacional'!$C$5:$C$1000,$N89),INDEX('Cronograma R. Operacional'!$C$5:$C$1000,$N89)&amp;""))</f>
        <v/>
      </c>
      <c r="C89" s="79">
        <f>IF($N89="","",IF(INDEX('Cronograma R. Operacional'!$AR$5:$AR$1000,$N89)="","",INDEX('Cronograma R. Operacional'!$AR$5:$AR$1000,$N89)))</f>
        <v/>
      </c>
      <c r="D89" s="79">
        <f>IF($N89="","",IF(INDEX('Cronograma R. Operacional'!$AS$5:$AS$1000,$N89)="","",INDEX('Cronograma R. Operacional'!$AS$5:$AS$1000,$N89)))</f>
        <v/>
      </c>
      <c r="E89" s="56">
        <f>IF($N89="","",IF(NOT(ISNUMBER($D89)),"",IF($D89&lt;InicioCiclo,"Antes del ciclo",IF($D89&gt;=InicioCiclo+28,"Después del ciclo","Semana "&amp;(INT(($D89-InicioCiclo)/7)+1)))))</f>
        <v/>
      </c>
      <c r="F89" s="61">
        <f>IF($N89="","",IF($P89&gt;0,IF(1&lt;=SemanaActual,INDEX('Cronograma R. Operacional'!$AH$5:$AH$1000,$N89),""),IF(INDEX('Cronograma R. Operacional'!$I$5:$I$1000,$N89)="","",INDEX('Cronograma R. Operacional'!$I$5:$I$1000,$N89))))</f>
        <v/>
      </c>
      <c r="G89" s="61">
        <f>IF($N89="","",IF($P89&gt;0,IF(2&lt;=SemanaActual,INDEX('Cronograma R. Operacional'!$AI$5:$AI$1000,$N89),""),IF(INDEX('Cronograma R. Operacional'!$J$5:$J$1000,$N89)="","",INDEX('Cronograma R. Operacional'!$J$5:$J$1000,$N89))))</f>
        <v/>
      </c>
      <c r="H89" s="61">
        <f>IF($N89="","",IF($P89&gt;0,IF(3&lt;=SemanaActual,INDEX('Cronograma R. Operacional'!$AJ$5:$AJ$1000,$N89),""),IF(INDEX('Cronograma R. Operacional'!$K$5:$K$1000,$N89)="","",INDEX('Cronograma R. Operacional'!$K$5:$K$1000,$N89))))</f>
        <v/>
      </c>
      <c r="I89" s="61">
        <f>IF($N89="","",IF($P89&gt;0,IF(4&lt;=SemanaActual,INDEX('Cronograma R. Operacional'!$AK$5:$AK$1000,$N89),""),IF(INDEX('Cronograma R. Operacional'!$L$5:$L$1000,$N89)="","",INDEX('Cronograma R. Operacional'!$L$5:$L$1000,$N89))))</f>
        <v/>
      </c>
      <c r="J89" s="61">
        <f>IF($N89="","",INDEX('Cronograma R. Operacional'!$M$5:$M$1000,$N89))</f>
        <v/>
      </c>
      <c r="K89" s="56">
        <f>IF($N89="","",IF(N($J89)&gt;=1,"Completado",IF(AND(ISNUMBER($D89),$D89&lt;FechaRef),"Vencida",IF(N($J89)&gt;0,"En curso","Pendiente"))))</f>
        <v/>
      </c>
      <c r="L89" s="56">
        <f>IF($N89="","",INDEX('Cronograma R. Operacional'!$O$5:$O$1000,$N89)&amp;"")</f>
        <v/>
      </c>
      <c r="M89" s="62">
        <f>IF($N89="","",INDEX('Cronograma R. Operacional'!$Q$5:$Q$1000,$N89)&amp;"")</f>
        <v/>
      </c>
      <c r="N89">
        <f>IFERROR(MATCH(ROW()-4,rOrden_RO,0),"")</f>
        <v/>
      </c>
      <c r="O89">
        <f>IF($N89="","",INDEX('Cronograma R. Operacional'!$V$5:$V$1000,$N89))</f>
        <v/>
      </c>
      <c r="P89">
        <f>IF($N89="","",N(INDEX('Cronograma R. Operacional'!$W$5:$W$1000,$N89)))</f>
        <v/>
      </c>
      <c r="Q89">
        <f>IF(OR(LEFT($L89,7)="Vencida",LEFT($L89,5)="Vence"),SUMPRODUCT(--(LEFT($L$5:$L89,7)="Vencida"))+SUMPRODUCT(--(LEFT($L$5:$L89,5)="Vence")),"")</f>
        <v/>
      </c>
    </row>
    <row r="90">
      <c r="A90" s="56">
        <f>IF($N90="","",INDEX('Cronograma R. Operacional'!$A$5:$A$1000,$N90))</f>
        <v/>
      </c>
      <c r="B90" s="62">
        <f>IF($N90="","",IF($O90="Sub","      ↳  "&amp;INDEX('Cronograma R. Operacional'!$C$5:$C$1000,$N90),INDEX('Cronograma R. Operacional'!$C$5:$C$1000,$N90)&amp;""))</f>
        <v/>
      </c>
      <c r="C90" s="79">
        <f>IF($N90="","",IF(INDEX('Cronograma R. Operacional'!$AR$5:$AR$1000,$N90)="","",INDEX('Cronograma R. Operacional'!$AR$5:$AR$1000,$N90)))</f>
        <v/>
      </c>
      <c r="D90" s="79">
        <f>IF($N90="","",IF(INDEX('Cronograma R. Operacional'!$AS$5:$AS$1000,$N90)="","",INDEX('Cronograma R. Operacional'!$AS$5:$AS$1000,$N90)))</f>
        <v/>
      </c>
      <c r="E90" s="56">
        <f>IF($N90="","",IF(NOT(ISNUMBER($D90)),"",IF($D90&lt;InicioCiclo,"Antes del ciclo",IF($D90&gt;=InicioCiclo+28,"Después del ciclo","Semana "&amp;(INT(($D90-InicioCiclo)/7)+1)))))</f>
        <v/>
      </c>
      <c r="F90" s="61">
        <f>IF($N90="","",IF($P90&gt;0,IF(1&lt;=SemanaActual,INDEX('Cronograma R. Operacional'!$AH$5:$AH$1000,$N90),""),IF(INDEX('Cronograma R. Operacional'!$I$5:$I$1000,$N90)="","",INDEX('Cronograma R. Operacional'!$I$5:$I$1000,$N90))))</f>
        <v/>
      </c>
      <c r="G90" s="61">
        <f>IF($N90="","",IF($P90&gt;0,IF(2&lt;=SemanaActual,INDEX('Cronograma R. Operacional'!$AI$5:$AI$1000,$N90),""),IF(INDEX('Cronograma R. Operacional'!$J$5:$J$1000,$N90)="","",INDEX('Cronograma R. Operacional'!$J$5:$J$1000,$N90))))</f>
        <v/>
      </c>
      <c r="H90" s="61">
        <f>IF($N90="","",IF($P90&gt;0,IF(3&lt;=SemanaActual,INDEX('Cronograma R. Operacional'!$AJ$5:$AJ$1000,$N90),""),IF(INDEX('Cronograma R. Operacional'!$K$5:$K$1000,$N90)="","",INDEX('Cronograma R. Operacional'!$K$5:$K$1000,$N90))))</f>
        <v/>
      </c>
      <c r="I90" s="61">
        <f>IF($N90="","",IF($P90&gt;0,IF(4&lt;=SemanaActual,INDEX('Cronograma R. Operacional'!$AK$5:$AK$1000,$N90),""),IF(INDEX('Cronograma R. Operacional'!$L$5:$L$1000,$N90)="","",INDEX('Cronograma R. Operacional'!$L$5:$L$1000,$N90))))</f>
        <v/>
      </c>
      <c r="J90" s="61">
        <f>IF($N90="","",INDEX('Cronograma R. Operacional'!$M$5:$M$1000,$N90))</f>
        <v/>
      </c>
      <c r="K90" s="56">
        <f>IF($N90="","",IF(N($J90)&gt;=1,"Completado",IF(AND(ISNUMBER($D90),$D90&lt;FechaRef),"Vencida",IF(N($J90)&gt;0,"En curso","Pendiente"))))</f>
        <v/>
      </c>
      <c r="L90" s="56">
        <f>IF($N90="","",INDEX('Cronograma R. Operacional'!$O$5:$O$1000,$N90)&amp;"")</f>
        <v/>
      </c>
      <c r="M90" s="62">
        <f>IF($N90="","",INDEX('Cronograma R. Operacional'!$Q$5:$Q$1000,$N90)&amp;"")</f>
        <v/>
      </c>
      <c r="N90">
        <f>IFERROR(MATCH(ROW()-4,rOrden_RO,0),"")</f>
        <v/>
      </c>
      <c r="O90">
        <f>IF($N90="","",INDEX('Cronograma R. Operacional'!$V$5:$V$1000,$N90))</f>
        <v/>
      </c>
      <c r="P90">
        <f>IF($N90="","",N(INDEX('Cronograma R. Operacional'!$W$5:$W$1000,$N90)))</f>
        <v/>
      </c>
      <c r="Q90">
        <f>IF(OR(LEFT($L90,7)="Vencida",LEFT($L90,5)="Vence"),SUMPRODUCT(--(LEFT($L$5:$L90,7)="Vencida"))+SUMPRODUCT(--(LEFT($L$5:$L90,5)="Vence")),"")</f>
        <v/>
      </c>
    </row>
    <row r="91">
      <c r="A91" s="56">
        <f>IF($N91="","",INDEX('Cronograma R. Operacional'!$A$5:$A$1000,$N91))</f>
        <v/>
      </c>
      <c r="B91" s="62">
        <f>IF($N91="","",IF($O91="Sub","      ↳  "&amp;INDEX('Cronograma R. Operacional'!$C$5:$C$1000,$N91),INDEX('Cronograma R. Operacional'!$C$5:$C$1000,$N91)&amp;""))</f>
        <v/>
      </c>
      <c r="C91" s="79">
        <f>IF($N91="","",IF(INDEX('Cronograma R. Operacional'!$AR$5:$AR$1000,$N91)="","",INDEX('Cronograma R. Operacional'!$AR$5:$AR$1000,$N91)))</f>
        <v/>
      </c>
      <c r="D91" s="79">
        <f>IF($N91="","",IF(INDEX('Cronograma R. Operacional'!$AS$5:$AS$1000,$N91)="","",INDEX('Cronograma R. Operacional'!$AS$5:$AS$1000,$N91)))</f>
        <v/>
      </c>
      <c r="E91" s="56">
        <f>IF($N91="","",IF(NOT(ISNUMBER($D91)),"",IF($D91&lt;InicioCiclo,"Antes del ciclo",IF($D91&gt;=InicioCiclo+28,"Después del ciclo","Semana "&amp;(INT(($D91-InicioCiclo)/7)+1)))))</f>
        <v/>
      </c>
      <c r="F91" s="61">
        <f>IF($N91="","",IF($P91&gt;0,IF(1&lt;=SemanaActual,INDEX('Cronograma R. Operacional'!$AH$5:$AH$1000,$N91),""),IF(INDEX('Cronograma R. Operacional'!$I$5:$I$1000,$N91)="","",INDEX('Cronograma R. Operacional'!$I$5:$I$1000,$N91))))</f>
        <v/>
      </c>
      <c r="G91" s="61">
        <f>IF($N91="","",IF($P91&gt;0,IF(2&lt;=SemanaActual,INDEX('Cronograma R. Operacional'!$AI$5:$AI$1000,$N91),""),IF(INDEX('Cronograma R. Operacional'!$J$5:$J$1000,$N91)="","",INDEX('Cronograma R. Operacional'!$J$5:$J$1000,$N91))))</f>
        <v/>
      </c>
      <c r="H91" s="61">
        <f>IF($N91="","",IF($P91&gt;0,IF(3&lt;=SemanaActual,INDEX('Cronograma R. Operacional'!$AJ$5:$AJ$1000,$N91),""),IF(INDEX('Cronograma R. Operacional'!$K$5:$K$1000,$N91)="","",INDEX('Cronograma R. Operacional'!$K$5:$K$1000,$N91))))</f>
        <v/>
      </c>
      <c r="I91" s="61">
        <f>IF($N91="","",IF($P91&gt;0,IF(4&lt;=SemanaActual,INDEX('Cronograma R. Operacional'!$AK$5:$AK$1000,$N91),""),IF(INDEX('Cronograma R. Operacional'!$L$5:$L$1000,$N91)="","",INDEX('Cronograma R. Operacional'!$L$5:$L$1000,$N91))))</f>
        <v/>
      </c>
      <c r="J91" s="61">
        <f>IF($N91="","",INDEX('Cronograma R. Operacional'!$M$5:$M$1000,$N91))</f>
        <v/>
      </c>
      <c r="K91" s="56">
        <f>IF($N91="","",IF(N($J91)&gt;=1,"Completado",IF(AND(ISNUMBER($D91),$D91&lt;FechaRef),"Vencida",IF(N($J91)&gt;0,"En curso","Pendiente"))))</f>
        <v/>
      </c>
      <c r="L91" s="56">
        <f>IF($N91="","",INDEX('Cronograma R. Operacional'!$O$5:$O$1000,$N91)&amp;"")</f>
        <v/>
      </c>
      <c r="M91" s="62">
        <f>IF($N91="","",INDEX('Cronograma R. Operacional'!$Q$5:$Q$1000,$N91)&amp;"")</f>
        <v/>
      </c>
      <c r="N91">
        <f>IFERROR(MATCH(ROW()-4,rOrden_RO,0),"")</f>
        <v/>
      </c>
      <c r="O91">
        <f>IF($N91="","",INDEX('Cronograma R. Operacional'!$V$5:$V$1000,$N91))</f>
        <v/>
      </c>
      <c r="P91">
        <f>IF($N91="","",N(INDEX('Cronograma R. Operacional'!$W$5:$W$1000,$N91)))</f>
        <v/>
      </c>
      <c r="Q91">
        <f>IF(OR(LEFT($L91,7)="Vencida",LEFT($L91,5)="Vence"),SUMPRODUCT(--(LEFT($L$5:$L91,7)="Vencida"))+SUMPRODUCT(--(LEFT($L$5:$L91,5)="Vence")),"")</f>
        <v/>
      </c>
    </row>
    <row r="92">
      <c r="A92" s="56">
        <f>IF($N92="","",INDEX('Cronograma R. Operacional'!$A$5:$A$1000,$N92))</f>
        <v/>
      </c>
      <c r="B92" s="62">
        <f>IF($N92="","",IF($O92="Sub","      ↳  "&amp;INDEX('Cronograma R. Operacional'!$C$5:$C$1000,$N92),INDEX('Cronograma R. Operacional'!$C$5:$C$1000,$N92)&amp;""))</f>
        <v/>
      </c>
      <c r="C92" s="79">
        <f>IF($N92="","",IF(INDEX('Cronograma R. Operacional'!$AR$5:$AR$1000,$N92)="","",INDEX('Cronograma R. Operacional'!$AR$5:$AR$1000,$N92)))</f>
        <v/>
      </c>
      <c r="D92" s="79">
        <f>IF($N92="","",IF(INDEX('Cronograma R. Operacional'!$AS$5:$AS$1000,$N92)="","",INDEX('Cronograma R. Operacional'!$AS$5:$AS$1000,$N92)))</f>
        <v/>
      </c>
      <c r="E92" s="56">
        <f>IF($N92="","",IF(NOT(ISNUMBER($D92)),"",IF($D92&lt;InicioCiclo,"Antes del ciclo",IF($D92&gt;=InicioCiclo+28,"Después del ciclo","Semana "&amp;(INT(($D92-InicioCiclo)/7)+1)))))</f>
        <v/>
      </c>
      <c r="F92" s="61">
        <f>IF($N92="","",IF($P92&gt;0,IF(1&lt;=SemanaActual,INDEX('Cronograma R. Operacional'!$AH$5:$AH$1000,$N92),""),IF(INDEX('Cronograma R. Operacional'!$I$5:$I$1000,$N92)="","",INDEX('Cronograma R. Operacional'!$I$5:$I$1000,$N92))))</f>
        <v/>
      </c>
      <c r="G92" s="61">
        <f>IF($N92="","",IF($P92&gt;0,IF(2&lt;=SemanaActual,INDEX('Cronograma R. Operacional'!$AI$5:$AI$1000,$N92),""),IF(INDEX('Cronograma R. Operacional'!$J$5:$J$1000,$N92)="","",INDEX('Cronograma R. Operacional'!$J$5:$J$1000,$N92))))</f>
        <v/>
      </c>
      <c r="H92" s="61">
        <f>IF($N92="","",IF($P92&gt;0,IF(3&lt;=SemanaActual,INDEX('Cronograma R. Operacional'!$AJ$5:$AJ$1000,$N92),""),IF(INDEX('Cronograma R. Operacional'!$K$5:$K$1000,$N92)="","",INDEX('Cronograma R. Operacional'!$K$5:$K$1000,$N92))))</f>
        <v/>
      </c>
      <c r="I92" s="61">
        <f>IF($N92="","",IF($P92&gt;0,IF(4&lt;=SemanaActual,INDEX('Cronograma R. Operacional'!$AK$5:$AK$1000,$N92),""),IF(INDEX('Cronograma R. Operacional'!$L$5:$L$1000,$N92)="","",INDEX('Cronograma R. Operacional'!$L$5:$L$1000,$N92))))</f>
        <v/>
      </c>
      <c r="J92" s="61">
        <f>IF($N92="","",INDEX('Cronograma R. Operacional'!$M$5:$M$1000,$N92))</f>
        <v/>
      </c>
      <c r="K92" s="56">
        <f>IF($N92="","",IF(N($J92)&gt;=1,"Completado",IF(AND(ISNUMBER($D92),$D92&lt;FechaRef),"Vencida",IF(N($J92)&gt;0,"En curso","Pendiente"))))</f>
        <v/>
      </c>
      <c r="L92" s="56">
        <f>IF($N92="","",INDEX('Cronograma R. Operacional'!$O$5:$O$1000,$N92)&amp;"")</f>
        <v/>
      </c>
      <c r="M92" s="62">
        <f>IF($N92="","",INDEX('Cronograma R. Operacional'!$Q$5:$Q$1000,$N92)&amp;"")</f>
        <v/>
      </c>
      <c r="N92">
        <f>IFERROR(MATCH(ROW()-4,rOrden_RO,0),"")</f>
        <v/>
      </c>
      <c r="O92">
        <f>IF($N92="","",INDEX('Cronograma R. Operacional'!$V$5:$V$1000,$N92))</f>
        <v/>
      </c>
      <c r="P92">
        <f>IF($N92="","",N(INDEX('Cronograma R. Operacional'!$W$5:$W$1000,$N92)))</f>
        <v/>
      </c>
      <c r="Q92">
        <f>IF(OR(LEFT($L92,7)="Vencida",LEFT($L92,5)="Vence"),SUMPRODUCT(--(LEFT($L$5:$L92,7)="Vencida"))+SUMPRODUCT(--(LEFT($L$5:$L92,5)="Vence")),"")</f>
        <v/>
      </c>
    </row>
    <row r="93">
      <c r="A93" s="56">
        <f>IF($N93="","",INDEX('Cronograma R. Operacional'!$A$5:$A$1000,$N93))</f>
        <v/>
      </c>
      <c r="B93" s="62">
        <f>IF($N93="","",IF($O93="Sub","      ↳  "&amp;INDEX('Cronograma R. Operacional'!$C$5:$C$1000,$N93),INDEX('Cronograma R. Operacional'!$C$5:$C$1000,$N93)&amp;""))</f>
        <v/>
      </c>
      <c r="C93" s="79">
        <f>IF($N93="","",IF(INDEX('Cronograma R. Operacional'!$AR$5:$AR$1000,$N93)="","",INDEX('Cronograma R. Operacional'!$AR$5:$AR$1000,$N93)))</f>
        <v/>
      </c>
      <c r="D93" s="79">
        <f>IF($N93="","",IF(INDEX('Cronograma R. Operacional'!$AS$5:$AS$1000,$N93)="","",INDEX('Cronograma R. Operacional'!$AS$5:$AS$1000,$N93)))</f>
        <v/>
      </c>
      <c r="E93" s="56">
        <f>IF($N93="","",IF(NOT(ISNUMBER($D93)),"",IF($D93&lt;InicioCiclo,"Antes del ciclo",IF($D93&gt;=InicioCiclo+28,"Después del ciclo","Semana "&amp;(INT(($D93-InicioCiclo)/7)+1)))))</f>
        <v/>
      </c>
      <c r="F93" s="61">
        <f>IF($N93="","",IF($P93&gt;0,IF(1&lt;=SemanaActual,INDEX('Cronograma R. Operacional'!$AH$5:$AH$1000,$N93),""),IF(INDEX('Cronograma R. Operacional'!$I$5:$I$1000,$N93)="","",INDEX('Cronograma R. Operacional'!$I$5:$I$1000,$N93))))</f>
        <v/>
      </c>
      <c r="G93" s="61">
        <f>IF($N93="","",IF($P93&gt;0,IF(2&lt;=SemanaActual,INDEX('Cronograma R. Operacional'!$AI$5:$AI$1000,$N93),""),IF(INDEX('Cronograma R. Operacional'!$J$5:$J$1000,$N93)="","",INDEX('Cronograma R. Operacional'!$J$5:$J$1000,$N93))))</f>
        <v/>
      </c>
      <c r="H93" s="61">
        <f>IF($N93="","",IF($P93&gt;0,IF(3&lt;=SemanaActual,INDEX('Cronograma R. Operacional'!$AJ$5:$AJ$1000,$N93),""),IF(INDEX('Cronograma R. Operacional'!$K$5:$K$1000,$N93)="","",INDEX('Cronograma R. Operacional'!$K$5:$K$1000,$N93))))</f>
        <v/>
      </c>
      <c r="I93" s="61">
        <f>IF($N93="","",IF($P93&gt;0,IF(4&lt;=SemanaActual,INDEX('Cronograma R. Operacional'!$AK$5:$AK$1000,$N93),""),IF(INDEX('Cronograma R. Operacional'!$L$5:$L$1000,$N93)="","",INDEX('Cronograma R. Operacional'!$L$5:$L$1000,$N93))))</f>
        <v/>
      </c>
      <c r="J93" s="61">
        <f>IF($N93="","",INDEX('Cronograma R. Operacional'!$M$5:$M$1000,$N93))</f>
        <v/>
      </c>
      <c r="K93" s="56">
        <f>IF($N93="","",IF(N($J93)&gt;=1,"Completado",IF(AND(ISNUMBER($D93),$D93&lt;FechaRef),"Vencida",IF(N($J93)&gt;0,"En curso","Pendiente"))))</f>
        <v/>
      </c>
      <c r="L93" s="56">
        <f>IF($N93="","",INDEX('Cronograma R. Operacional'!$O$5:$O$1000,$N93)&amp;"")</f>
        <v/>
      </c>
      <c r="M93" s="62">
        <f>IF($N93="","",INDEX('Cronograma R. Operacional'!$Q$5:$Q$1000,$N93)&amp;"")</f>
        <v/>
      </c>
      <c r="N93">
        <f>IFERROR(MATCH(ROW()-4,rOrden_RO,0),"")</f>
        <v/>
      </c>
      <c r="O93">
        <f>IF($N93="","",INDEX('Cronograma R. Operacional'!$V$5:$V$1000,$N93))</f>
        <v/>
      </c>
      <c r="P93">
        <f>IF($N93="","",N(INDEX('Cronograma R. Operacional'!$W$5:$W$1000,$N93)))</f>
        <v/>
      </c>
      <c r="Q93">
        <f>IF(OR(LEFT($L93,7)="Vencida",LEFT($L93,5)="Vence"),SUMPRODUCT(--(LEFT($L$5:$L93,7)="Vencida"))+SUMPRODUCT(--(LEFT($L$5:$L93,5)="Vence")),"")</f>
        <v/>
      </c>
    </row>
    <row r="94">
      <c r="A94" s="56">
        <f>IF($N94="","",INDEX('Cronograma R. Operacional'!$A$5:$A$1000,$N94))</f>
        <v/>
      </c>
      <c r="B94" s="62">
        <f>IF($N94="","",IF($O94="Sub","      ↳  "&amp;INDEX('Cronograma R. Operacional'!$C$5:$C$1000,$N94),INDEX('Cronograma R. Operacional'!$C$5:$C$1000,$N94)&amp;""))</f>
        <v/>
      </c>
      <c r="C94" s="79">
        <f>IF($N94="","",IF(INDEX('Cronograma R. Operacional'!$AR$5:$AR$1000,$N94)="","",INDEX('Cronograma R. Operacional'!$AR$5:$AR$1000,$N94)))</f>
        <v/>
      </c>
      <c r="D94" s="79">
        <f>IF($N94="","",IF(INDEX('Cronograma R. Operacional'!$AS$5:$AS$1000,$N94)="","",INDEX('Cronograma R. Operacional'!$AS$5:$AS$1000,$N94)))</f>
        <v/>
      </c>
      <c r="E94" s="56">
        <f>IF($N94="","",IF(NOT(ISNUMBER($D94)),"",IF($D94&lt;InicioCiclo,"Antes del ciclo",IF($D94&gt;=InicioCiclo+28,"Después del ciclo","Semana "&amp;(INT(($D94-InicioCiclo)/7)+1)))))</f>
        <v/>
      </c>
      <c r="F94" s="61">
        <f>IF($N94="","",IF($P94&gt;0,IF(1&lt;=SemanaActual,INDEX('Cronograma R. Operacional'!$AH$5:$AH$1000,$N94),""),IF(INDEX('Cronograma R. Operacional'!$I$5:$I$1000,$N94)="","",INDEX('Cronograma R. Operacional'!$I$5:$I$1000,$N94))))</f>
        <v/>
      </c>
      <c r="G94" s="61">
        <f>IF($N94="","",IF($P94&gt;0,IF(2&lt;=SemanaActual,INDEX('Cronograma R. Operacional'!$AI$5:$AI$1000,$N94),""),IF(INDEX('Cronograma R. Operacional'!$J$5:$J$1000,$N94)="","",INDEX('Cronograma R. Operacional'!$J$5:$J$1000,$N94))))</f>
        <v/>
      </c>
      <c r="H94" s="61">
        <f>IF($N94="","",IF($P94&gt;0,IF(3&lt;=SemanaActual,INDEX('Cronograma R. Operacional'!$AJ$5:$AJ$1000,$N94),""),IF(INDEX('Cronograma R. Operacional'!$K$5:$K$1000,$N94)="","",INDEX('Cronograma R. Operacional'!$K$5:$K$1000,$N94))))</f>
        <v/>
      </c>
      <c r="I94" s="61">
        <f>IF($N94="","",IF($P94&gt;0,IF(4&lt;=SemanaActual,INDEX('Cronograma R. Operacional'!$AK$5:$AK$1000,$N94),""),IF(INDEX('Cronograma R. Operacional'!$L$5:$L$1000,$N94)="","",INDEX('Cronograma R. Operacional'!$L$5:$L$1000,$N94))))</f>
        <v/>
      </c>
      <c r="J94" s="61">
        <f>IF($N94="","",INDEX('Cronograma R. Operacional'!$M$5:$M$1000,$N94))</f>
        <v/>
      </c>
      <c r="K94" s="56">
        <f>IF($N94="","",IF(N($J94)&gt;=1,"Completado",IF(AND(ISNUMBER($D94),$D94&lt;FechaRef),"Vencida",IF(N($J94)&gt;0,"En curso","Pendiente"))))</f>
        <v/>
      </c>
      <c r="L94" s="56">
        <f>IF($N94="","",INDEX('Cronograma R. Operacional'!$O$5:$O$1000,$N94)&amp;"")</f>
        <v/>
      </c>
      <c r="M94" s="62">
        <f>IF($N94="","",INDEX('Cronograma R. Operacional'!$Q$5:$Q$1000,$N94)&amp;"")</f>
        <v/>
      </c>
      <c r="N94">
        <f>IFERROR(MATCH(ROW()-4,rOrden_RO,0),"")</f>
        <v/>
      </c>
      <c r="O94">
        <f>IF($N94="","",INDEX('Cronograma R. Operacional'!$V$5:$V$1000,$N94))</f>
        <v/>
      </c>
      <c r="P94">
        <f>IF($N94="","",N(INDEX('Cronograma R. Operacional'!$W$5:$W$1000,$N94)))</f>
        <v/>
      </c>
      <c r="Q94">
        <f>IF(OR(LEFT($L94,7)="Vencida",LEFT($L94,5)="Vence"),SUMPRODUCT(--(LEFT($L$5:$L94,7)="Vencida"))+SUMPRODUCT(--(LEFT($L$5:$L94,5)="Vence")),"")</f>
        <v/>
      </c>
    </row>
    <row r="95">
      <c r="A95" s="56">
        <f>IF($N95="","",INDEX('Cronograma R. Operacional'!$A$5:$A$1000,$N95))</f>
        <v/>
      </c>
      <c r="B95" s="62">
        <f>IF($N95="","",IF($O95="Sub","      ↳  "&amp;INDEX('Cronograma R. Operacional'!$C$5:$C$1000,$N95),INDEX('Cronograma R. Operacional'!$C$5:$C$1000,$N95)&amp;""))</f>
        <v/>
      </c>
      <c r="C95" s="79">
        <f>IF($N95="","",IF(INDEX('Cronograma R. Operacional'!$AR$5:$AR$1000,$N95)="","",INDEX('Cronograma R. Operacional'!$AR$5:$AR$1000,$N95)))</f>
        <v/>
      </c>
      <c r="D95" s="79">
        <f>IF($N95="","",IF(INDEX('Cronograma R. Operacional'!$AS$5:$AS$1000,$N95)="","",INDEX('Cronograma R. Operacional'!$AS$5:$AS$1000,$N95)))</f>
        <v/>
      </c>
      <c r="E95" s="56">
        <f>IF($N95="","",IF(NOT(ISNUMBER($D95)),"",IF($D95&lt;InicioCiclo,"Antes del ciclo",IF($D95&gt;=InicioCiclo+28,"Después del ciclo","Semana "&amp;(INT(($D95-InicioCiclo)/7)+1)))))</f>
        <v/>
      </c>
      <c r="F95" s="61">
        <f>IF($N95="","",IF($P95&gt;0,IF(1&lt;=SemanaActual,INDEX('Cronograma R. Operacional'!$AH$5:$AH$1000,$N95),""),IF(INDEX('Cronograma R. Operacional'!$I$5:$I$1000,$N95)="","",INDEX('Cronograma R. Operacional'!$I$5:$I$1000,$N95))))</f>
        <v/>
      </c>
      <c r="G95" s="61">
        <f>IF($N95="","",IF($P95&gt;0,IF(2&lt;=SemanaActual,INDEX('Cronograma R. Operacional'!$AI$5:$AI$1000,$N95),""),IF(INDEX('Cronograma R. Operacional'!$J$5:$J$1000,$N95)="","",INDEX('Cronograma R. Operacional'!$J$5:$J$1000,$N95))))</f>
        <v/>
      </c>
      <c r="H95" s="61">
        <f>IF($N95="","",IF($P95&gt;0,IF(3&lt;=SemanaActual,INDEX('Cronograma R. Operacional'!$AJ$5:$AJ$1000,$N95),""),IF(INDEX('Cronograma R. Operacional'!$K$5:$K$1000,$N95)="","",INDEX('Cronograma R. Operacional'!$K$5:$K$1000,$N95))))</f>
        <v/>
      </c>
      <c r="I95" s="61">
        <f>IF($N95="","",IF($P95&gt;0,IF(4&lt;=SemanaActual,INDEX('Cronograma R. Operacional'!$AK$5:$AK$1000,$N95),""),IF(INDEX('Cronograma R. Operacional'!$L$5:$L$1000,$N95)="","",INDEX('Cronograma R. Operacional'!$L$5:$L$1000,$N95))))</f>
        <v/>
      </c>
      <c r="J95" s="61">
        <f>IF($N95="","",INDEX('Cronograma R. Operacional'!$M$5:$M$1000,$N95))</f>
        <v/>
      </c>
      <c r="K95" s="56">
        <f>IF($N95="","",IF(N($J95)&gt;=1,"Completado",IF(AND(ISNUMBER($D95),$D95&lt;FechaRef),"Vencida",IF(N($J95)&gt;0,"En curso","Pendiente"))))</f>
        <v/>
      </c>
      <c r="L95" s="56">
        <f>IF($N95="","",INDEX('Cronograma R. Operacional'!$O$5:$O$1000,$N95)&amp;"")</f>
        <v/>
      </c>
      <c r="M95" s="62">
        <f>IF($N95="","",INDEX('Cronograma R. Operacional'!$Q$5:$Q$1000,$N95)&amp;"")</f>
        <v/>
      </c>
      <c r="N95">
        <f>IFERROR(MATCH(ROW()-4,rOrden_RO,0),"")</f>
        <v/>
      </c>
      <c r="O95">
        <f>IF($N95="","",INDEX('Cronograma R. Operacional'!$V$5:$V$1000,$N95))</f>
        <v/>
      </c>
      <c r="P95">
        <f>IF($N95="","",N(INDEX('Cronograma R. Operacional'!$W$5:$W$1000,$N95)))</f>
        <v/>
      </c>
      <c r="Q95">
        <f>IF(OR(LEFT($L95,7)="Vencida",LEFT($L95,5)="Vence"),SUMPRODUCT(--(LEFT($L$5:$L95,7)="Vencida"))+SUMPRODUCT(--(LEFT($L$5:$L95,5)="Vence")),"")</f>
        <v/>
      </c>
    </row>
    <row r="96">
      <c r="A96" s="56">
        <f>IF($N96="","",INDEX('Cronograma R. Operacional'!$A$5:$A$1000,$N96))</f>
        <v/>
      </c>
      <c r="B96" s="62">
        <f>IF($N96="","",IF($O96="Sub","      ↳  "&amp;INDEX('Cronograma R. Operacional'!$C$5:$C$1000,$N96),INDEX('Cronograma R. Operacional'!$C$5:$C$1000,$N96)&amp;""))</f>
        <v/>
      </c>
      <c r="C96" s="79">
        <f>IF($N96="","",IF(INDEX('Cronograma R. Operacional'!$AR$5:$AR$1000,$N96)="","",INDEX('Cronograma R. Operacional'!$AR$5:$AR$1000,$N96)))</f>
        <v/>
      </c>
      <c r="D96" s="79">
        <f>IF($N96="","",IF(INDEX('Cronograma R. Operacional'!$AS$5:$AS$1000,$N96)="","",INDEX('Cronograma R. Operacional'!$AS$5:$AS$1000,$N96)))</f>
        <v/>
      </c>
      <c r="E96" s="56">
        <f>IF($N96="","",IF(NOT(ISNUMBER($D96)),"",IF($D96&lt;InicioCiclo,"Antes del ciclo",IF($D96&gt;=InicioCiclo+28,"Después del ciclo","Semana "&amp;(INT(($D96-InicioCiclo)/7)+1)))))</f>
        <v/>
      </c>
      <c r="F96" s="61">
        <f>IF($N96="","",IF($P96&gt;0,IF(1&lt;=SemanaActual,INDEX('Cronograma R. Operacional'!$AH$5:$AH$1000,$N96),""),IF(INDEX('Cronograma R. Operacional'!$I$5:$I$1000,$N96)="","",INDEX('Cronograma R. Operacional'!$I$5:$I$1000,$N96))))</f>
        <v/>
      </c>
      <c r="G96" s="61">
        <f>IF($N96="","",IF($P96&gt;0,IF(2&lt;=SemanaActual,INDEX('Cronograma R. Operacional'!$AI$5:$AI$1000,$N96),""),IF(INDEX('Cronograma R. Operacional'!$J$5:$J$1000,$N96)="","",INDEX('Cronograma R. Operacional'!$J$5:$J$1000,$N96))))</f>
        <v/>
      </c>
      <c r="H96" s="61">
        <f>IF($N96="","",IF($P96&gt;0,IF(3&lt;=SemanaActual,INDEX('Cronograma R. Operacional'!$AJ$5:$AJ$1000,$N96),""),IF(INDEX('Cronograma R. Operacional'!$K$5:$K$1000,$N96)="","",INDEX('Cronograma R. Operacional'!$K$5:$K$1000,$N96))))</f>
        <v/>
      </c>
      <c r="I96" s="61">
        <f>IF($N96="","",IF($P96&gt;0,IF(4&lt;=SemanaActual,INDEX('Cronograma R. Operacional'!$AK$5:$AK$1000,$N96),""),IF(INDEX('Cronograma R. Operacional'!$L$5:$L$1000,$N96)="","",INDEX('Cronograma R. Operacional'!$L$5:$L$1000,$N96))))</f>
        <v/>
      </c>
      <c r="J96" s="61">
        <f>IF($N96="","",INDEX('Cronograma R. Operacional'!$M$5:$M$1000,$N96))</f>
        <v/>
      </c>
      <c r="K96" s="56">
        <f>IF($N96="","",IF(N($J96)&gt;=1,"Completado",IF(AND(ISNUMBER($D96),$D96&lt;FechaRef),"Vencida",IF(N($J96)&gt;0,"En curso","Pendiente"))))</f>
        <v/>
      </c>
      <c r="L96" s="56">
        <f>IF($N96="","",INDEX('Cronograma R. Operacional'!$O$5:$O$1000,$N96)&amp;"")</f>
        <v/>
      </c>
      <c r="M96" s="62">
        <f>IF($N96="","",INDEX('Cronograma R. Operacional'!$Q$5:$Q$1000,$N96)&amp;"")</f>
        <v/>
      </c>
      <c r="N96">
        <f>IFERROR(MATCH(ROW()-4,rOrden_RO,0),"")</f>
        <v/>
      </c>
      <c r="O96">
        <f>IF($N96="","",INDEX('Cronograma R. Operacional'!$V$5:$V$1000,$N96))</f>
        <v/>
      </c>
      <c r="P96">
        <f>IF($N96="","",N(INDEX('Cronograma R. Operacional'!$W$5:$W$1000,$N96)))</f>
        <v/>
      </c>
      <c r="Q96">
        <f>IF(OR(LEFT($L96,7)="Vencida",LEFT($L96,5)="Vence"),SUMPRODUCT(--(LEFT($L$5:$L96,7)="Vencida"))+SUMPRODUCT(--(LEFT($L$5:$L96,5)="Vence")),"")</f>
        <v/>
      </c>
    </row>
    <row r="97">
      <c r="A97" s="56">
        <f>IF($N97="","",INDEX('Cronograma R. Operacional'!$A$5:$A$1000,$N97))</f>
        <v/>
      </c>
      <c r="B97" s="62">
        <f>IF($N97="","",IF($O97="Sub","      ↳  "&amp;INDEX('Cronograma R. Operacional'!$C$5:$C$1000,$N97),INDEX('Cronograma R. Operacional'!$C$5:$C$1000,$N97)&amp;""))</f>
        <v/>
      </c>
      <c r="C97" s="79">
        <f>IF($N97="","",IF(INDEX('Cronograma R. Operacional'!$AR$5:$AR$1000,$N97)="","",INDEX('Cronograma R. Operacional'!$AR$5:$AR$1000,$N97)))</f>
        <v/>
      </c>
      <c r="D97" s="79">
        <f>IF($N97="","",IF(INDEX('Cronograma R. Operacional'!$AS$5:$AS$1000,$N97)="","",INDEX('Cronograma R. Operacional'!$AS$5:$AS$1000,$N97)))</f>
        <v/>
      </c>
      <c r="E97" s="56">
        <f>IF($N97="","",IF(NOT(ISNUMBER($D97)),"",IF($D97&lt;InicioCiclo,"Antes del ciclo",IF($D97&gt;=InicioCiclo+28,"Después del ciclo","Semana "&amp;(INT(($D97-InicioCiclo)/7)+1)))))</f>
        <v/>
      </c>
      <c r="F97" s="61">
        <f>IF($N97="","",IF($P97&gt;0,IF(1&lt;=SemanaActual,INDEX('Cronograma R. Operacional'!$AH$5:$AH$1000,$N97),""),IF(INDEX('Cronograma R. Operacional'!$I$5:$I$1000,$N97)="","",INDEX('Cronograma R. Operacional'!$I$5:$I$1000,$N97))))</f>
        <v/>
      </c>
      <c r="G97" s="61">
        <f>IF($N97="","",IF($P97&gt;0,IF(2&lt;=SemanaActual,INDEX('Cronograma R. Operacional'!$AI$5:$AI$1000,$N97),""),IF(INDEX('Cronograma R. Operacional'!$J$5:$J$1000,$N97)="","",INDEX('Cronograma R. Operacional'!$J$5:$J$1000,$N97))))</f>
        <v/>
      </c>
      <c r="H97" s="61">
        <f>IF($N97="","",IF($P97&gt;0,IF(3&lt;=SemanaActual,INDEX('Cronograma R. Operacional'!$AJ$5:$AJ$1000,$N97),""),IF(INDEX('Cronograma R. Operacional'!$K$5:$K$1000,$N97)="","",INDEX('Cronograma R. Operacional'!$K$5:$K$1000,$N97))))</f>
        <v/>
      </c>
      <c r="I97" s="61">
        <f>IF($N97="","",IF($P97&gt;0,IF(4&lt;=SemanaActual,INDEX('Cronograma R. Operacional'!$AK$5:$AK$1000,$N97),""),IF(INDEX('Cronograma R. Operacional'!$L$5:$L$1000,$N97)="","",INDEX('Cronograma R. Operacional'!$L$5:$L$1000,$N97))))</f>
        <v/>
      </c>
      <c r="J97" s="61">
        <f>IF($N97="","",INDEX('Cronograma R. Operacional'!$M$5:$M$1000,$N97))</f>
        <v/>
      </c>
      <c r="K97" s="56">
        <f>IF($N97="","",IF(N($J97)&gt;=1,"Completado",IF(AND(ISNUMBER($D97),$D97&lt;FechaRef),"Vencida",IF(N($J97)&gt;0,"En curso","Pendiente"))))</f>
        <v/>
      </c>
      <c r="L97" s="56">
        <f>IF($N97="","",INDEX('Cronograma R. Operacional'!$O$5:$O$1000,$N97)&amp;"")</f>
        <v/>
      </c>
      <c r="M97" s="62">
        <f>IF($N97="","",INDEX('Cronograma R. Operacional'!$Q$5:$Q$1000,$N97)&amp;"")</f>
        <v/>
      </c>
      <c r="N97">
        <f>IFERROR(MATCH(ROW()-4,rOrden_RO,0),"")</f>
        <v/>
      </c>
      <c r="O97">
        <f>IF($N97="","",INDEX('Cronograma R. Operacional'!$V$5:$V$1000,$N97))</f>
        <v/>
      </c>
      <c r="P97">
        <f>IF($N97="","",N(INDEX('Cronograma R. Operacional'!$W$5:$W$1000,$N97)))</f>
        <v/>
      </c>
      <c r="Q97">
        <f>IF(OR(LEFT($L97,7)="Vencida",LEFT($L97,5)="Vence"),SUMPRODUCT(--(LEFT($L$5:$L97,7)="Vencida"))+SUMPRODUCT(--(LEFT($L$5:$L97,5)="Vence")),"")</f>
        <v/>
      </c>
    </row>
    <row r="98">
      <c r="A98" s="56">
        <f>IF($N98="","",INDEX('Cronograma R. Operacional'!$A$5:$A$1000,$N98))</f>
        <v/>
      </c>
      <c r="B98" s="62">
        <f>IF($N98="","",IF($O98="Sub","      ↳  "&amp;INDEX('Cronograma R. Operacional'!$C$5:$C$1000,$N98),INDEX('Cronograma R. Operacional'!$C$5:$C$1000,$N98)&amp;""))</f>
        <v/>
      </c>
      <c r="C98" s="79">
        <f>IF($N98="","",IF(INDEX('Cronograma R. Operacional'!$AR$5:$AR$1000,$N98)="","",INDEX('Cronograma R. Operacional'!$AR$5:$AR$1000,$N98)))</f>
        <v/>
      </c>
      <c r="D98" s="79">
        <f>IF($N98="","",IF(INDEX('Cronograma R. Operacional'!$AS$5:$AS$1000,$N98)="","",INDEX('Cronograma R. Operacional'!$AS$5:$AS$1000,$N98)))</f>
        <v/>
      </c>
      <c r="E98" s="56">
        <f>IF($N98="","",IF(NOT(ISNUMBER($D98)),"",IF($D98&lt;InicioCiclo,"Antes del ciclo",IF($D98&gt;=InicioCiclo+28,"Después del ciclo","Semana "&amp;(INT(($D98-InicioCiclo)/7)+1)))))</f>
        <v/>
      </c>
      <c r="F98" s="61">
        <f>IF($N98="","",IF($P98&gt;0,IF(1&lt;=SemanaActual,INDEX('Cronograma R. Operacional'!$AH$5:$AH$1000,$N98),""),IF(INDEX('Cronograma R. Operacional'!$I$5:$I$1000,$N98)="","",INDEX('Cronograma R. Operacional'!$I$5:$I$1000,$N98))))</f>
        <v/>
      </c>
      <c r="G98" s="61">
        <f>IF($N98="","",IF($P98&gt;0,IF(2&lt;=SemanaActual,INDEX('Cronograma R. Operacional'!$AI$5:$AI$1000,$N98),""),IF(INDEX('Cronograma R. Operacional'!$J$5:$J$1000,$N98)="","",INDEX('Cronograma R. Operacional'!$J$5:$J$1000,$N98))))</f>
        <v/>
      </c>
      <c r="H98" s="61">
        <f>IF($N98="","",IF($P98&gt;0,IF(3&lt;=SemanaActual,INDEX('Cronograma R. Operacional'!$AJ$5:$AJ$1000,$N98),""),IF(INDEX('Cronograma R. Operacional'!$K$5:$K$1000,$N98)="","",INDEX('Cronograma R. Operacional'!$K$5:$K$1000,$N98))))</f>
        <v/>
      </c>
      <c r="I98" s="61">
        <f>IF($N98="","",IF($P98&gt;0,IF(4&lt;=SemanaActual,INDEX('Cronograma R. Operacional'!$AK$5:$AK$1000,$N98),""),IF(INDEX('Cronograma R. Operacional'!$L$5:$L$1000,$N98)="","",INDEX('Cronograma R. Operacional'!$L$5:$L$1000,$N98))))</f>
        <v/>
      </c>
      <c r="J98" s="61">
        <f>IF($N98="","",INDEX('Cronograma R. Operacional'!$M$5:$M$1000,$N98))</f>
        <v/>
      </c>
      <c r="K98" s="56">
        <f>IF($N98="","",IF(N($J98)&gt;=1,"Completado",IF(AND(ISNUMBER($D98),$D98&lt;FechaRef),"Vencida",IF(N($J98)&gt;0,"En curso","Pendiente"))))</f>
        <v/>
      </c>
      <c r="L98" s="56">
        <f>IF($N98="","",INDEX('Cronograma R. Operacional'!$O$5:$O$1000,$N98)&amp;"")</f>
        <v/>
      </c>
      <c r="M98" s="62">
        <f>IF($N98="","",INDEX('Cronograma R. Operacional'!$Q$5:$Q$1000,$N98)&amp;"")</f>
        <v/>
      </c>
      <c r="N98">
        <f>IFERROR(MATCH(ROW()-4,rOrden_RO,0),"")</f>
        <v/>
      </c>
      <c r="O98">
        <f>IF($N98="","",INDEX('Cronograma R. Operacional'!$V$5:$V$1000,$N98))</f>
        <v/>
      </c>
      <c r="P98">
        <f>IF($N98="","",N(INDEX('Cronograma R. Operacional'!$W$5:$W$1000,$N98)))</f>
        <v/>
      </c>
      <c r="Q98">
        <f>IF(OR(LEFT($L98,7)="Vencida",LEFT($L98,5)="Vence"),SUMPRODUCT(--(LEFT($L$5:$L98,7)="Vencida"))+SUMPRODUCT(--(LEFT($L$5:$L98,5)="Vence")),"")</f>
        <v/>
      </c>
    </row>
    <row r="99">
      <c r="A99" s="56">
        <f>IF($N99="","",INDEX('Cronograma R. Operacional'!$A$5:$A$1000,$N99))</f>
        <v/>
      </c>
      <c r="B99" s="62">
        <f>IF($N99="","",IF($O99="Sub","      ↳  "&amp;INDEX('Cronograma R. Operacional'!$C$5:$C$1000,$N99),INDEX('Cronograma R. Operacional'!$C$5:$C$1000,$N99)&amp;""))</f>
        <v/>
      </c>
      <c r="C99" s="79">
        <f>IF($N99="","",IF(INDEX('Cronograma R. Operacional'!$AR$5:$AR$1000,$N99)="","",INDEX('Cronograma R. Operacional'!$AR$5:$AR$1000,$N99)))</f>
        <v/>
      </c>
      <c r="D99" s="79">
        <f>IF($N99="","",IF(INDEX('Cronograma R. Operacional'!$AS$5:$AS$1000,$N99)="","",INDEX('Cronograma R. Operacional'!$AS$5:$AS$1000,$N99)))</f>
        <v/>
      </c>
      <c r="E99" s="56">
        <f>IF($N99="","",IF(NOT(ISNUMBER($D99)),"",IF($D99&lt;InicioCiclo,"Antes del ciclo",IF($D99&gt;=InicioCiclo+28,"Después del ciclo","Semana "&amp;(INT(($D99-InicioCiclo)/7)+1)))))</f>
        <v/>
      </c>
      <c r="F99" s="61">
        <f>IF($N99="","",IF($P99&gt;0,IF(1&lt;=SemanaActual,INDEX('Cronograma R. Operacional'!$AH$5:$AH$1000,$N99),""),IF(INDEX('Cronograma R. Operacional'!$I$5:$I$1000,$N99)="","",INDEX('Cronograma R. Operacional'!$I$5:$I$1000,$N99))))</f>
        <v/>
      </c>
      <c r="G99" s="61">
        <f>IF($N99="","",IF($P99&gt;0,IF(2&lt;=SemanaActual,INDEX('Cronograma R. Operacional'!$AI$5:$AI$1000,$N99),""),IF(INDEX('Cronograma R. Operacional'!$J$5:$J$1000,$N99)="","",INDEX('Cronograma R. Operacional'!$J$5:$J$1000,$N99))))</f>
        <v/>
      </c>
      <c r="H99" s="61">
        <f>IF($N99="","",IF($P99&gt;0,IF(3&lt;=SemanaActual,INDEX('Cronograma R. Operacional'!$AJ$5:$AJ$1000,$N99),""),IF(INDEX('Cronograma R. Operacional'!$K$5:$K$1000,$N99)="","",INDEX('Cronograma R. Operacional'!$K$5:$K$1000,$N99))))</f>
        <v/>
      </c>
      <c r="I99" s="61">
        <f>IF($N99="","",IF($P99&gt;0,IF(4&lt;=SemanaActual,INDEX('Cronograma R. Operacional'!$AK$5:$AK$1000,$N99),""),IF(INDEX('Cronograma R. Operacional'!$L$5:$L$1000,$N99)="","",INDEX('Cronograma R. Operacional'!$L$5:$L$1000,$N99))))</f>
        <v/>
      </c>
      <c r="J99" s="61">
        <f>IF($N99="","",INDEX('Cronograma R. Operacional'!$M$5:$M$1000,$N99))</f>
        <v/>
      </c>
      <c r="K99" s="56">
        <f>IF($N99="","",IF(N($J99)&gt;=1,"Completado",IF(AND(ISNUMBER($D99),$D99&lt;FechaRef),"Vencida",IF(N($J99)&gt;0,"En curso","Pendiente"))))</f>
        <v/>
      </c>
      <c r="L99" s="56">
        <f>IF($N99="","",INDEX('Cronograma R. Operacional'!$O$5:$O$1000,$N99)&amp;"")</f>
        <v/>
      </c>
      <c r="M99" s="62">
        <f>IF($N99="","",INDEX('Cronograma R. Operacional'!$Q$5:$Q$1000,$N99)&amp;"")</f>
        <v/>
      </c>
      <c r="N99">
        <f>IFERROR(MATCH(ROW()-4,rOrden_RO,0),"")</f>
        <v/>
      </c>
      <c r="O99">
        <f>IF($N99="","",INDEX('Cronograma R. Operacional'!$V$5:$V$1000,$N99))</f>
        <v/>
      </c>
      <c r="P99">
        <f>IF($N99="","",N(INDEX('Cronograma R. Operacional'!$W$5:$W$1000,$N99)))</f>
        <v/>
      </c>
      <c r="Q99">
        <f>IF(OR(LEFT($L99,7)="Vencida",LEFT($L99,5)="Vence"),SUMPRODUCT(--(LEFT($L$5:$L99,7)="Vencida"))+SUMPRODUCT(--(LEFT($L$5:$L99,5)="Vence")),"")</f>
        <v/>
      </c>
    </row>
    <row r="100">
      <c r="A100" s="56">
        <f>IF($N100="","",INDEX('Cronograma R. Operacional'!$A$5:$A$1000,$N100))</f>
        <v/>
      </c>
      <c r="B100" s="62">
        <f>IF($N100="","",IF($O100="Sub","      ↳  "&amp;INDEX('Cronograma R. Operacional'!$C$5:$C$1000,$N100),INDEX('Cronograma R. Operacional'!$C$5:$C$1000,$N100)&amp;""))</f>
        <v/>
      </c>
      <c r="C100" s="79">
        <f>IF($N100="","",IF(INDEX('Cronograma R. Operacional'!$AR$5:$AR$1000,$N100)="","",INDEX('Cronograma R. Operacional'!$AR$5:$AR$1000,$N100)))</f>
        <v/>
      </c>
      <c r="D100" s="79">
        <f>IF($N100="","",IF(INDEX('Cronograma R. Operacional'!$AS$5:$AS$1000,$N100)="","",INDEX('Cronograma R. Operacional'!$AS$5:$AS$1000,$N100)))</f>
        <v/>
      </c>
      <c r="E100" s="56">
        <f>IF($N100="","",IF(NOT(ISNUMBER($D100)),"",IF($D100&lt;InicioCiclo,"Antes del ciclo",IF($D100&gt;=InicioCiclo+28,"Después del ciclo","Semana "&amp;(INT(($D100-InicioCiclo)/7)+1)))))</f>
        <v/>
      </c>
      <c r="F100" s="61">
        <f>IF($N100="","",IF($P100&gt;0,IF(1&lt;=SemanaActual,INDEX('Cronograma R. Operacional'!$AH$5:$AH$1000,$N100),""),IF(INDEX('Cronograma R. Operacional'!$I$5:$I$1000,$N100)="","",INDEX('Cronograma R. Operacional'!$I$5:$I$1000,$N100))))</f>
        <v/>
      </c>
      <c r="G100" s="61">
        <f>IF($N100="","",IF($P100&gt;0,IF(2&lt;=SemanaActual,INDEX('Cronograma R. Operacional'!$AI$5:$AI$1000,$N100),""),IF(INDEX('Cronograma R. Operacional'!$J$5:$J$1000,$N100)="","",INDEX('Cronograma R. Operacional'!$J$5:$J$1000,$N100))))</f>
        <v/>
      </c>
      <c r="H100" s="61">
        <f>IF($N100="","",IF($P100&gt;0,IF(3&lt;=SemanaActual,INDEX('Cronograma R. Operacional'!$AJ$5:$AJ$1000,$N100),""),IF(INDEX('Cronograma R. Operacional'!$K$5:$K$1000,$N100)="","",INDEX('Cronograma R. Operacional'!$K$5:$K$1000,$N100))))</f>
        <v/>
      </c>
      <c r="I100" s="61">
        <f>IF($N100="","",IF($P100&gt;0,IF(4&lt;=SemanaActual,INDEX('Cronograma R. Operacional'!$AK$5:$AK$1000,$N100),""),IF(INDEX('Cronograma R. Operacional'!$L$5:$L$1000,$N100)="","",INDEX('Cronograma R. Operacional'!$L$5:$L$1000,$N100))))</f>
        <v/>
      </c>
      <c r="J100" s="61">
        <f>IF($N100="","",INDEX('Cronograma R. Operacional'!$M$5:$M$1000,$N100))</f>
        <v/>
      </c>
      <c r="K100" s="56">
        <f>IF($N100="","",IF(N($J100)&gt;=1,"Completado",IF(AND(ISNUMBER($D100),$D100&lt;FechaRef),"Vencida",IF(N($J100)&gt;0,"En curso","Pendiente"))))</f>
        <v/>
      </c>
      <c r="L100" s="56">
        <f>IF($N100="","",INDEX('Cronograma R. Operacional'!$O$5:$O$1000,$N100)&amp;"")</f>
        <v/>
      </c>
      <c r="M100" s="62">
        <f>IF($N100="","",INDEX('Cronograma R. Operacional'!$Q$5:$Q$1000,$N100)&amp;"")</f>
        <v/>
      </c>
      <c r="N100">
        <f>IFERROR(MATCH(ROW()-4,rOrden_RO,0),"")</f>
        <v/>
      </c>
      <c r="O100">
        <f>IF($N100="","",INDEX('Cronograma R. Operacional'!$V$5:$V$1000,$N100))</f>
        <v/>
      </c>
      <c r="P100">
        <f>IF($N100="","",N(INDEX('Cronograma R. Operacional'!$W$5:$W$1000,$N100)))</f>
        <v/>
      </c>
      <c r="Q100">
        <f>IF(OR(LEFT($L100,7)="Vencida",LEFT($L100,5)="Vence"),SUMPRODUCT(--(LEFT($L$5:$L100,7)="Vencida"))+SUMPRODUCT(--(LEFT($L$5:$L100,5)="Vence")),"")</f>
        <v/>
      </c>
    </row>
    <row r="101">
      <c r="A101" s="56">
        <f>IF($N101="","",INDEX('Cronograma R. Operacional'!$A$5:$A$1000,$N101))</f>
        <v/>
      </c>
      <c r="B101" s="62">
        <f>IF($N101="","",IF($O101="Sub","      ↳  "&amp;INDEX('Cronograma R. Operacional'!$C$5:$C$1000,$N101),INDEX('Cronograma R. Operacional'!$C$5:$C$1000,$N101)&amp;""))</f>
        <v/>
      </c>
      <c r="C101" s="79">
        <f>IF($N101="","",IF(INDEX('Cronograma R. Operacional'!$AR$5:$AR$1000,$N101)="","",INDEX('Cronograma R. Operacional'!$AR$5:$AR$1000,$N101)))</f>
        <v/>
      </c>
      <c r="D101" s="79">
        <f>IF($N101="","",IF(INDEX('Cronograma R. Operacional'!$AS$5:$AS$1000,$N101)="","",INDEX('Cronograma R. Operacional'!$AS$5:$AS$1000,$N101)))</f>
        <v/>
      </c>
      <c r="E101" s="56">
        <f>IF($N101="","",IF(NOT(ISNUMBER($D101)),"",IF($D101&lt;InicioCiclo,"Antes del ciclo",IF($D101&gt;=InicioCiclo+28,"Después del ciclo","Semana "&amp;(INT(($D101-InicioCiclo)/7)+1)))))</f>
        <v/>
      </c>
      <c r="F101" s="61">
        <f>IF($N101="","",IF($P101&gt;0,IF(1&lt;=SemanaActual,INDEX('Cronograma R. Operacional'!$AH$5:$AH$1000,$N101),""),IF(INDEX('Cronograma R. Operacional'!$I$5:$I$1000,$N101)="","",INDEX('Cronograma R. Operacional'!$I$5:$I$1000,$N101))))</f>
        <v/>
      </c>
      <c r="G101" s="61">
        <f>IF($N101="","",IF($P101&gt;0,IF(2&lt;=SemanaActual,INDEX('Cronograma R. Operacional'!$AI$5:$AI$1000,$N101),""),IF(INDEX('Cronograma R. Operacional'!$J$5:$J$1000,$N101)="","",INDEX('Cronograma R. Operacional'!$J$5:$J$1000,$N101))))</f>
        <v/>
      </c>
      <c r="H101" s="61">
        <f>IF($N101="","",IF($P101&gt;0,IF(3&lt;=SemanaActual,INDEX('Cronograma R. Operacional'!$AJ$5:$AJ$1000,$N101),""),IF(INDEX('Cronograma R. Operacional'!$K$5:$K$1000,$N101)="","",INDEX('Cronograma R. Operacional'!$K$5:$K$1000,$N101))))</f>
        <v/>
      </c>
      <c r="I101" s="61">
        <f>IF($N101="","",IF($P101&gt;0,IF(4&lt;=SemanaActual,INDEX('Cronograma R. Operacional'!$AK$5:$AK$1000,$N101),""),IF(INDEX('Cronograma R. Operacional'!$L$5:$L$1000,$N101)="","",INDEX('Cronograma R. Operacional'!$L$5:$L$1000,$N101))))</f>
        <v/>
      </c>
      <c r="J101" s="61">
        <f>IF($N101="","",INDEX('Cronograma R. Operacional'!$M$5:$M$1000,$N101))</f>
        <v/>
      </c>
      <c r="K101" s="56">
        <f>IF($N101="","",IF(N($J101)&gt;=1,"Completado",IF(AND(ISNUMBER($D101),$D101&lt;FechaRef),"Vencida",IF(N($J101)&gt;0,"En curso","Pendiente"))))</f>
        <v/>
      </c>
      <c r="L101" s="56">
        <f>IF($N101="","",INDEX('Cronograma R. Operacional'!$O$5:$O$1000,$N101)&amp;"")</f>
        <v/>
      </c>
      <c r="M101" s="62">
        <f>IF($N101="","",INDEX('Cronograma R. Operacional'!$Q$5:$Q$1000,$N101)&amp;"")</f>
        <v/>
      </c>
      <c r="N101">
        <f>IFERROR(MATCH(ROW()-4,rOrden_RO,0),"")</f>
        <v/>
      </c>
      <c r="O101">
        <f>IF($N101="","",INDEX('Cronograma R. Operacional'!$V$5:$V$1000,$N101))</f>
        <v/>
      </c>
      <c r="P101">
        <f>IF($N101="","",N(INDEX('Cronograma R. Operacional'!$W$5:$W$1000,$N101)))</f>
        <v/>
      </c>
      <c r="Q101">
        <f>IF(OR(LEFT($L101,7)="Vencida",LEFT($L101,5)="Vence"),SUMPRODUCT(--(LEFT($L$5:$L101,7)="Vencida"))+SUMPRODUCT(--(LEFT($L$5:$L101,5)="Vence")),"")</f>
        <v/>
      </c>
    </row>
    <row r="102">
      <c r="A102" s="56">
        <f>IF($N102="","",INDEX('Cronograma R. Operacional'!$A$5:$A$1000,$N102))</f>
        <v/>
      </c>
      <c r="B102" s="62">
        <f>IF($N102="","",IF($O102="Sub","      ↳  "&amp;INDEX('Cronograma R. Operacional'!$C$5:$C$1000,$N102),INDEX('Cronograma R. Operacional'!$C$5:$C$1000,$N102)&amp;""))</f>
        <v/>
      </c>
      <c r="C102" s="79">
        <f>IF($N102="","",IF(INDEX('Cronograma R. Operacional'!$AR$5:$AR$1000,$N102)="","",INDEX('Cronograma R. Operacional'!$AR$5:$AR$1000,$N102)))</f>
        <v/>
      </c>
      <c r="D102" s="79">
        <f>IF($N102="","",IF(INDEX('Cronograma R. Operacional'!$AS$5:$AS$1000,$N102)="","",INDEX('Cronograma R. Operacional'!$AS$5:$AS$1000,$N102)))</f>
        <v/>
      </c>
      <c r="E102" s="56">
        <f>IF($N102="","",IF(NOT(ISNUMBER($D102)),"",IF($D102&lt;InicioCiclo,"Antes del ciclo",IF($D102&gt;=InicioCiclo+28,"Después del ciclo","Semana "&amp;(INT(($D102-InicioCiclo)/7)+1)))))</f>
        <v/>
      </c>
      <c r="F102" s="61">
        <f>IF($N102="","",IF($P102&gt;0,IF(1&lt;=SemanaActual,INDEX('Cronograma R. Operacional'!$AH$5:$AH$1000,$N102),""),IF(INDEX('Cronograma R. Operacional'!$I$5:$I$1000,$N102)="","",INDEX('Cronograma R. Operacional'!$I$5:$I$1000,$N102))))</f>
        <v/>
      </c>
      <c r="G102" s="61">
        <f>IF($N102="","",IF($P102&gt;0,IF(2&lt;=SemanaActual,INDEX('Cronograma R. Operacional'!$AI$5:$AI$1000,$N102),""),IF(INDEX('Cronograma R. Operacional'!$J$5:$J$1000,$N102)="","",INDEX('Cronograma R. Operacional'!$J$5:$J$1000,$N102))))</f>
        <v/>
      </c>
      <c r="H102" s="61">
        <f>IF($N102="","",IF($P102&gt;0,IF(3&lt;=SemanaActual,INDEX('Cronograma R. Operacional'!$AJ$5:$AJ$1000,$N102),""),IF(INDEX('Cronograma R. Operacional'!$K$5:$K$1000,$N102)="","",INDEX('Cronograma R. Operacional'!$K$5:$K$1000,$N102))))</f>
        <v/>
      </c>
      <c r="I102" s="61">
        <f>IF($N102="","",IF($P102&gt;0,IF(4&lt;=SemanaActual,INDEX('Cronograma R. Operacional'!$AK$5:$AK$1000,$N102),""),IF(INDEX('Cronograma R. Operacional'!$L$5:$L$1000,$N102)="","",INDEX('Cronograma R. Operacional'!$L$5:$L$1000,$N102))))</f>
        <v/>
      </c>
      <c r="J102" s="61">
        <f>IF($N102="","",INDEX('Cronograma R. Operacional'!$M$5:$M$1000,$N102))</f>
        <v/>
      </c>
      <c r="K102" s="56">
        <f>IF($N102="","",IF(N($J102)&gt;=1,"Completado",IF(AND(ISNUMBER($D102),$D102&lt;FechaRef),"Vencida",IF(N($J102)&gt;0,"En curso","Pendiente"))))</f>
        <v/>
      </c>
      <c r="L102" s="56">
        <f>IF($N102="","",INDEX('Cronograma R. Operacional'!$O$5:$O$1000,$N102)&amp;"")</f>
        <v/>
      </c>
      <c r="M102" s="62">
        <f>IF($N102="","",INDEX('Cronograma R. Operacional'!$Q$5:$Q$1000,$N102)&amp;"")</f>
        <v/>
      </c>
      <c r="N102">
        <f>IFERROR(MATCH(ROW()-4,rOrden_RO,0),"")</f>
        <v/>
      </c>
      <c r="O102">
        <f>IF($N102="","",INDEX('Cronograma R. Operacional'!$V$5:$V$1000,$N102))</f>
        <v/>
      </c>
      <c r="P102">
        <f>IF($N102="","",N(INDEX('Cronograma R. Operacional'!$W$5:$W$1000,$N102)))</f>
        <v/>
      </c>
      <c r="Q102">
        <f>IF(OR(LEFT($L102,7)="Vencida",LEFT($L102,5)="Vence"),SUMPRODUCT(--(LEFT($L$5:$L102,7)="Vencida"))+SUMPRODUCT(--(LEFT($L$5:$L102,5)="Vence")),"")</f>
        <v/>
      </c>
    </row>
    <row r="103">
      <c r="A103" s="56">
        <f>IF($N103="","",INDEX('Cronograma R. Operacional'!$A$5:$A$1000,$N103))</f>
        <v/>
      </c>
      <c r="B103" s="62">
        <f>IF($N103="","",IF($O103="Sub","      ↳  "&amp;INDEX('Cronograma R. Operacional'!$C$5:$C$1000,$N103),INDEX('Cronograma R. Operacional'!$C$5:$C$1000,$N103)&amp;""))</f>
        <v/>
      </c>
      <c r="C103" s="79">
        <f>IF($N103="","",IF(INDEX('Cronograma R. Operacional'!$AR$5:$AR$1000,$N103)="","",INDEX('Cronograma R. Operacional'!$AR$5:$AR$1000,$N103)))</f>
        <v/>
      </c>
      <c r="D103" s="79">
        <f>IF($N103="","",IF(INDEX('Cronograma R. Operacional'!$AS$5:$AS$1000,$N103)="","",INDEX('Cronograma R. Operacional'!$AS$5:$AS$1000,$N103)))</f>
        <v/>
      </c>
      <c r="E103" s="56">
        <f>IF($N103="","",IF(NOT(ISNUMBER($D103)),"",IF($D103&lt;InicioCiclo,"Antes del ciclo",IF($D103&gt;=InicioCiclo+28,"Después del ciclo","Semana "&amp;(INT(($D103-InicioCiclo)/7)+1)))))</f>
        <v/>
      </c>
      <c r="F103" s="61">
        <f>IF($N103="","",IF($P103&gt;0,IF(1&lt;=SemanaActual,INDEX('Cronograma R. Operacional'!$AH$5:$AH$1000,$N103),""),IF(INDEX('Cronograma R. Operacional'!$I$5:$I$1000,$N103)="","",INDEX('Cronograma R. Operacional'!$I$5:$I$1000,$N103))))</f>
        <v/>
      </c>
      <c r="G103" s="61">
        <f>IF($N103="","",IF($P103&gt;0,IF(2&lt;=SemanaActual,INDEX('Cronograma R. Operacional'!$AI$5:$AI$1000,$N103),""),IF(INDEX('Cronograma R. Operacional'!$J$5:$J$1000,$N103)="","",INDEX('Cronograma R. Operacional'!$J$5:$J$1000,$N103))))</f>
        <v/>
      </c>
      <c r="H103" s="61">
        <f>IF($N103="","",IF($P103&gt;0,IF(3&lt;=SemanaActual,INDEX('Cronograma R. Operacional'!$AJ$5:$AJ$1000,$N103),""),IF(INDEX('Cronograma R. Operacional'!$K$5:$K$1000,$N103)="","",INDEX('Cronograma R. Operacional'!$K$5:$K$1000,$N103))))</f>
        <v/>
      </c>
      <c r="I103" s="61">
        <f>IF($N103="","",IF($P103&gt;0,IF(4&lt;=SemanaActual,INDEX('Cronograma R. Operacional'!$AK$5:$AK$1000,$N103),""),IF(INDEX('Cronograma R. Operacional'!$L$5:$L$1000,$N103)="","",INDEX('Cronograma R. Operacional'!$L$5:$L$1000,$N103))))</f>
        <v/>
      </c>
      <c r="J103" s="61">
        <f>IF($N103="","",INDEX('Cronograma R. Operacional'!$M$5:$M$1000,$N103))</f>
        <v/>
      </c>
      <c r="K103" s="56">
        <f>IF($N103="","",IF(N($J103)&gt;=1,"Completado",IF(AND(ISNUMBER($D103),$D103&lt;FechaRef),"Vencida",IF(N($J103)&gt;0,"En curso","Pendiente"))))</f>
        <v/>
      </c>
      <c r="L103" s="56">
        <f>IF($N103="","",INDEX('Cronograma R. Operacional'!$O$5:$O$1000,$N103)&amp;"")</f>
        <v/>
      </c>
      <c r="M103" s="62">
        <f>IF($N103="","",INDEX('Cronograma R. Operacional'!$Q$5:$Q$1000,$N103)&amp;"")</f>
        <v/>
      </c>
      <c r="N103">
        <f>IFERROR(MATCH(ROW()-4,rOrden_RO,0),"")</f>
        <v/>
      </c>
      <c r="O103">
        <f>IF($N103="","",INDEX('Cronograma R. Operacional'!$V$5:$V$1000,$N103))</f>
        <v/>
      </c>
      <c r="P103">
        <f>IF($N103="","",N(INDEX('Cronograma R. Operacional'!$W$5:$W$1000,$N103)))</f>
        <v/>
      </c>
      <c r="Q103">
        <f>IF(OR(LEFT($L103,7)="Vencida",LEFT($L103,5)="Vence"),SUMPRODUCT(--(LEFT($L$5:$L103,7)="Vencida"))+SUMPRODUCT(--(LEFT($L$5:$L103,5)="Vence")),"")</f>
        <v/>
      </c>
    </row>
    <row r="104">
      <c r="A104" s="56">
        <f>IF($N104="","",INDEX('Cronograma R. Operacional'!$A$5:$A$1000,$N104))</f>
        <v/>
      </c>
      <c r="B104" s="62">
        <f>IF($N104="","",IF($O104="Sub","      ↳  "&amp;INDEX('Cronograma R. Operacional'!$C$5:$C$1000,$N104),INDEX('Cronograma R. Operacional'!$C$5:$C$1000,$N104)&amp;""))</f>
        <v/>
      </c>
      <c r="C104" s="79">
        <f>IF($N104="","",IF(INDEX('Cronograma R. Operacional'!$AR$5:$AR$1000,$N104)="","",INDEX('Cronograma R. Operacional'!$AR$5:$AR$1000,$N104)))</f>
        <v/>
      </c>
      <c r="D104" s="79">
        <f>IF($N104="","",IF(INDEX('Cronograma R. Operacional'!$AS$5:$AS$1000,$N104)="","",INDEX('Cronograma R. Operacional'!$AS$5:$AS$1000,$N104)))</f>
        <v/>
      </c>
      <c r="E104" s="56">
        <f>IF($N104="","",IF(NOT(ISNUMBER($D104)),"",IF($D104&lt;InicioCiclo,"Antes del ciclo",IF($D104&gt;=InicioCiclo+28,"Después del ciclo","Semana "&amp;(INT(($D104-InicioCiclo)/7)+1)))))</f>
        <v/>
      </c>
      <c r="F104" s="61">
        <f>IF($N104="","",IF($P104&gt;0,IF(1&lt;=SemanaActual,INDEX('Cronograma R. Operacional'!$AH$5:$AH$1000,$N104),""),IF(INDEX('Cronograma R. Operacional'!$I$5:$I$1000,$N104)="","",INDEX('Cronograma R. Operacional'!$I$5:$I$1000,$N104))))</f>
        <v/>
      </c>
      <c r="G104" s="61">
        <f>IF($N104="","",IF($P104&gt;0,IF(2&lt;=SemanaActual,INDEX('Cronograma R. Operacional'!$AI$5:$AI$1000,$N104),""),IF(INDEX('Cronograma R. Operacional'!$J$5:$J$1000,$N104)="","",INDEX('Cronograma R. Operacional'!$J$5:$J$1000,$N104))))</f>
        <v/>
      </c>
      <c r="H104" s="61">
        <f>IF($N104="","",IF($P104&gt;0,IF(3&lt;=SemanaActual,INDEX('Cronograma R. Operacional'!$AJ$5:$AJ$1000,$N104),""),IF(INDEX('Cronograma R. Operacional'!$K$5:$K$1000,$N104)="","",INDEX('Cronograma R. Operacional'!$K$5:$K$1000,$N104))))</f>
        <v/>
      </c>
      <c r="I104" s="61">
        <f>IF($N104="","",IF($P104&gt;0,IF(4&lt;=SemanaActual,INDEX('Cronograma R. Operacional'!$AK$5:$AK$1000,$N104),""),IF(INDEX('Cronograma R. Operacional'!$L$5:$L$1000,$N104)="","",INDEX('Cronograma R. Operacional'!$L$5:$L$1000,$N104))))</f>
        <v/>
      </c>
      <c r="J104" s="61">
        <f>IF($N104="","",INDEX('Cronograma R. Operacional'!$M$5:$M$1000,$N104))</f>
        <v/>
      </c>
      <c r="K104" s="56">
        <f>IF($N104="","",IF(N($J104)&gt;=1,"Completado",IF(AND(ISNUMBER($D104),$D104&lt;FechaRef),"Vencida",IF(N($J104)&gt;0,"En curso","Pendiente"))))</f>
        <v/>
      </c>
      <c r="L104" s="56">
        <f>IF($N104="","",INDEX('Cronograma R. Operacional'!$O$5:$O$1000,$N104)&amp;"")</f>
        <v/>
      </c>
      <c r="M104" s="62">
        <f>IF($N104="","",INDEX('Cronograma R. Operacional'!$Q$5:$Q$1000,$N104)&amp;"")</f>
        <v/>
      </c>
      <c r="N104">
        <f>IFERROR(MATCH(ROW()-4,rOrden_RO,0),"")</f>
        <v/>
      </c>
      <c r="O104">
        <f>IF($N104="","",INDEX('Cronograma R. Operacional'!$V$5:$V$1000,$N104))</f>
        <v/>
      </c>
      <c r="P104">
        <f>IF($N104="","",N(INDEX('Cronograma R. Operacional'!$W$5:$W$1000,$N104)))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0">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7030A0"/>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0" t="inlineStr">
        <is>
          <t>Cronograma – Riesgo Normativo</t>
        </is>
      </c>
      <c r="B1" s="80" t="n"/>
      <c r="C1" s="80" t="n"/>
      <c r="D1" s="80" t="n"/>
      <c r="E1" s="80" t="n"/>
      <c r="F1" s="80" t="n"/>
      <c r="G1" s="80" t="n"/>
      <c r="H1" s="80" t="n"/>
      <c r="I1" s="80" t="n"/>
      <c r="J1" s="80" t="n"/>
      <c r="K1" s="80" t="n"/>
      <c r="L1" s="80" t="n"/>
      <c r="M1" s="80" t="n"/>
      <c r="N1" s="80" t="n"/>
      <c r="O1" s="80" t="n"/>
      <c r="P1" s="80" t="n"/>
      <c r="Q1" s="80" t="n"/>
      <c r="R1" s="80" t="n"/>
      <c r="S1" s="80"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Normativo",'Administración'!$S$5:$S$1000,MesCiclo,'Administración'!$V$5:$V$1000,"Macro")=0,"Sin actividades delegadas por la jefatura este mes","★ La jefatura le delegó "&amp;COUNTIFS('Administración'!$D$5:$D$1000,"Riesgo Normativo",'Administración'!$S$5:$S$1000,MesCiclo,'Administración'!$V$5:$V$1000,"Macro")&amp;" actividad(es) este mes · "&amp;(COUNTIFS('Administración'!$D$5:$D$1000,"Riesgo Normativo",'Administración'!$S$5:$S$1000,MesCiclo,'Administración'!$V$5:$V$1000,"Macro")-COUNTIFS('Administración'!$D$5:$D$1000,"Riesgo Normativo",'Administración'!$S$5:$S$1000,MesCiclo,'Administración'!$V$5:$V$1000,"Macro",'Administración'!$AM$5:$AM$1000,"&gt;0"))&amp;" pendiente(s) de agregar (elíjalas en la lista de «Actividad»). Cuentan en su avance del mes.")</f>
        <v/>
      </c>
      <c r="R3" s="45" t="n"/>
      <c r="S3" s="45" t="n"/>
    </row>
    <row r="4" ht="42" customHeight="1">
      <c r="A4" s="54" t="inlineStr">
        <is>
          <t>N°</t>
        </is>
      </c>
      <c r="B4" s="68" t="inlineStr">
        <is>
          <t>Tipo</t>
        </is>
      </c>
      <c r="C4" s="68" t="inlineStr">
        <is>
          <t>Actividad</t>
        </is>
      </c>
      <c r="D4" s="68" t="inlineStr">
        <is>
          <t>Delegar a</t>
        </is>
      </c>
      <c r="E4" s="68" t="inlineStr">
        <is>
          <t>Fecha de inicio</t>
        </is>
      </c>
      <c r="F4" s="68" t="inlineStr">
        <is>
          <t>Fecha límite</t>
        </is>
      </c>
      <c r="G4" s="68" t="inlineStr">
        <is>
          <t>Fecha de cumplimiento</t>
        </is>
      </c>
      <c r="H4" s="68" t="inlineStr">
        <is>
          <t>Peso / % de la subactividad</t>
        </is>
      </c>
      <c r="I4" s="68" t="inlineStr">
        <is>
          <t>Avance Semana 1 (%)</t>
        </is>
      </c>
      <c r="J4" s="68" t="inlineStr">
        <is>
          <t>Avance Semana 2 (%)</t>
        </is>
      </c>
      <c r="K4" s="68" t="inlineStr">
        <is>
          <t>Avance Semana 3 (%)</t>
        </is>
      </c>
      <c r="L4" s="68" t="inlineStr">
        <is>
          <t>Avance Semana 4 (%)</t>
        </is>
      </c>
      <c r="M4" s="54" t="inlineStr">
        <is>
          <t>% de Avance Total Actual</t>
        </is>
      </c>
      <c r="N4" s="54" t="inlineStr">
        <is>
          <t>Estado</t>
        </is>
      </c>
      <c r="O4" s="54" t="inlineStr">
        <is>
          <t>Alerta de plazo</t>
        </is>
      </c>
      <c r="P4" s="54" t="inlineStr">
        <is>
          <t>Seguimiento de la delegación</t>
        </is>
      </c>
      <c r="Q4" s="68"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Normativo|"&amp;MID($C5,12,500),rDname_ADM,0),0),"")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Normativo|"&amp;MID($C6,12,500),rDname_ADM,0),0),"")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Normativo|"&amp;MID($C7,12,500),rDname_ADM,0),0),"")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Normativo|"&amp;MID($C8,12,500),rDname_ADM,0),0),"")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Normativo|"&amp;MID($C9,12,500),rDname_ADM,0),0),"")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Normativo|"&amp;MID($C10,12,500),rDname_ADM,0),0),"")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Normativo|"&amp;MID($C11,12,500),rDname_ADM,0),0),"")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Normativo|"&amp;MID($C12,12,500),rDname_ADM,0),0),"")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Normativo|"&amp;MID($C13,12,500),rDname_ADM,0),0),"")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Normativo|"&amp;MID($C14,12,500),rDname_ADM,0),0),"")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Normativo|"&amp;MID($C15,12,500),rDname_ADM,0),0),"")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Normativo|"&amp;MID($C16,12,500),rDname_ADM,0),0),"")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Normativo|"&amp;MID($C17,12,500),rDname_ADM,0),0),"")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Normativo|"&amp;MID($C18,12,500),rDname_ADM,0),0),"")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Normativo|"&amp;MID($C19,12,500),rDname_ADM,0),0),"")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Normativo|"&amp;MID($C20,12,500),rDname_ADM,0),0),"")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Normativo|"&amp;MID($C21,12,500),rDname_ADM,0),0),"")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Normativo|"&amp;MID($C22,12,500),rDname_ADM,0),0),"")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Normativo|"&amp;MID($C23,12,500),rDname_ADM,0),0),"")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Normativo|"&amp;MID($C24,12,500),rDname_ADM,0),0),"")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Normativo|"&amp;MID($C25,12,500),rDname_ADM,0),0),"")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Normativo|"&amp;MID($C26,12,500),rDname_ADM,0),0),"")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Normativo|"&amp;MID($C27,12,500),rDname_ADM,0),0),"")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Normativo|"&amp;MID($C28,12,500),rDname_ADM,0),0),"")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Normativo|"&amp;MID($C29,12,500),rDname_ADM,0),0),"")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Normativo|"&amp;MID($C30,12,500),rDname_ADM,0),0),"")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Normativo|"&amp;MID($C31,12,500),rDname_ADM,0),0),"")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Normativo|"&amp;MID($C32,12,500),rDname_ADM,0),0),"")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Normativo|"&amp;MID($C33,12,500),rDname_ADM,0),0),"")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Normativo|"&amp;MID($C34,12,500),rDname_ADM,0),0),"")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Normativo|"&amp;MID($C35,12,500),rDname_ADM,0),0),"")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Normativo|"&amp;MID($C36,12,500),rDname_ADM,0),0),"")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Normativo|"&amp;MID($C37,12,500),rDname_ADM,0),0),"")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Normativo|"&amp;MID($C38,12,500),rDname_ADM,0),0),"")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Normativo|"&amp;MID($C39,12,500),rDname_ADM,0),0),"")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Normativo|"&amp;MID($C40,12,500),rDname_ADM,0),0),"")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Normativo|"&amp;MID($C41,12,500),rDname_ADM,0),0),"")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Normativo|"&amp;MID($C42,12,500),rDname_ADM,0),0),"")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Normativo|"&amp;MID($C43,12,500),rDname_ADM,0),0),"")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Normativo|"&amp;MID($C44,12,500),rDname_ADM,0),0),"")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Normativo|"&amp;MID($C45,12,500),rDname_ADM,0),0),"")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Normativo|"&amp;MID($C46,12,500),rDname_ADM,0),0),"")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Normativo|"&amp;MID($C47,12,500),rDname_ADM,0),0),"")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Normativo|"&amp;MID($C48,12,500),rDname_ADM,0),0),"")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Normativo|"&amp;MID($C49,12,500),rDname_ADM,0),0),"")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Normativo|"&amp;MID($C50,12,500),rDname_ADM,0),0),"")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Normativo|"&amp;MID($C51,12,500),rDname_ADM,0),0),"")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Normativo|"&amp;MID($C52,12,500),rDname_ADM,0),0),"")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Normativo|"&amp;MID($C53,12,500),rDname_ADM,0),0),"")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Normativo|"&amp;MID($C54,12,500),rDname_ADM,0),0),"")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Normativo|"&amp;MID($C55,12,500),rDname_ADM,0),0),"")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Normativo|"&amp;MID($C56,12,500),rDname_ADM,0),0),"")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Normativo|"&amp;MID($C57,12,500),rDname_ADM,0),0),"")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Normativo|"&amp;MID($C58,12,500),rDname_ADM,0),0),"")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Normativo|"&amp;MID($C59,12,500),rDname_ADM,0),0),"")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Normativo|"&amp;MID($C60,12,500),rDname_ADM,0),0),"")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Normativo|"&amp;MID($C61,12,500),rDname_ADM,0),0),"")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Normativo|"&amp;MID($C62,12,500),rDname_ADM,0),0),"")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Normativo|"&amp;MID($C63,12,500),rDname_ADM,0),0),"")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Normativo|"&amp;MID($C64,12,500),rDname_ADM,0),0),"")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Normativo|"&amp;MID($C65,12,500),rDname_ADM,0),0),"")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Normativo|"&amp;MID($C66,12,500),rDname_ADM,0),0),"")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Normativo|"&amp;MID($C67,12,500),rDname_ADM,0),0),"")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Normativo|"&amp;MID($C68,12,500),rDname_ADM,0),0),"")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Normativo|"&amp;MID($C69,12,500),rDname_ADM,0),0),"")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Normativo|"&amp;MID($C70,12,500),rDname_ADM,0),0),"")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Normativo|"&amp;MID($C71,12,500),rDname_ADM,0),0),"")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Normativo|"&amp;MID($C72,12,500),rDname_ADM,0),0),"")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Normativo|"&amp;MID($C73,12,500),rDname_ADM,0),0),"")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Normativo|"&amp;MID($C74,12,500),rDname_ADM,0),0),"")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Normativo|"&amp;MID($C75,12,500),rDname_ADM,0),0),"")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Normativo|"&amp;MID($C76,12,500),rDname_ADM,0),0),"")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Normativo|"&amp;MID($C77,12,500),rDname_ADM,0),0),"")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Normativo|"&amp;MID($C78,12,500),rDname_ADM,0),0),"")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Normativo|"&amp;MID($C79,12,500),rDname_ADM,0),0),"")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Normativo|"&amp;MID($C80,12,500),rDname_ADM,0),0),"")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Normativo|"&amp;MID($C81,12,500),rDname_ADM,0),0),"")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Normativo|"&amp;MID($C82,12,500),rDname_ADM,0),0),"")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Normativo|"&amp;MID($C83,12,500),rDname_ADM,0),0),"")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Normativo|"&amp;MID($C84,12,500),rDname_ADM,0),0),"")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Normativo|"&amp;MID($C85,12,500),rDname_ADM,0),0),"")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Normativo|"&amp;MID($C86,12,500),rDname_ADM,0),0),"")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Normativo|"&amp;MID($C87,12,500),rDname_ADM,0),0),"")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Normativo|"&amp;MID($C88,12,500),rDname_ADM,0),0),"")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Normativo|"&amp;MID($C89,12,500),rDname_ADM,0),0),"")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Normativo|"&amp;MID($C90,12,500),rDname_ADM,0),0),"")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Normativo|"&amp;MID($C91,12,500),rDname_ADM,0),0),"")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Normativo|"&amp;MID($C92,12,500),rDname_ADM,0),0),"")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Normativo|"&amp;MID($C93,12,500),rDname_ADM,0),0),"")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Normativo|"&amp;MID($C94,12,500),rDname_ADM,0),0),"")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Normativo|"&amp;MID($C95,12,500),rDname_ADM,0),0),"")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Normativo|"&amp;MID($C96,12,500),rDname_ADM,0),0),"")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Normativo|"&amp;MID($C97,12,500),rDname_ADM,0),0),"")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Normativo|"&amp;MID($C98,12,500),rDname_ADM,0),0),"")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Normativo|"&amp;MID($C99,12,500),rDname_ADM,0),0),"")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Normativo|"&amp;MID($C100,12,500),rDname_ADM,0),0),"")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Normativo|"&amp;MID($C101,12,500),rDname_ADM,0),0),"")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Normativo|"&amp;MID($C102,12,500),rDname_ADM,0),0),"")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Normativo|"&amp;MID($C103,12,500),rDname_ADM,0),0),"")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Normativo|"&amp;MID($C104,12,500),rDname_ADM,0),0),"")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Normativo|"&amp;MID($C105,12,500),rDname_ADM,0),0),"")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Normativo|"&amp;MID($C106,12,500),rDname_ADM,0),0),"")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Normativo|"&amp;MID($C107,12,500),rDname_ADM,0),0),"")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Normativo|"&amp;MID($C108,12,500),rDname_ADM,0),0),"")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Normativo|"&amp;MID($C109,12,500),rDname_ADM,0),0),"")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Normativo|"&amp;MID($C110,12,500),rDname_ADM,0),0),"")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Normativo|"&amp;MID($C111,12,500),rDname_ADM,0),0),"")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Normativo|"&amp;MID($C112,12,500),rDname_ADM,0),0),"")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Normativo|"&amp;MID($C113,12,500),rDname_ADM,0),0),"")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Normativo|"&amp;MID($C114,12,500),rDname_ADM,0),0),"")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Normativo|"&amp;MID($C115,12,500),rDname_ADM,0),0),"")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Normativo|"&amp;MID($C116,12,500),rDname_ADM,0),0),"")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Normativo|"&amp;MID($C117,12,500),rDname_ADM,0),0),"")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Normativo|"&amp;MID($C118,12,500),rDname_ADM,0),0),"")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Normativo|"&amp;MID($C119,12,500),rDname_ADM,0),0),"")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Normativo|"&amp;MID($C120,12,500),rDname_ADM,0),0),"")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Normativo|"&amp;MID($C121,12,500),rDname_ADM,0),0),"")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Normativo|"&amp;MID($C122,12,500),rDname_ADM,0),0),"")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Normativo|"&amp;MID($C123,12,500),rDname_ADM,0),0),"")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Normativo|"&amp;MID($C124,12,500),rDname_ADM,0),0),"")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Normativo|"&amp;MID($C125,12,500),rDname_ADM,0),0),"")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Normativo|"&amp;MID($C126,12,500),rDname_ADM,0),0),"")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Normativo|"&amp;MID($C127,12,500),rDname_ADM,0),0),"")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Normativo|"&amp;MID($C128,12,500),rDname_ADM,0),0),"")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Normativo|"&amp;MID($C129,12,500),rDname_ADM,0),0),"")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Normativo|"&amp;MID($C130,12,500),rDname_ADM,0),0),"")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Normativo|"&amp;MID($C131,12,500),rDname_ADM,0),0),"")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Normativo|"&amp;MID($C132,12,500),rDname_ADM,0),0),"")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Normativo|"&amp;MID($C133,12,500),rDname_ADM,0),0),"")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Normativo|"&amp;MID($C134,12,500),rDname_ADM,0),0),"")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Normativo|"&amp;MID($C135,12,500),rDname_ADM,0),0),"")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Normativo|"&amp;MID($C136,12,500),rDname_ADM,0),0),"")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Normativo|"&amp;MID($C137,12,500),rDname_ADM,0),0),"")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Normativo|"&amp;MID($C138,12,500),rDname_ADM,0),0),"")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Normativo|"&amp;MID($C139,12,500),rDname_ADM,0),0),"")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Normativo|"&amp;MID($C140,12,500),rDname_ADM,0),0),"")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Normativo|"&amp;MID($C141,12,500),rDname_ADM,0),0),"")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Normativo|"&amp;MID($C142,12,500),rDname_ADM,0),0),"")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Normativo|"&amp;MID($C143,12,500),rDname_ADM,0),0),"")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Normativo|"&amp;MID($C144,12,500),rDname_ADM,0),0),"")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Normativo|"&amp;MID($C145,12,500),rDname_ADM,0),0),"")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Normativo|"&amp;MID($C146,12,500),rDname_ADM,0),0),"")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Normativo|"&amp;MID($C147,12,500),rDname_ADM,0),0),"")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Normativo|"&amp;MID($C148,12,500),rDname_ADM,0),0),"")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Normativo|"&amp;MID($C149,12,500),rDname_ADM,0),0),"")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Normativo|"&amp;MID($C150,12,500),rDname_ADM,0),0),"")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Normativo|"&amp;MID($C151,12,500),rDname_ADM,0),0),"")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Normativo|"&amp;MID($C152,12,500),rDname_ADM,0),0),"")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Normativo|"&amp;MID($C153,12,500),rDname_ADM,0),0),"")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Normativo|"&amp;MID($C154,12,500),rDname_ADM,0),0),"")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Normativo|"&amp;MID($C155,12,500),rDname_ADM,0),0),"")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Normativo|"&amp;MID($C156,12,500),rDname_ADM,0),0),"")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Normativo|"&amp;MID($C157,12,500),rDname_ADM,0),0),"")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Normativo|"&amp;MID($C158,12,500),rDname_ADM,0),0),"")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Normativo|"&amp;MID($C159,12,500),rDname_ADM,0),0),"")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Normativo|"&amp;MID($C160,12,500),rDname_ADM,0),0),"")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Normativo|"&amp;MID($C161,12,500),rDname_ADM,0),0),"")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Normativo|"&amp;MID($C162,12,500),rDname_ADM,0),0),"")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Normativo|"&amp;MID($C163,12,500),rDname_ADM,0),0),"")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Normativo|"&amp;MID($C164,12,500),rDname_ADM,0),0),"")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Normativo|"&amp;MID($C165,12,500),rDname_ADM,0),0),"")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Normativo|"&amp;MID($C166,12,500),rDname_ADM,0),0),"")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Normativo|"&amp;MID($C167,12,500),rDname_ADM,0),0),"")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Normativo|"&amp;MID($C168,12,500),rDname_ADM,0),0),"")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Normativo|"&amp;MID($C169,12,500),rDname_ADM,0),0),"")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Normativo|"&amp;MID($C170,12,500),rDname_ADM,0),0),"")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Normativo|"&amp;MID($C171,12,500),rDname_ADM,0),0),"")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Normativo|"&amp;MID($C172,12,500),rDname_ADM,0),0),"")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Normativo|"&amp;MID($C173,12,500),rDname_ADM,0),0),"")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Normativo|"&amp;MID($C174,12,500),rDname_ADM,0),0),"")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Normativo|"&amp;MID($C175,12,500),rDname_ADM,0),0),"")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Normativo|"&amp;MID($C176,12,500),rDname_ADM,0),0),"")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Normativo|"&amp;MID($C177,12,500),rDname_ADM,0),0),"")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Normativo|"&amp;MID($C178,12,500),rDname_ADM,0),0),"")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Normativo|"&amp;MID($C179,12,500),rDname_ADM,0),0),"")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Normativo|"&amp;MID($C180,12,500),rDname_ADM,0),0),"")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Normativo|"&amp;MID($C181,12,500),rDname_ADM,0),0),"")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Normativo|"&amp;MID($C182,12,500),rDname_ADM,0),0),"")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Normativo|"&amp;MID($C183,12,500),rDname_ADM,0),0),"")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Normativo|"&amp;MID($C184,12,500),rDname_ADM,0),0),"")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Normativo|"&amp;MID($C185,12,500),rDname_ADM,0),0),"")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Normativo|"&amp;MID($C186,12,500),rDname_ADM,0),0),"")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Normativo|"&amp;MID($C187,12,500),rDname_ADM,0),0),"")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Normativo|"&amp;MID($C188,12,500),rDname_ADM,0),0),"")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Normativo|"&amp;MID($C189,12,500),rDname_ADM,0),0),"")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Normativo|"&amp;MID($C190,12,500),rDname_ADM,0),0),"")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Normativo|"&amp;MID($C191,12,500),rDname_ADM,0),0),"")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Normativo|"&amp;MID($C192,12,500),rDname_ADM,0),0),"")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Normativo|"&amp;MID($C193,12,500),rDname_ADM,0),0),"")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Normativo|"&amp;MID($C194,12,500),rDname_ADM,0),0),"")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Normativo|"&amp;MID($C195,12,500),rDname_ADM,0),0),"")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Normativo|"&amp;MID($C196,12,500),rDname_ADM,0),0),"")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Normativo|"&amp;MID($C197,12,500),rDname_ADM,0),0),"")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Normativo|"&amp;MID($C198,12,500),rDname_ADM,0),0),"")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Normativo|"&amp;MID($C199,12,500),rDname_ADM,0),0),"")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Normativo|"&amp;MID($C200,12,500),rDname_ADM,0),0),"")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Normativo|"&amp;MID($C201,12,500),rDname_ADM,0),0),"")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Normativo|"&amp;MID($C202,12,500),rDname_ADM,0),0),"")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Normativo|"&amp;MID($C203,12,500),rDname_ADM,0),0),"")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Normativo|"&amp;MID($C204,12,500),rDname_ADM,0),0),"")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Normativo|"&amp;MID($C205,12,500),rDname_ADM,0),0),"")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Normativo|"&amp;MID($C206,12,500),rDname_ADM,0),0),"")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Normativo|"&amp;MID($C207,12,500),rDname_ADM,0),0),"")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Normativo|"&amp;MID($C208,12,500),rDname_ADM,0),0),"")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Normativo|"&amp;MID($C209,12,500),rDname_ADM,0),0),"")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Normativo|"&amp;MID($C210,12,500),rDname_ADM,0),0),"")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Normativo|"&amp;MID($C211,12,500),rDname_ADM,0),0),"")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Normativo|"&amp;MID($C212,12,500),rDname_ADM,0),0),"")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Normativo|"&amp;MID($C213,12,500),rDname_ADM,0),0),"")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Normativo|"&amp;MID($C214,12,500),rDname_ADM,0),0),"")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Normativo|"&amp;MID($C215,12,500),rDname_ADM,0),0),"")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Normativo|"&amp;MID($C216,12,500),rDname_ADM,0),0),"")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Normativo|"&amp;MID($C217,12,500),rDname_ADM,0),0),"")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Normativo|"&amp;MID($C218,12,500),rDname_ADM,0),0),"")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Normativo|"&amp;MID($C219,12,500),rDname_ADM,0),0),"")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Normativo|"&amp;MID($C220,12,500),rDname_ADM,0),0),"")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Normativo|"&amp;MID($C221,12,500),rDname_ADM,0),0),"")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Normativo|"&amp;MID($C222,12,500),rDname_ADM,0),0),"")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Normativo|"&amp;MID($C223,12,500),rDname_ADM,0),0),"")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Normativo|"&amp;MID($C224,12,500),rDname_ADM,0),0),"")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Normativo|"&amp;MID($C225,12,500),rDname_ADM,0),0),"")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Normativo|"&amp;MID($C226,12,500),rDname_ADM,0),0),"")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Normativo|"&amp;MID($C227,12,500),rDname_ADM,0),0),"")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Normativo|"&amp;MID($C228,12,500),rDname_ADM,0),0),"")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Normativo|"&amp;MID($C229,12,500),rDname_ADM,0),0),"")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Normativo|"&amp;MID($C230,12,500),rDname_ADM,0),0),"")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Normativo|"&amp;MID($C231,12,500),rDname_ADM,0),0),"")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Normativo|"&amp;MID($C232,12,500),rDname_ADM,0),0),"")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Normativo|"&amp;MID($C233,12,500),rDname_ADM,0),0),"")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Normativo|"&amp;MID($C234,12,500),rDname_ADM,0),0),"")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Normativo|"&amp;MID($C235,12,500),rDname_ADM,0),0),"")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Normativo|"&amp;MID($C236,12,500),rDname_ADM,0),0),"")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Normativo|"&amp;MID($C237,12,500),rDname_ADM,0),0),"")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Normativo|"&amp;MID($C238,12,500),rDname_ADM,0),0),"")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Normativo|"&amp;MID($C239,12,500),rDname_ADM,0),0),"")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Normativo|"&amp;MID($C240,12,500),rDname_ADM,0),0),"")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Normativo|"&amp;MID($C241,12,500),rDname_ADM,0),0),"")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Normativo|"&amp;MID($C242,12,500),rDname_ADM,0),0),"")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Normativo|"&amp;MID($C243,12,500),rDname_ADM,0),0),"")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Normativo|"&amp;MID($C244,12,500),rDname_ADM,0),0),"")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Normativo|"&amp;MID($C245,12,500),rDname_ADM,0),0),"")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Normativo|"&amp;MID($C246,12,500),rDname_ADM,0),0),"")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Normativo|"&amp;MID($C247,12,500),rDname_ADM,0),0),"")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Normativo|"&amp;MID($C248,12,500),rDname_ADM,0),0),"")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Normativo|"&amp;MID($C249,12,500),rDname_ADM,0),0),"")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Normativo|"&amp;MID($C250,12,500),rDname_ADM,0),0),"")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Normativo|"&amp;MID($C251,12,500),rDname_ADM,0),0),"")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Normativo|"&amp;MID($C252,12,500),rDname_ADM,0),0),"")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Normativo|"&amp;MID($C253,12,500),rDname_ADM,0),0),"")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Normativo|"&amp;MID($C254,12,500),rDname_ADM,0),0),"")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Normativo|"&amp;MID($C255,12,500),rDname_ADM,0),0),"")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Normativo|"&amp;MID($C256,12,500),rDname_ADM,0),0),"")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Normativo|"&amp;MID($C257,12,500),rDname_ADM,0),0),"")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Normativo|"&amp;MID($C258,12,500),rDname_ADM,0),0),"")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Normativo|"&amp;MID($C259,12,500),rDname_ADM,0),0),"")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Normativo|"&amp;MID($C260,12,500),rDname_ADM,0),0),"")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Normativo|"&amp;MID($C261,12,500),rDname_ADM,0),0),"")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Normativo|"&amp;MID($C262,12,500),rDname_ADM,0),0),"")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Normativo|"&amp;MID($C263,12,500),rDname_ADM,0),0),"")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Normativo|"&amp;MID($C264,12,500),rDname_ADM,0),0),"")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Normativo|"&amp;MID($C265,12,500),rDname_ADM,0),0),"")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Normativo|"&amp;MID($C266,12,500),rDname_ADM,0),0),"")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Normativo|"&amp;MID($C267,12,500),rDname_ADM,0),0),"")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Normativo|"&amp;MID($C268,12,500),rDname_ADM,0),0),"")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Normativo|"&amp;MID($C269,12,500),rDname_ADM,0),0),"")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Normativo|"&amp;MID($C270,12,500),rDname_ADM,0),0),"")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Normativo|"&amp;MID($C271,12,500),rDname_ADM,0),0),"")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Normativo|"&amp;MID($C272,12,500),rDname_ADM,0),0),"")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Normativo|"&amp;MID($C273,12,500),rDname_ADM,0),0),"")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Normativo|"&amp;MID($C274,12,500),rDname_ADM,0),0),"")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Normativo|"&amp;MID($C275,12,500),rDname_ADM,0),0),"")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Normativo|"&amp;MID($C276,12,500),rDname_ADM,0),0),"")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Normativo|"&amp;MID($C277,12,500),rDname_ADM,0),0),"")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Normativo|"&amp;MID($C278,12,500),rDname_ADM,0),0),"")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Normativo|"&amp;MID($C279,12,500),rDname_ADM,0),0),"")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Normativo|"&amp;MID($C280,12,500),rDname_ADM,0),0),"")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Normativo|"&amp;MID($C281,12,500),rDname_ADM,0),0),"")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Normativo|"&amp;MID($C282,12,500),rDname_ADM,0),0),"")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Normativo|"&amp;MID($C283,12,500),rDname_ADM,0),0),"")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Normativo|"&amp;MID($C284,12,500),rDname_ADM,0),0),"")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Normativo|"&amp;MID($C285,12,500),rDname_ADM,0),0),"")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Normativo|"&amp;MID($C286,12,500),rDname_ADM,0),0),"")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Normativo|"&amp;MID($C287,12,500),rDname_ADM,0),0),"")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Normativo|"&amp;MID($C288,12,500),rDname_ADM,0),0),"")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Normativo|"&amp;MID($C289,12,500),rDname_ADM,0),0),"")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Normativo|"&amp;MID($C290,12,500),rDname_ADM,0),0),"")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Normativo|"&amp;MID($C291,12,500),rDname_ADM,0),0),"")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Normativo|"&amp;MID($C292,12,500),rDname_ADM,0),0),"")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Normativo|"&amp;MID($C293,12,500),rDname_ADM,0),0),"")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Normativo|"&amp;MID($C294,12,500),rDname_ADM,0),0),"")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Normativo|"&amp;MID($C295,12,500),rDname_ADM,0),0),"")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Normativo|"&amp;MID($C296,12,500),rDname_ADM,0),0),"")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Normativo|"&amp;MID($C297,12,500),rDname_ADM,0),0),"")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Normativo|"&amp;MID($C298,12,500),rDname_ADM,0),0),"")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Normativo|"&amp;MID($C299,12,500),rDname_ADM,0),0),"")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Normativo|"&amp;MID($C300,12,500),rDname_ADM,0),0),"")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Normativo|"&amp;MID($C301,12,500),rDname_ADM,0),0),"")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Normativo|"&amp;MID($C302,12,500),rDname_ADM,0),0),"")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Normativo|"&amp;MID($C303,12,500),rDname_ADM,0),0),"")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Normativo|"&amp;MID($C304,12,500),rDname_ADM,0),0),"")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Normativo",'Administración'!$S$5:$S$1000,MesCiclo,'Administración'!$V$5:$V$1000,"Macro")-COUNTIFS('Administración'!$D$5:$D$1000,"Riesgo Normativo",'Administración'!$S$5:$S$1000,MesCiclo,'Administración'!$V$5:$V$1000,"Macro",'Administración'!$AM$5:$AM$1000,"&gt;0"))&gt;0</formula>
    </cfRule>
    <cfRule type="expression" priority="5" dxfId="0">
      <formula>COUNTIFS('Administración'!$D$5:$D$1000,"Riesgo Normativo",'Administración'!$S$5:$S$1000,MesCiclo,'Administración'!$V$5:$V$1000,"Macro")&gt;0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1">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ListaDeleg_RN</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7030A0"/>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0" t="inlineStr">
        <is>
          <t>Actividades del mes por semana – Riesgo Normativo</t>
        </is>
      </c>
      <c r="B1" s="80" t="n"/>
      <c r="C1" s="80" t="n"/>
      <c r="D1" s="80" t="n"/>
      <c r="E1" s="80" t="n"/>
      <c r="F1" s="80" t="n"/>
      <c r="G1" s="80" t="n"/>
      <c r="H1" s="80" t="n"/>
      <c r="I1" s="80" t="n"/>
      <c r="J1" s="80" t="n"/>
      <c r="K1" s="80" t="n"/>
      <c r="L1" s="80" t="n"/>
      <c r="M1" s="80" t="n"/>
    </row>
    <row r="2" ht="34" customHeight="1">
      <c r="A2" s="74" t="inlineStr">
        <is>
          <t>HOJA AUTOMÁTICA Y BLOQUEADA: muestra solo las actividades del mes indicado abajo, tomadas de «Cronograma R. Normativo».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8" t="inlineStr">
        <is>
          <t>Semana 1</t>
        </is>
      </c>
      <c r="G4" s="68" t="inlineStr">
        <is>
          <t>Semana 2</t>
        </is>
      </c>
      <c r="H4" s="68" t="inlineStr">
        <is>
          <t>Semana 3</t>
        </is>
      </c>
      <c r="I4" s="68"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Normativo'!$A$5:$A$1000,$N5))</f>
        <v/>
      </c>
      <c r="B5" s="62">
        <f>IF($N5="","",IF($O5="Sub","      ↳  "&amp;INDEX('Cronograma R. Normativo'!$C$5:$C$1000,$N5),INDEX('Cronograma R. Normativo'!$C$5:$C$1000,$N5)&amp;""))</f>
        <v/>
      </c>
      <c r="C5" s="79">
        <f>IF($N5="","",IF(INDEX('Cronograma R. Normativo'!$AR$5:$AR$1000,$N5)="","",INDEX('Cronograma R. Normativo'!$AR$5:$AR$1000,$N5)))</f>
        <v/>
      </c>
      <c r="D5" s="79">
        <f>IF($N5="","",IF(INDEX('Cronograma R. Normativo'!$AS$5:$AS$1000,$N5)="","",INDEX('Cronograma R. Normativo'!$AS$5:$AS$1000,$N5)))</f>
        <v/>
      </c>
      <c r="E5" s="56">
        <f>IF($N5="","",IF(NOT(ISNUMBER($D5)),"",IF($D5&lt;InicioCiclo,"Antes del ciclo",IF($D5&gt;=InicioCiclo+28,"Después del ciclo","Semana "&amp;(INT(($D5-InicioCiclo)/7)+1)))))</f>
        <v/>
      </c>
      <c r="F5" s="61">
        <f>IF($N5="","",IF($P5&gt;0,IF(1&lt;=SemanaActual,INDEX('Cronograma R. Normativo'!$AH$5:$AH$1000,$N5),""),IF(INDEX('Cronograma R. Normativo'!$I$5:$I$1000,$N5)="","",INDEX('Cronograma R. Normativo'!$I$5:$I$1000,$N5))))</f>
        <v/>
      </c>
      <c r="G5" s="61">
        <f>IF($N5="","",IF($P5&gt;0,IF(2&lt;=SemanaActual,INDEX('Cronograma R. Normativo'!$AI$5:$AI$1000,$N5),""),IF(INDEX('Cronograma R. Normativo'!$J$5:$J$1000,$N5)="","",INDEX('Cronograma R. Normativo'!$J$5:$J$1000,$N5))))</f>
        <v/>
      </c>
      <c r="H5" s="61">
        <f>IF($N5="","",IF($P5&gt;0,IF(3&lt;=SemanaActual,INDEX('Cronograma R. Normativo'!$AJ$5:$AJ$1000,$N5),""),IF(INDEX('Cronograma R. Normativo'!$K$5:$K$1000,$N5)="","",INDEX('Cronograma R. Normativo'!$K$5:$K$1000,$N5))))</f>
        <v/>
      </c>
      <c r="I5" s="61">
        <f>IF($N5="","",IF($P5&gt;0,IF(4&lt;=SemanaActual,INDEX('Cronograma R. Normativo'!$AK$5:$AK$1000,$N5),""),IF(INDEX('Cronograma R. Normativo'!$L$5:$L$1000,$N5)="","",INDEX('Cronograma R. Normativo'!$L$5:$L$1000,$N5))))</f>
        <v/>
      </c>
      <c r="J5" s="61">
        <f>IF($N5="","",INDEX('Cronograma R. Normativo'!$M$5:$M$1000,$N5))</f>
        <v/>
      </c>
      <c r="K5" s="56">
        <f>IF($N5="","",IF(N($J5)&gt;=1,"Completado",IF(AND(ISNUMBER($D5),$D5&lt;FechaRef),"Vencida",IF(N($J5)&gt;0,"En curso","Pendiente"))))</f>
        <v/>
      </c>
      <c r="L5" s="56">
        <f>IF($N5="","",INDEX('Cronograma R. Normativo'!$O$5:$O$1000,$N5)&amp;"")</f>
        <v/>
      </c>
      <c r="M5" s="62">
        <f>IF($N5="","",INDEX('Cronograma R. Normativo'!$Q$5:$Q$1000,$N5)&amp;"")</f>
        <v/>
      </c>
      <c r="N5">
        <f>IFERROR(MATCH(ROW()-4,rOrden_RN,0),"")</f>
        <v/>
      </c>
      <c r="O5">
        <f>IF($N5="","",INDEX('Cronograma R. Normativo'!$V$5:$V$1000,$N5))</f>
        <v/>
      </c>
      <c r="P5">
        <f>IF($N5="","",N(INDEX('Cronograma R. Normativo'!$W$5:$W$1000,$N5)))</f>
        <v/>
      </c>
      <c r="Q5">
        <f>IF(OR(LEFT($L5,7)="Vencida",LEFT($L5,5)="Vence"),SUMPRODUCT(--(LEFT($L$5:$L5,7)="Vencida"))+SUMPRODUCT(--(LEFT($L$5:$L5,5)="Vence")),"")</f>
        <v/>
      </c>
    </row>
    <row r="6">
      <c r="A6" s="56">
        <f>IF($N6="","",INDEX('Cronograma R. Normativo'!$A$5:$A$1000,$N6))</f>
        <v/>
      </c>
      <c r="B6" s="62">
        <f>IF($N6="","",IF($O6="Sub","      ↳  "&amp;INDEX('Cronograma R. Normativo'!$C$5:$C$1000,$N6),INDEX('Cronograma R. Normativo'!$C$5:$C$1000,$N6)&amp;""))</f>
        <v/>
      </c>
      <c r="C6" s="79">
        <f>IF($N6="","",IF(INDEX('Cronograma R. Normativo'!$AR$5:$AR$1000,$N6)="","",INDEX('Cronograma R. Normativo'!$AR$5:$AR$1000,$N6)))</f>
        <v/>
      </c>
      <c r="D6" s="79">
        <f>IF($N6="","",IF(INDEX('Cronograma R. Normativo'!$AS$5:$AS$1000,$N6)="","",INDEX('Cronograma R. Normativo'!$AS$5:$AS$1000,$N6)))</f>
        <v/>
      </c>
      <c r="E6" s="56">
        <f>IF($N6="","",IF(NOT(ISNUMBER($D6)),"",IF($D6&lt;InicioCiclo,"Antes del ciclo",IF($D6&gt;=InicioCiclo+28,"Después del ciclo","Semana "&amp;(INT(($D6-InicioCiclo)/7)+1)))))</f>
        <v/>
      </c>
      <c r="F6" s="61">
        <f>IF($N6="","",IF($P6&gt;0,IF(1&lt;=SemanaActual,INDEX('Cronograma R. Normativo'!$AH$5:$AH$1000,$N6),""),IF(INDEX('Cronograma R. Normativo'!$I$5:$I$1000,$N6)="","",INDEX('Cronograma R. Normativo'!$I$5:$I$1000,$N6))))</f>
        <v/>
      </c>
      <c r="G6" s="61">
        <f>IF($N6="","",IF($P6&gt;0,IF(2&lt;=SemanaActual,INDEX('Cronograma R. Normativo'!$AI$5:$AI$1000,$N6),""),IF(INDEX('Cronograma R. Normativo'!$J$5:$J$1000,$N6)="","",INDEX('Cronograma R. Normativo'!$J$5:$J$1000,$N6))))</f>
        <v/>
      </c>
      <c r="H6" s="61">
        <f>IF($N6="","",IF($P6&gt;0,IF(3&lt;=SemanaActual,INDEX('Cronograma R. Normativo'!$AJ$5:$AJ$1000,$N6),""),IF(INDEX('Cronograma R. Normativo'!$K$5:$K$1000,$N6)="","",INDEX('Cronograma R. Normativo'!$K$5:$K$1000,$N6))))</f>
        <v/>
      </c>
      <c r="I6" s="61">
        <f>IF($N6="","",IF($P6&gt;0,IF(4&lt;=SemanaActual,INDEX('Cronograma R. Normativo'!$AK$5:$AK$1000,$N6),""),IF(INDEX('Cronograma R. Normativo'!$L$5:$L$1000,$N6)="","",INDEX('Cronograma R. Normativo'!$L$5:$L$1000,$N6))))</f>
        <v/>
      </c>
      <c r="J6" s="61">
        <f>IF($N6="","",INDEX('Cronograma R. Normativo'!$M$5:$M$1000,$N6))</f>
        <v/>
      </c>
      <c r="K6" s="56">
        <f>IF($N6="","",IF(N($J6)&gt;=1,"Completado",IF(AND(ISNUMBER($D6),$D6&lt;FechaRef),"Vencida",IF(N($J6)&gt;0,"En curso","Pendiente"))))</f>
        <v/>
      </c>
      <c r="L6" s="56">
        <f>IF($N6="","",INDEX('Cronograma R. Normativo'!$O$5:$O$1000,$N6)&amp;"")</f>
        <v/>
      </c>
      <c r="M6" s="62">
        <f>IF($N6="","",INDEX('Cronograma R. Normativo'!$Q$5:$Q$1000,$N6)&amp;"")</f>
        <v/>
      </c>
      <c r="N6">
        <f>IFERROR(MATCH(ROW()-4,rOrden_RN,0),"")</f>
        <v/>
      </c>
      <c r="O6">
        <f>IF($N6="","",INDEX('Cronograma R. Normativo'!$V$5:$V$1000,$N6))</f>
        <v/>
      </c>
      <c r="P6">
        <f>IF($N6="","",N(INDEX('Cronograma R. Normativo'!$W$5:$W$1000,$N6)))</f>
        <v/>
      </c>
      <c r="Q6">
        <f>IF(OR(LEFT($L6,7)="Vencida",LEFT($L6,5)="Vence"),SUMPRODUCT(--(LEFT($L$5:$L6,7)="Vencida"))+SUMPRODUCT(--(LEFT($L$5:$L6,5)="Vence")),"")</f>
        <v/>
      </c>
    </row>
    <row r="7">
      <c r="A7" s="56">
        <f>IF($N7="","",INDEX('Cronograma R. Normativo'!$A$5:$A$1000,$N7))</f>
        <v/>
      </c>
      <c r="B7" s="62">
        <f>IF($N7="","",IF($O7="Sub","      ↳  "&amp;INDEX('Cronograma R. Normativo'!$C$5:$C$1000,$N7),INDEX('Cronograma R. Normativo'!$C$5:$C$1000,$N7)&amp;""))</f>
        <v/>
      </c>
      <c r="C7" s="79">
        <f>IF($N7="","",IF(INDEX('Cronograma R. Normativo'!$AR$5:$AR$1000,$N7)="","",INDEX('Cronograma R. Normativo'!$AR$5:$AR$1000,$N7)))</f>
        <v/>
      </c>
      <c r="D7" s="79">
        <f>IF($N7="","",IF(INDEX('Cronograma R. Normativo'!$AS$5:$AS$1000,$N7)="","",INDEX('Cronograma R. Normativo'!$AS$5:$AS$1000,$N7)))</f>
        <v/>
      </c>
      <c r="E7" s="56">
        <f>IF($N7="","",IF(NOT(ISNUMBER($D7)),"",IF($D7&lt;InicioCiclo,"Antes del ciclo",IF($D7&gt;=InicioCiclo+28,"Después del ciclo","Semana "&amp;(INT(($D7-InicioCiclo)/7)+1)))))</f>
        <v/>
      </c>
      <c r="F7" s="61">
        <f>IF($N7="","",IF($P7&gt;0,IF(1&lt;=SemanaActual,INDEX('Cronograma R. Normativo'!$AH$5:$AH$1000,$N7),""),IF(INDEX('Cronograma R. Normativo'!$I$5:$I$1000,$N7)="","",INDEX('Cronograma R. Normativo'!$I$5:$I$1000,$N7))))</f>
        <v/>
      </c>
      <c r="G7" s="61">
        <f>IF($N7="","",IF($P7&gt;0,IF(2&lt;=SemanaActual,INDEX('Cronograma R. Normativo'!$AI$5:$AI$1000,$N7),""),IF(INDEX('Cronograma R. Normativo'!$J$5:$J$1000,$N7)="","",INDEX('Cronograma R. Normativo'!$J$5:$J$1000,$N7))))</f>
        <v/>
      </c>
      <c r="H7" s="61">
        <f>IF($N7="","",IF($P7&gt;0,IF(3&lt;=SemanaActual,INDEX('Cronograma R. Normativo'!$AJ$5:$AJ$1000,$N7),""),IF(INDEX('Cronograma R. Normativo'!$K$5:$K$1000,$N7)="","",INDEX('Cronograma R. Normativo'!$K$5:$K$1000,$N7))))</f>
        <v/>
      </c>
      <c r="I7" s="61">
        <f>IF($N7="","",IF($P7&gt;0,IF(4&lt;=SemanaActual,INDEX('Cronograma R. Normativo'!$AK$5:$AK$1000,$N7),""),IF(INDEX('Cronograma R. Normativo'!$L$5:$L$1000,$N7)="","",INDEX('Cronograma R. Normativo'!$L$5:$L$1000,$N7))))</f>
        <v/>
      </c>
      <c r="J7" s="61">
        <f>IF($N7="","",INDEX('Cronograma R. Normativo'!$M$5:$M$1000,$N7))</f>
        <v/>
      </c>
      <c r="K7" s="56">
        <f>IF($N7="","",IF(N($J7)&gt;=1,"Completado",IF(AND(ISNUMBER($D7),$D7&lt;FechaRef),"Vencida",IF(N($J7)&gt;0,"En curso","Pendiente"))))</f>
        <v/>
      </c>
      <c r="L7" s="56">
        <f>IF($N7="","",INDEX('Cronograma R. Normativo'!$O$5:$O$1000,$N7)&amp;"")</f>
        <v/>
      </c>
      <c r="M7" s="62">
        <f>IF($N7="","",INDEX('Cronograma R. Normativo'!$Q$5:$Q$1000,$N7)&amp;"")</f>
        <v/>
      </c>
      <c r="N7">
        <f>IFERROR(MATCH(ROW()-4,rOrden_RN,0),"")</f>
        <v/>
      </c>
      <c r="O7">
        <f>IF($N7="","",INDEX('Cronograma R. Normativo'!$V$5:$V$1000,$N7))</f>
        <v/>
      </c>
      <c r="P7">
        <f>IF($N7="","",N(INDEX('Cronograma R. Normativo'!$W$5:$W$1000,$N7)))</f>
        <v/>
      </c>
      <c r="Q7">
        <f>IF(OR(LEFT($L7,7)="Vencida",LEFT($L7,5)="Vence"),SUMPRODUCT(--(LEFT($L$5:$L7,7)="Vencida"))+SUMPRODUCT(--(LEFT($L$5:$L7,5)="Vence")),"")</f>
        <v/>
      </c>
    </row>
    <row r="8">
      <c r="A8" s="56">
        <f>IF($N8="","",INDEX('Cronograma R. Normativo'!$A$5:$A$1000,$N8))</f>
        <v/>
      </c>
      <c r="B8" s="62">
        <f>IF($N8="","",IF($O8="Sub","      ↳  "&amp;INDEX('Cronograma R. Normativo'!$C$5:$C$1000,$N8),INDEX('Cronograma R. Normativo'!$C$5:$C$1000,$N8)&amp;""))</f>
        <v/>
      </c>
      <c r="C8" s="79">
        <f>IF($N8="","",IF(INDEX('Cronograma R. Normativo'!$AR$5:$AR$1000,$N8)="","",INDEX('Cronograma R. Normativo'!$AR$5:$AR$1000,$N8)))</f>
        <v/>
      </c>
      <c r="D8" s="79">
        <f>IF($N8="","",IF(INDEX('Cronograma R. Normativo'!$AS$5:$AS$1000,$N8)="","",INDEX('Cronograma R. Normativo'!$AS$5:$AS$1000,$N8)))</f>
        <v/>
      </c>
      <c r="E8" s="56">
        <f>IF($N8="","",IF(NOT(ISNUMBER($D8)),"",IF($D8&lt;InicioCiclo,"Antes del ciclo",IF($D8&gt;=InicioCiclo+28,"Después del ciclo","Semana "&amp;(INT(($D8-InicioCiclo)/7)+1)))))</f>
        <v/>
      </c>
      <c r="F8" s="61">
        <f>IF($N8="","",IF($P8&gt;0,IF(1&lt;=SemanaActual,INDEX('Cronograma R. Normativo'!$AH$5:$AH$1000,$N8),""),IF(INDEX('Cronograma R. Normativo'!$I$5:$I$1000,$N8)="","",INDEX('Cronograma R. Normativo'!$I$5:$I$1000,$N8))))</f>
        <v/>
      </c>
      <c r="G8" s="61">
        <f>IF($N8="","",IF($P8&gt;0,IF(2&lt;=SemanaActual,INDEX('Cronograma R. Normativo'!$AI$5:$AI$1000,$N8),""),IF(INDEX('Cronograma R. Normativo'!$J$5:$J$1000,$N8)="","",INDEX('Cronograma R. Normativo'!$J$5:$J$1000,$N8))))</f>
        <v/>
      </c>
      <c r="H8" s="61">
        <f>IF($N8="","",IF($P8&gt;0,IF(3&lt;=SemanaActual,INDEX('Cronograma R. Normativo'!$AJ$5:$AJ$1000,$N8),""),IF(INDEX('Cronograma R. Normativo'!$K$5:$K$1000,$N8)="","",INDEX('Cronograma R. Normativo'!$K$5:$K$1000,$N8))))</f>
        <v/>
      </c>
      <c r="I8" s="61">
        <f>IF($N8="","",IF($P8&gt;0,IF(4&lt;=SemanaActual,INDEX('Cronograma R. Normativo'!$AK$5:$AK$1000,$N8),""),IF(INDEX('Cronograma R. Normativo'!$L$5:$L$1000,$N8)="","",INDEX('Cronograma R. Normativo'!$L$5:$L$1000,$N8))))</f>
        <v/>
      </c>
      <c r="J8" s="61">
        <f>IF($N8="","",INDEX('Cronograma R. Normativo'!$M$5:$M$1000,$N8))</f>
        <v/>
      </c>
      <c r="K8" s="56">
        <f>IF($N8="","",IF(N($J8)&gt;=1,"Completado",IF(AND(ISNUMBER($D8),$D8&lt;FechaRef),"Vencida",IF(N($J8)&gt;0,"En curso","Pendiente"))))</f>
        <v/>
      </c>
      <c r="L8" s="56">
        <f>IF($N8="","",INDEX('Cronograma R. Normativo'!$O$5:$O$1000,$N8)&amp;"")</f>
        <v/>
      </c>
      <c r="M8" s="62">
        <f>IF($N8="","",INDEX('Cronograma R. Normativo'!$Q$5:$Q$1000,$N8)&amp;"")</f>
        <v/>
      </c>
      <c r="N8">
        <f>IFERROR(MATCH(ROW()-4,rOrden_RN,0),"")</f>
        <v/>
      </c>
      <c r="O8">
        <f>IF($N8="","",INDEX('Cronograma R. Normativo'!$V$5:$V$1000,$N8))</f>
        <v/>
      </c>
      <c r="P8">
        <f>IF($N8="","",N(INDEX('Cronograma R. Normativo'!$W$5:$W$1000,$N8)))</f>
        <v/>
      </c>
      <c r="Q8">
        <f>IF(OR(LEFT($L8,7)="Vencida",LEFT($L8,5)="Vence"),SUMPRODUCT(--(LEFT($L$5:$L8,7)="Vencida"))+SUMPRODUCT(--(LEFT($L$5:$L8,5)="Vence")),"")</f>
        <v/>
      </c>
    </row>
    <row r="9">
      <c r="A9" s="56">
        <f>IF($N9="","",INDEX('Cronograma R. Normativo'!$A$5:$A$1000,$N9))</f>
        <v/>
      </c>
      <c r="B9" s="62">
        <f>IF($N9="","",IF($O9="Sub","      ↳  "&amp;INDEX('Cronograma R. Normativo'!$C$5:$C$1000,$N9),INDEX('Cronograma R. Normativo'!$C$5:$C$1000,$N9)&amp;""))</f>
        <v/>
      </c>
      <c r="C9" s="79">
        <f>IF($N9="","",IF(INDEX('Cronograma R. Normativo'!$AR$5:$AR$1000,$N9)="","",INDEX('Cronograma R. Normativo'!$AR$5:$AR$1000,$N9)))</f>
        <v/>
      </c>
      <c r="D9" s="79">
        <f>IF($N9="","",IF(INDEX('Cronograma R. Normativo'!$AS$5:$AS$1000,$N9)="","",INDEX('Cronograma R. Normativo'!$AS$5:$AS$1000,$N9)))</f>
        <v/>
      </c>
      <c r="E9" s="56">
        <f>IF($N9="","",IF(NOT(ISNUMBER($D9)),"",IF($D9&lt;InicioCiclo,"Antes del ciclo",IF($D9&gt;=InicioCiclo+28,"Después del ciclo","Semana "&amp;(INT(($D9-InicioCiclo)/7)+1)))))</f>
        <v/>
      </c>
      <c r="F9" s="61">
        <f>IF($N9="","",IF($P9&gt;0,IF(1&lt;=SemanaActual,INDEX('Cronograma R. Normativo'!$AH$5:$AH$1000,$N9),""),IF(INDEX('Cronograma R. Normativo'!$I$5:$I$1000,$N9)="","",INDEX('Cronograma R. Normativo'!$I$5:$I$1000,$N9))))</f>
        <v/>
      </c>
      <c r="G9" s="61">
        <f>IF($N9="","",IF($P9&gt;0,IF(2&lt;=SemanaActual,INDEX('Cronograma R. Normativo'!$AI$5:$AI$1000,$N9),""),IF(INDEX('Cronograma R. Normativo'!$J$5:$J$1000,$N9)="","",INDEX('Cronograma R. Normativo'!$J$5:$J$1000,$N9))))</f>
        <v/>
      </c>
      <c r="H9" s="61">
        <f>IF($N9="","",IF($P9&gt;0,IF(3&lt;=SemanaActual,INDEX('Cronograma R. Normativo'!$AJ$5:$AJ$1000,$N9),""),IF(INDEX('Cronograma R. Normativo'!$K$5:$K$1000,$N9)="","",INDEX('Cronograma R. Normativo'!$K$5:$K$1000,$N9))))</f>
        <v/>
      </c>
      <c r="I9" s="61">
        <f>IF($N9="","",IF($P9&gt;0,IF(4&lt;=SemanaActual,INDEX('Cronograma R. Normativo'!$AK$5:$AK$1000,$N9),""),IF(INDEX('Cronograma R. Normativo'!$L$5:$L$1000,$N9)="","",INDEX('Cronograma R. Normativo'!$L$5:$L$1000,$N9))))</f>
        <v/>
      </c>
      <c r="J9" s="61">
        <f>IF($N9="","",INDEX('Cronograma R. Normativo'!$M$5:$M$1000,$N9))</f>
        <v/>
      </c>
      <c r="K9" s="56">
        <f>IF($N9="","",IF(N($J9)&gt;=1,"Completado",IF(AND(ISNUMBER($D9),$D9&lt;FechaRef),"Vencida",IF(N($J9)&gt;0,"En curso","Pendiente"))))</f>
        <v/>
      </c>
      <c r="L9" s="56">
        <f>IF($N9="","",INDEX('Cronograma R. Normativo'!$O$5:$O$1000,$N9)&amp;"")</f>
        <v/>
      </c>
      <c r="M9" s="62">
        <f>IF($N9="","",INDEX('Cronograma R. Normativo'!$Q$5:$Q$1000,$N9)&amp;"")</f>
        <v/>
      </c>
      <c r="N9">
        <f>IFERROR(MATCH(ROW()-4,rOrden_RN,0),"")</f>
        <v/>
      </c>
      <c r="O9">
        <f>IF($N9="","",INDEX('Cronograma R. Normativo'!$V$5:$V$1000,$N9))</f>
        <v/>
      </c>
      <c r="P9">
        <f>IF($N9="","",N(INDEX('Cronograma R. Normativo'!$W$5:$W$1000,$N9)))</f>
        <v/>
      </c>
      <c r="Q9">
        <f>IF(OR(LEFT($L9,7)="Vencida",LEFT($L9,5)="Vence"),SUMPRODUCT(--(LEFT($L$5:$L9,7)="Vencida"))+SUMPRODUCT(--(LEFT($L$5:$L9,5)="Vence")),"")</f>
        <v/>
      </c>
    </row>
    <row r="10">
      <c r="A10" s="56">
        <f>IF($N10="","",INDEX('Cronograma R. Normativo'!$A$5:$A$1000,$N10))</f>
        <v/>
      </c>
      <c r="B10" s="62">
        <f>IF($N10="","",IF($O10="Sub","      ↳  "&amp;INDEX('Cronograma R. Normativo'!$C$5:$C$1000,$N10),INDEX('Cronograma R. Normativo'!$C$5:$C$1000,$N10)&amp;""))</f>
        <v/>
      </c>
      <c r="C10" s="79">
        <f>IF($N10="","",IF(INDEX('Cronograma R. Normativo'!$AR$5:$AR$1000,$N10)="","",INDEX('Cronograma R. Normativo'!$AR$5:$AR$1000,$N10)))</f>
        <v/>
      </c>
      <c r="D10" s="79">
        <f>IF($N10="","",IF(INDEX('Cronograma R. Normativo'!$AS$5:$AS$1000,$N10)="","",INDEX('Cronograma R. Normativo'!$AS$5:$AS$1000,$N10)))</f>
        <v/>
      </c>
      <c r="E10" s="56">
        <f>IF($N10="","",IF(NOT(ISNUMBER($D10)),"",IF($D10&lt;InicioCiclo,"Antes del ciclo",IF($D10&gt;=InicioCiclo+28,"Después del ciclo","Semana "&amp;(INT(($D10-InicioCiclo)/7)+1)))))</f>
        <v/>
      </c>
      <c r="F10" s="61">
        <f>IF($N10="","",IF($P10&gt;0,IF(1&lt;=SemanaActual,INDEX('Cronograma R. Normativo'!$AH$5:$AH$1000,$N10),""),IF(INDEX('Cronograma R. Normativo'!$I$5:$I$1000,$N10)="","",INDEX('Cronograma R. Normativo'!$I$5:$I$1000,$N10))))</f>
        <v/>
      </c>
      <c r="G10" s="61">
        <f>IF($N10="","",IF($P10&gt;0,IF(2&lt;=SemanaActual,INDEX('Cronograma R. Normativo'!$AI$5:$AI$1000,$N10),""),IF(INDEX('Cronograma R. Normativo'!$J$5:$J$1000,$N10)="","",INDEX('Cronograma R. Normativo'!$J$5:$J$1000,$N10))))</f>
        <v/>
      </c>
      <c r="H10" s="61">
        <f>IF($N10="","",IF($P10&gt;0,IF(3&lt;=SemanaActual,INDEX('Cronograma R. Normativo'!$AJ$5:$AJ$1000,$N10),""),IF(INDEX('Cronograma R. Normativo'!$K$5:$K$1000,$N10)="","",INDEX('Cronograma R. Normativo'!$K$5:$K$1000,$N10))))</f>
        <v/>
      </c>
      <c r="I10" s="61">
        <f>IF($N10="","",IF($P10&gt;0,IF(4&lt;=SemanaActual,INDEX('Cronograma R. Normativo'!$AK$5:$AK$1000,$N10),""),IF(INDEX('Cronograma R. Normativo'!$L$5:$L$1000,$N10)="","",INDEX('Cronograma R. Normativo'!$L$5:$L$1000,$N10))))</f>
        <v/>
      </c>
      <c r="J10" s="61">
        <f>IF($N10="","",INDEX('Cronograma R. Normativo'!$M$5:$M$1000,$N10))</f>
        <v/>
      </c>
      <c r="K10" s="56">
        <f>IF($N10="","",IF(N($J10)&gt;=1,"Completado",IF(AND(ISNUMBER($D10),$D10&lt;FechaRef),"Vencida",IF(N($J10)&gt;0,"En curso","Pendiente"))))</f>
        <v/>
      </c>
      <c r="L10" s="56">
        <f>IF($N10="","",INDEX('Cronograma R. Normativo'!$O$5:$O$1000,$N10)&amp;"")</f>
        <v/>
      </c>
      <c r="M10" s="62">
        <f>IF($N10="","",INDEX('Cronograma R. Normativo'!$Q$5:$Q$1000,$N10)&amp;"")</f>
        <v/>
      </c>
      <c r="N10">
        <f>IFERROR(MATCH(ROW()-4,rOrden_RN,0),"")</f>
        <v/>
      </c>
      <c r="O10">
        <f>IF($N10="","",INDEX('Cronograma R. Normativo'!$V$5:$V$1000,$N10))</f>
        <v/>
      </c>
      <c r="P10">
        <f>IF($N10="","",N(INDEX('Cronograma R. Normativo'!$W$5:$W$1000,$N10)))</f>
        <v/>
      </c>
      <c r="Q10">
        <f>IF(OR(LEFT($L10,7)="Vencida",LEFT($L10,5)="Vence"),SUMPRODUCT(--(LEFT($L$5:$L10,7)="Vencida"))+SUMPRODUCT(--(LEFT($L$5:$L10,5)="Vence")),"")</f>
        <v/>
      </c>
    </row>
    <row r="11">
      <c r="A11" s="56">
        <f>IF($N11="","",INDEX('Cronograma R. Normativo'!$A$5:$A$1000,$N11))</f>
        <v/>
      </c>
      <c r="B11" s="62">
        <f>IF($N11="","",IF($O11="Sub","      ↳  "&amp;INDEX('Cronograma R. Normativo'!$C$5:$C$1000,$N11),INDEX('Cronograma R. Normativo'!$C$5:$C$1000,$N11)&amp;""))</f>
        <v/>
      </c>
      <c r="C11" s="79">
        <f>IF($N11="","",IF(INDEX('Cronograma R. Normativo'!$AR$5:$AR$1000,$N11)="","",INDEX('Cronograma R. Normativo'!$AR$5:$AR$1000,$N11)))</f>
        <v/>
      </c>
      <c r="D11" s="79">
        <f>IF($N11="","",IF(INDEX('Cronograma R. Normativo'!$AS$5:$AS$1000,$N11)="","",INDEX('Cronograma R. Normativo'!$AS$5:$AS$1000,$N11)))</f>
        <v/>
      </c>
      <c r="E11" s="56">
        <f>IF($N11="","",IF(NOT(ISNUMBER($D11)),"",IF($D11&lt;InicioCiclo,"Antes del ciclo",IF($D11&gt;=InicioCiclo+28,"Después del ciclo","Semana "&amp;(INT(($D11-InicioCiclo)/7)+1)))))</f>
        <v/>
      </c>
      <c r="F11" s="61">
        <f>IF($N11="","",IF($P11&gt;0,IF(1&lt;=SemanaActual,INDEX('Cronograma R. Normativo'!$AH$5:$AH$1000,$N11),""),IF(INDEX('Cronograma R. Normativo'!$I$5:$I$1000,$N11)="","",INDEX('Cronograma R. Normativo'!$I$5:$I$1000,$N11))))</f>
        <v/>
      </c>
      <c r="G11" s="61">
        <f>IF($N11="","",IF($P11&gt;0,IF(2&lt;=SemanaActual,INDEX('Cronograma R. Normativo'!$AI$5:$AI$1000,$N11),""),IF(INDEX('Cronograma R. Normativo'!$J$5:$J$1000,$N11)="","",INDEX('Cronograma R. Normativo'!$J$5:$J$1000,$N11))))</f>
        <v/>
      </c>
      <c r="H11" s="61">
        <f>IF($N11="","",IF($P11&gt;0,IF(3&lt;=SemanaActual,INDEX('Cronograma R. Normativo'!$AJ$5:$AJ$1000,$N11),""),IF(INDEX('Cronograma R. Normativo'!$K$5:$K$1000,$N11)="","",INDEX('Cronograma R. Normativo'!$K$5:$K$1000,$N11))))</f>
        <v/>
      </c>
      <c r="I11" s="61">
        <f>IF($N11="","",IF($P11&gt;0,IF(4&lt;=SemanaActual,INDEX('Cronograma R. Normativo'!$AK$5:$AK$1000,$N11),""),IF(INDEX('Cronograma R. Normativo'!$L$5:$L$1000,$N11)="","",INDEX('Cronograma R. Normativo'!$L$5:$L$1000,$N11))))</f>
        <v/>
      </c>
      <c r="J11" s="61">
        <f>IF($N11="","",INDEX('Cronograma R. Normativo'!$M$5:$M$1000,$N11))</f>
        <v/>
      </c>
      <c r="K11" s="56">
        <f>IF($N11="","",IF(N($J11)&gt;=1,"Completado",IF(AND(ISNUMBER($D11),$D11&lt;FechaRef),"Vencida",IF(N($J11)&gt;0,"En curso","Pendiente"))))</f>
        <v/>
      </c>
      <c r="L11" s="56">
        <f>IF($N11="","",INDEX('Cronograma R. Normativo'!$O$5:$O$1000,$N11)&amp;"")</f>
        <v/>
      </c>
      <c r="M11" s="62">
        <f>IF($N11="","",INDEX('Cronograma R. Normativo'!$Q$5:$Q$1000,$N11)&amp;"")</f>
        <v/>
      </c>
      <c r="N11">
        <f>IFERROR(MATCH(ROW()-4,rOrden_RN,0),"")</f>
        <v/>
      </c>
      <c r="O11">
        <f>IF($N11="","",INDEX('Cronograma R. Normativo'!$V$5:$V$1000,$N11))</f>
        <v/>
      </c>
      <c r="P11">
        <f>IF($N11="","",N(INDEX('Cronograma R. Normativo'!$W$5:$W$1000,$N11)))</f>
        <v/>
      </c>
      <c r="Q11">
        <f>IF(OR(LEFT($L11,7)="Vencida",LEFT($L11,5)="Vence"),SUMPRODUCT(--(LEFT($L$5:$L11,7)="Vencida"))+SUMPRODUCT(--(LEFT($L$5:$L11,5)="Vence")),"")</f>
        <v/>
      </c>
    </row>
    <row r="12">
      <c r="A12" s="56">
        <f>IF($N12="","",INDEX('Cronograma R. Normativo'!$A$5:$A$1000,$N12))</f>
        <v/>
      </c>
      <c r="B12" s="62">
        <f>IF($N12="","",IF($O12="Sub","      ↳  "&amp;INDEX('Cronograma R. Normativo'!$C$5:$C$1000,$N12),INDEX('Cronograma R. Normativo'!$C$5:$C$1000,$N12)&amp;""))</f>
        <v/>
      </c>
      <c r="C12" s="79">
        <f>IF($N12="","",IF(INDEX('Cronograma R. Normativo'!$AR$5:$AR$1000,$N12)="","",INDEX('Cronograma R. Normativo'!$AR$5:$AR$1000,$N12)))</f>
        <v/>
      </c>
      <c r="D12" s="79">
        <f>IF($N12="","",IF(INDEX('Cronograma R. Normativo'!$AS$5:$AS$1000,$N12)="","",INDEX('Cronograma R. Normativo'!$AS$5:$AS$1000,$N12)))</f>
        <v/>
      </c>
      <c r="E12" s="56">
        <f>IF($N12="","",IF(NOT(ISNUMBER($D12)),"",IF($D12&lt;InicioCiclo,"Antes del ciclo",IF($D12&gt;=InicioCiclo+28,"Después del ciclo","Semana "&amp;(INT(($D12-InicioCiclo)/7)+1)))))</f>
        <v/>
      </c>
      <c r="F12" s="61">
        <f>IF($N12="","",IF($P12&gt;0,IF(1&lt;=SemanaActual,INDEX('Cronograma R. Normativo'!$AH$5:$AH$1000,$N12),""),IF(INDEX('Cronograma R. Normativo'!$I$5:$I$1000,$N12)="","",INDEX('Cronograma R. Normativo'!$I$5:$I$1000,$N12))))</f>
        <v/>
      </c>
      <c r="G12" s="61">
        <f>IF($N12="","",IF($P12&gt;0,IF(2&lt;=SemanaActual,INDEX('Cronograma R. Normativo'!$AI$5:$AI$1000,$N12),""),IF(INDEX('Cronograma R. Normativo'!$J$5:$J$1000,$N12)="","",INDEX('Cronograma R. Normativo'!$J$5:$J$1000,$N12))))</f>
        <v/>
      </c>
      <c r="H12" s="61">
        <f>IF($N12="","",IF($P12&gt;0,IF(3&lt;=SemanaActual,INDEX('Cronograma R. Normativo'!$AJ$5:$AJ$1000,$N12),""),IF(INDEX('Cronograma R. Normativo'!$K$5:$K$1000,$N12)="","",INDEX('Cronograma R. Normativo'!$K$5:$K$1000,$N12))))</f>
        <v/>
      </c>
      <c r="I12" s="61">
        <f>IF($N12="","",IF($P12&gt;0,IF(4&lt;=SemanaActual,INDEX('Cronograma R. Normativo'!$AK$5:$AK$1000,$N12),""),IF(INDEX('Cronograma R. Normativo'!$L$5:$L$1000,$N12)="","",INDEX('Cronograma R. Normativo'!$L$5:$L$1000,$N12))))</f>
        <v/>
      </c>
      <c r="J12" s="61">
        <f>IF($N12="","",INDEX('Cronograma R. Normativo'!$M$5:$M$1000,$N12))</f>
        <v/>
      </c>
      <c r="K12" s="56">
        <f>IF($N12="","",IF(N($J12)&gt;=1,"Completado",IF(AND(ISNUMBER($D12),$D12&lt;FechaRef),"Vencida",IF(N($J12)&gt;0,"En curso","Pendiente"))))</f>
        <v/>
      </c>
      <c r="L12" s="56">
        <f>IF($N12="","",INDEX('Cronograma R. Normativo'!$O$5:$O$1000,$N12)&amp;"")</f>
        <v/>
      </c>
      <c r="M12" s="62">
        <f>IF($N12="","",INDEX('Cronograma R. Normativo'!$Q$5:$Q$1000,$N12)&amp;"")</f>
        <v/>
      </c>
      <c r="N12">
        <f>IFERROR(MATCH(ROW()-4,rOrden_RN,0),"")</f>
        <v/>
      </c>
      <c r="O12">
        <f>IF($N12="","",INDEX('Cronograma R. Normativo'!$V$5:$V$1000,$N12))</f>
        <v/>
      </c>
      <c r="P12">
        <f>IF($N12="","",N(INDEX('Cronograma R. Normativo'!$W$5:$W$1000,$N12)))</f>
        <v/>
      </c>
      <c r="Q12">
        <f>IF(OR(LEFT($L12,7)="Vencida",LEFT($L12,5)="Vence"),SUMPRODUCT(--(LEFT($L$5:$L12,7)="Vencida"))+SUMPRODUCT(--(LEFT($L$5:$L12,5)="Vence")),"")</f>
        <v/>
      </c>
    </row>
    <row r="13">
      <c r="A13" s="56">
        <f>IF($N13="","",INDEX('Cronograma R. Normativo'!$A$5:$A$1000,$N13))</f>
        <v/>
      </c>
      <c r="B13" s="62">
        <f>IF($N13="","",IF($O13="Sub","      ↳  "&amp;INDEX('Cronograma R. Normativo'!$C$5:$C$1000,$N13),INDEX('Cronograma R. Normativo'!$C$5:$C$1000,$N13)&amp;""))</f>
        <v/>
      </c>
      <c r="C13" s="79">
        <f>IF($N13="","",IF(INDEX('Cronograma R. Normativo'!$AR$5:$AR$1000,$N13)="","",INDEX('Cronograma R. Normativo'!$AR$5:$AR$1000,$N13)))</f>
        <v/>
      </c>
      <c r="D13" s="79">
        <f>IF($N13="","",IF(INDEX('Cronograma R. Normativo'!$AS$5:$AS$1000,$N13)="","",INDEX('Cronograma R. Normativo'!$AS$5:$AS$1000,$N13)))</f>
        <v/>
      </c>
      <c r="E13" s="56">
        <f>IF($N13="","",IF(NOT(ISNUMBER($D13)),"",IF($D13&lt;InicioCiclo,"Antes del ciclo",IF($D13&gt;=InicioCiclo+28,"Después del ciclo","Semana "&amp;(INT(($D13-InicioCiclo)/7)+1)))))</f>
        <v/>
      </c>
      <c r="F13" s="61">
        <f>IF($N13="","",IF($P13&gt;0,IF(1&lt;=SemanaActual,INDEX('Cronograma R. Normativo'!$AH$5:$AH$1000,$N13),""),IF(INDEX('Cronograma R. Normativo'!$I$5:$I$1000,$N13)="","",INDEX('Cronograma R. Normativo'!$I$5:$I$1000,$N13))))</f>
        <v/>
      </c>
      <c r="G13" s="61">
        <f>IF($N13="","",IF($P13&gt;0,IF(2&lt;=SemanaActual,INDEX('Cronograma R. Normativo'!$AI$5:$AI$1000,$N13),""),IF(INDEX('Cronograma R. Normativo'!$J$5:$J$1000,$N13)="","",INDEX('Cronograma R. Normativo'!$J$5:$J$1000,$N13))))</f>
        <v/>
      </c>
      <c r="H13" s="61">
        <f>IF($N13="","",IF($P13&gt;0,IF(3&lt;=SemanaActual,INDEX('Cronograma R. Normativo'!$AJ$5:$AJ$1000,$N13),""),IF(INDEX('Cronograma R. Normativo'!$K$5:$K$1000,$N13)="","",INDEX('Cronograma R. Normativo'!$K$5:$K$1000,$N13))))</f>
        <v/>
      </c>
      <c r="I13" s="61">
        <f>IF($N13="","",IF($P13&gt;0,IF(4&lt;=SemanaActual,INDEX('Cronograma R. Normativo'!$AK$5:$AK$1000,$N13),""),IF(INDEX('Cronograma R. Normativo'!$L$5:$L$1000,$N13)="","",INDEX('Cronograma R. Normativo'!$L$5:$L$1000,$N13))))</f>
        <v/>
      </c>
      <c r="J13" s="61">
        <f>IF($N13="","",INDEX('Cronograma R. Normativo'!$M$5:$M$1000,$N13))</f>
        <v/>
      </c>
      <c r="K13" s="56">
        <f>IF($N13="","",IF(N($J13)&gt;=1,"Completado",IF(AND(ISNUMBER($D13),$D13&lt;FechaRef),"Vencida",IF(N($J13)&gt;0,"En curso","Pendiente"))))</f>
        <v/>
      </c>
      <c r="L13" s="56">
        <f>IF($N13="","",INDEX('Cronograma R. Normativo'!$O$5:$O$1000,$N13)&amp;"")</f>
        <v/>
      </c>
      <c r="M13" s="62">
        <f>IF($N13="","",INDEX('Cronograma R. Normativo'!$Q$5:$Q$1000,$N13)&amp;"")</f>
        <v/>
      </c>
      <c r="N13">
        <f>IFERROR(MATCH(ROW()-4,rOrden_RN,0),"")</f>
        <v/>
      </c>
      <c r="O13">
        <f>IF($N13="","",INDEX('Cronograma R. Normativo'!$V$5:$V$1000,$N13))</f>
        <v/>
      </c>
      <c r="P13">
        <f>IF($N13="","",N(INDEX('Cronograma R. Normativo'!$W$5:$W$1000,$N13)))</f>
        <v/>
      </c>
      <c r="Q13">
        <f>IF(OR(LEFT($L13,7)="Vencida",LEFT($L13,5)="Vence"),SUMPRODUCT(--(LEFT($L$5:$L13,7)="Vencida"))+SUMPRODUCT(--(LEFT($L$5:$L13,5)="Vence")),"")</f>
        <v/>
      </c>
    </row>
    <row r="14">
      <c r="A14" s="56">
        <f>IF($N14="","",INDEX('Cronograma R. Normativo'!$A$5:$A$1000,$N14))</f>
        <v/>
      </c>
      <c r="B14" s="62">
        <f>IF($N14="","",IF($O14="Sub","      ↳  "&amp;INDEX('Cronograma R. Normativo'!$C$5:$C$1000,$N14),INDEX('Cronograma R. Normativo'!$C$5:$C$1000,$N14)&amp;""))</f>
        <v/>
      </c>
      <c r="C14" s="79">
        <f>IF($N14="","",IF(INDEX('Cronograma R. Normativo'!$AR$5:$AR$1000,$N14)="","",INDEX('Cronograma R. Normativo'!$AR$5:$AR$1000,$N14)))</f>
        <v/>
      </c>
      <c r="D14" s="79">
        <f>IF($N14="","",IF(INDEX('Cronograma R. Normativo'!$AS$5:$AS$1000,$N14)="","",INDEX('Cronograma R. Normativo'!$AS$5:$AS$1000,$N14)))</f>
        <v/>
      </c>
      <c r="E14" s="56">
        <f>IF($N14="","",IF(NOT(ISNUMBER($D14)),"",IF($D14&lt;InicioCiclo,"Antes del ciclo",IF($D14&gt;=InicioCiclo+28,"Después del ciclo","Semana "&amp;(INT(($D14-InicioCiclo)/7)+1)))))</f>
        <v/>
      </c>
      <c r="F14" s="61">
        <f>IF($N14="","",IF($P14&gt;0,IF(1&lt;=SemanaActual,INDEX('Cronograma R. Normativo'!$AH$5:$AH$1000,$N14),""),IF(INDEX('Cronograma R. Normativo'!$I$5:$I$1000,$N14)="","",INDEX('Cronograma R. Normativo'!$I$5:$I$1000,$N14))))</f>
        <v/>
      </c>
      <c r="G14" s="61">
        <f>IF($N14="","",IF($P14&gt;0,IF(2&lt;=SemanaActual,INDEX('Cronograma R. Normativo'!$AI$5:$AI$1000,$N14),""),IF(INDEX('Cronograma R. Normativo'!$J$5:$J$1000,$N14)="","",INDEX('Cronograma R. Normativo'!$J$5:$J$1000,$N14))))</f>
        <v/>
      </c>
      <c r="H14" s="61">
        <f>IF($N14="","",IF($P14&gt;0,IF(3&lt;=SemanaActual,INDEX('Cronograma R. Normativo'!$AJ$5:$AJ$1000,$N14),""),IF(INDEX('Cronograma R. Normativo'!$K$5:$K$1000,$N14)="","",INDEX('Cronograma R. Normativo'!$K$5:$K$1000,$N14))))</f>
        <v/>
      </c>
      <c r="I14" s="61">
        <f>IF($N14="","",IF($P14&gt;0,IF(4&lt;=SemanaActual,INDEX('Cronograma R. Normativo'!$AK$5:$AK$1000,$N14),""),IF(INDEX('Cronograma R. Normativo'!$L$5:$L$1000,$N14)="","",INDEX('Cronograma R. Normativo'!$L$5:$L$1000,$N14))))</f>
        <v/>
      </c>
      <c r="J14" s="61">
        <f>IF($N14="","",INDEX('Cronograma R. Normativo'!$M$5:$M$1000,$N14))</f>
        <v/>
      </c>
      <c r="K14" s="56">
        <f>IF($N14="","",IF(N($J14)&gt;=1,"Completado",IF(AND(ISNUMBER($D14),$D14&lt;FechaRef),"Vencida",IF(N($J14)&gt;0,"En curso","Pendiente"))))</f>
        <v/>
      </c>
      <c r="L14" s="56">
        <f>IF($N14="","",INDEX('Cronograma R. Normativo'!$O$5:$O$1000,$N14)&amp;"")</f>
        <v/>
      </c>
      <c r="M14" s="62">
        <f>IF($N14="","",INDEX('Cronograma R. Normativo'!$Q$5:$Q$1000,$N14)&amp;"")</f>
        <v/>
      </c>
      <c r="N14">
        <f>IFERROR(MATCH(ROW()-4,rOrden_RN,0),"")</f>
        <v/>
      </c>
      <c r="O14">
        <f>IF($N14="","",INDEX('Cronograma R. Normativo'!$V$5:$V$1000,$N14))</f>
        <v/>
      </c>
      <c r="P14">
        <f>IF($N14="","",N(INDEX('Cronograma R. Normativo'!$W$5:$W$1000,$N14)))</f>
        <v/>
      </c>
      <c r="Q14">
        <f>IF(OR(LEFT($L14,7)="Vencida",LEFT($L14,5)="Vence"),SUMPRODUCT(--(LEFT($L$5:$L14,7)="Vencida"))+SUMPRODUCT(--(LEFT($L$5:$L14,5)="Vence")),"")</f>
        <v/>
      </c>
    </row>
    <row r="15">
      <c r="A15" s="56">
        <f>IF($N15="","",INDEX('Cronograma R. Normativo'!$A$5:$A$1000,$N15))</f>
        <v/>
      </c>
      <c r="B15" s="62">
        <f>IF($N15="","",IF($O15="Sub","      ↳  "&amp;INDEX('Cronograma R. Normativo'!$C$5:$C$1000,$N15),INDEX('Cronograma R. Normativo'!$C$5:$C$1000,$N15)&amp;""))</f>
        <v/>
      </c>
      <c r="C15" s="79">
        <f>IF($N15="","",IF(INDEX('Cronograma R. Normativo'!$AR$5:$AR$1000,$N15)="","",INDEX('Cronograma R. Normativo'!$AR$5:$AR$1000,$N15)))</f>
        <v/>
      </c>
      <c r="D15" s="79">
        <f>IF($N15="","",IF(INDEX('Cronograma R. Normativo'!$AS$5:$AS$1000,$N15)="","",INDEX('Cronograma R. Normativo'!$AS$5:$AS$1000,$N15)))</f>
        <v/>
      </c>
      <c r="E15" s="56">
        <f>IF($N15="","",IF(NOT(ISNUMBER($D15)),"",IF($D15&lt;InicioCiclo,"Antes del ciclo",IF($D15&gt;=InicioCiclo+28,"Después del ciclo","Semana "&amp;(INT(($D15-InicioCiclo)/7)+1)))))</f>
        <v/>
      </c>
      <c r="F15" s="61">
        <f>IF($N15="","",IF($P15&gt;0,IF(1&lt;=SemanaActual,INDEX('Cronograma R. Normativo'!$AH$5:$AH$1000,$N15),""),IF(INDEX('Cronograma R. Normativo'!$I$5:$I$1000,$N15)="","",INDEX('Cronograma R. Normativo'!$I$5:$I$1000,$N15))))</f>
        <v/>
      </c>
      <c r="G15" s="61">
        <f>IF($N15="","",IF($P15&gt;0,IF(2&lt;=SemanaActual,INDEX('Cronograma R. Normativo'!$AI$5:$AI$1000,$N15),""),IF(INDEX('Cronograma R. Normativo'!$J$5:$J$1000,$N15)="","",INDEX('Cronograma R. Normativo'!$J$5:$J$1000,$N15))))</f>
        <v/>
      </c>
      <c r="H15" s="61">
        <f>IF($N15="","",IF($P15&gt;0,IF(3&lt;=SemanaActual,INDEX('Cronograma R. Normativo'!$AJ$5:$AJ$1000,$N15),""),IF(INDEX('Cronograma R. Normativo'!$K$5:$K$1000,$N15)="","",INDEX('Cronograma R. Normativo'!$K$5:$K$1000,$N15))))</f>
        <v/>
      </c>
      <c r="I15" s="61">
        <f>IF($N15="","",IF($P15&gt;0,IF(4&lt;=SemanaActual,INDEX('Cronograma R. Normativo'!$AK$5:$AK$1000,$N15),""),IF(INDEX('Cronograma R. Normativo'!$L$5:$L$1000,$N15)="","",INDEX('Cronograma R. Normativo'!$L$5:$L$1000,$N15))))</f>
        <v/>
      </c>
      <c r="J15" s="61">
        <f>IF($N15="","",INDEX('Cronograma R. Normativo'!$M$5:$M$1000,$N15))</f>
        <v/>
      </c>
      <c r="K15" s="56">
        <f>IF($N15="","",IF(N($J15)&gt;=1,"Completado",IF(AND(ISNUMBER($D15),$D15&lt;FechaRef),"Vencida",IF(N($J15)&gt;0,"En curso","Pendiente"))))</f>
        <v/>
      </c>
      <c r="L15" s="56">
        <f>IF($N15="","",INDEX('Cronograma R. Normativo'!$O$5:$O$1000,$N15)&amp;"")</f>
        <v/>
      </c>
      <c r="M15" s="62">
        <f>IF($N15="","",INDEX('Cronograma R. Normativo'!$Q$5:$Q$1000,$N15)&amp;"")</f>
        <v/>
      </c>
      <c r="N15">
        <f>IFERROR(MATCH(ROW()-4,rOrden_RN,0),"")</f>
        <v/>
      </c>
      <c r="O15">
        <f>IF($N15="","",INDEX('Cronograma R. Normativo'!$V$5:$V$1000,$N15))</f>
        <v/>
      </c>
      <c r="P15">
        <f>IF($N15="","",N(INDEX('Cronograma R. Normativo'!$W$5:$W$1000,$N15)))</f>
        <v/>
      </c>
      <c r="Q15">
        <f>IF(OR(LEFT($L15,7)="Vencida",LEFT($L15,5)="Vence"),SUMPRODUCT(--(LEFT($L$5:$L15,7)="Vencida"))+SUMPRODUCT(--(LEFT($L$5:$L15,5)="Vence")),"")</f>
        <v/>
      </c>
    </row>
    <row r="16">
      <c r="A16" s="56">
        <f>IF($N16="","",INDEX('Cronograma R. Normativo'!$A$5:$A$1000,$N16))</f>
        <v/>
      </c>
      <c r="B16" s="62">
        <f>IF($N16="","",IF($O16="Sub","      ↳  "&amp;INDEX('Cronograma R. Normativo'!$C$5:$C$1000,$N16),INDEX('Cronograma R. Normativo'!$C$5:$C$1000,$N16)&amp;""))</f>
        <v/>
      </c>
      <c r="C16" s="79">
        <f>IF($N16="","",IF(INDEX('Cronograma R. Normativo'!$AR$5:$AR$1000,$N16)="","",INDEX('Cronograma R. Normativo'!$AR$5:$AR$1000,$N16)))</f>
        <v/>
      </c>
      <c r="D16" s="79">
        <f>IF($N16="","",IF(INDEX('Cronograma R. Normativo'!$AS$5:$AS$1000,$N16)="","",INDEX('Cronograma R. Normativo'!$AS$5:$AS$1000,$N16)))</f>
        <v/>
      </c>
      <c r="E16" s="56">
        <f>IF($N16="","",IF(NOT(ISNUMBER($D16)),"",IF($D16&lt;InicioCiclo,"Antes del ciclo",IF($D16&gt;=InicioCiclo+28,"Después del ciclo","Semana "&amp;(INT(($D16-InicioCiclo)/7)+1)))))</f>
        <v/>
      </c>
      <c r="F16" s="61">
        <f>IF($N16="","",IF($P16&gt;0,IF(1&lt;=SemanaActual,INDEX('Cronograma R. Normativo'!$AH$5:$AH$1000,$N16),""),IF(INDEX('Cronograma R. Normativo'!$I$5:$I$1000,$N16)="","",INDEX('Cronograma R. Normativo'!$I$5:$I$1000,$N16))))</f>
        <v/>
      </c>
      <c r="G16" s="61">
        <f>IF($N16="","",IF($P16&gt;0,IF(2&lt;=SemanaActual,INDEX('Cronograma R. Normativo'!$AI$5:$AI$1000,$N16),""),IF(INDEX('Cronograma R. Normativo'!$J$5:$J$1000,$N16)="","",INDEX('Cronograma R. Normativo'!$J$5:$J$1000,$N16))))</f>
        <v/>
      </c>
      <c r="H16" s="61">
        <f>IF($N16="","",IF($P16&gt;0,IF(3&lt;=SemanaActual,INDEX('Cronograma R. Normativo'!$AJ$5:$AJ$1000,$N16),""),IF(INDEX('Cronograma R. Normativo'!$K$5:$K$1000,$N16)="","",INDEX('Cronograma R. Normativo'!$K$5:$K$1000,$N16))))</f>
        <v/>
      </c>
      <c r="I16" s="61">
        <f>IF($N16="","",IF($P16&gt;0,IF(4&lt;=SemanaActual,INDEX('Cronograma R. Normativo'!$AK$5:$AK$1000,$N16),""),IF(INDEX('Cronograma R. Normativo'!$L$5:$L$1000,$N16)="","",INDEX('Cronograma R. Normativo'!$L$5:$L$1000,$N16))))</f>
        <v/>
      </c>
      <c r="J16" s="61">
        <f>IF($N16="","",INDEX('Cronograma R. Normativo'!$M$5:$M$1000,$N16))</f>
        <v/>
      </c>
      <c r="K16" s="56">
        <f>IF($N16="","",IF(N($J16)&gt;=1,"Completado",IF(AND(ISNUMBER($D16),$D16&lt;FechaRef),"Vencida",IF(N($J16)&gt;0,"En curso","Pendiente"))))</f>
        <v/>
      </c>
      <c r="L16" s="56">
        <f>IF($N16="","",INDEX('Cronograma R. Normativo'!$O$5:$O$1000,$N16)&amp;"")</f>
        <v/>
      </c>
      <c r="M16" s="62">
        <f>IF($N16="","",INDEX('Cronograma R. Normativo'!$Q$5:$Q$1000,$N16)&amp;"")</f>
        <v/>
      </c>
      <c r="N16">
        <f>IFERROR(MATCH(ROW()-4,rOrden_RN,0),"")</f>
        <v/>
      </c>
      <c r="O16">
        <f>IF($N16="","",INDEX('Cronograma R. Normativo'!$V$5:$V$1000,$N16))</f>
        <v/>
      </c>
      <c r="P16">
        <f>IF($N16="","",N(INDEX('Cronograma R. Normativo'!$W$5:$W$1000,$N16)))</f>
        <v/>
      </c>
      <c r="Q16">
        <f>IF(OR(LEFT($L16,7)="Vencida",LEFT($L16,5)="Vence"),SUMPRODUCT(--(LEFT($L$5:$L16,7)="Vencida"))+SUMPRODUCT(--(LEFT($L$5:$L16,5)="Vence")),"")</f>
        <v/>
      </c>
    </row>
    <row r="17">
      <c r="A17" s="56">
        <f>IF($N17="","",INDEX('Cronograma R. Normativo'!$A$5:$A$1000,$N17))</f>
        <v/>
      </c>
      <c r="B17" s="62">
        <f>IF($N17="","",IF($O17="Sub","      ↳  "&amp;INDEX('Cronograma R. Normativo'!$C$5:$C$1000,$N17),INDEX('Cronograma R. Normativo'!$C$5:$C$1000,$N17)&amp;""))</f>
        <v/>
      </c>
      <c r="C17" s="79">
        <f>IF($N17="","",IF(INDEX('Cronograma R. Normativo'!$AR$5:$AR$1000,$N17)="","",INDEX('Cronograma R. Normativo'!$AR$5:$AR$1000,$N17)))</f>
        <v/>
      </c>
      <c r="D17" s="79">
        <f>IF($N17="","",IF(INDEX('Cronograma R. Normativo'!$AS$5:$AS$1000,$N17)="","",INDEX('Cronograma R. Normativo'!$AS$5:$AS$1000,$N17)))</f>
        <v/>
      </c>
      <c r="E17" s="56">
        <f>IF($N17="","",IF(NOT(ISNUMBER($D17)),"",IF($D17&lt;InicioCiclo,"Antes del ciclo",IF($D17&gt;=InicioCiclo+28,"Después del ciclo","Semana "&amp;(INT(($D17-InicioCiclo)/7)+1)))))</f>
        <v/>
      </c>
      <c r="F17" s="61">
        <f>IF($N17="","",IF($P17&gt;0,IF(1&lt;=SemanaActual,INDEX('Cronograma R. Normativo'!$AH$5:$AH$1000,$N17),""),IF(INDEX('Cronograma R. Normativo'!$I$5:$I$1000,$N17)="","",INDEX('Cronograma R. Normativo'!$I$5:$I$1000,$N17))))</f>
        <v/>
      </c>
      <c r="G17" s="61">
        <f>IF($N17="","",IF($P17&gt;0,IF(2&lt;=SemanaActual,INDEX('Cronograma R. Normativo'!$AI$5:$AI$1000,$N17),""),IF(INDEX('Cronograma R. Normativo'!$J$5:$J$1000,$N17)="","",INDEX('Cronograma R. Normativo'!$J$5:$J$1000,$N17))))</f>
        <v/>
      </c>
      <c r="H17" s="61">
        <f>IF($N17="","",IF($P17&gt;0,IF(3&lt;=SemanaActual,INDEX('Cronograma R. Normativo'!$AJ$5:$AJ$1000,$N17),""),IF(INDEX('Cronograma R. Normativo'!$K$5:$K$1000,$N17)="","",INDEX('Cronograma R. Normativo'!$K$5:$K$1000,$N17))))</f>
        <v/>
      </c>
      <c r="I17" s="61">
        <f>IF($N17="","",IF($P17&gt;0,IF(4&lt;=SemanaActual,INDEX('Cronograma R. Normativo'!$AK$5:$AK$1000,$N17),""),IF(INDEX('Cronograma R. Normativo'!$L$5:$L$1000,$N17)="","",INDEX('Cronograma R. Normativo'!$L$5:$L$1000,$N17))))</f>
        <v/>
      </c>
      <c r="J17" s="61">
        <f>IF($N17="","",INDEX('Cronograma R. Normativo'!$M$5:$M$1000,$N17))</f>
        <v/>
      </c>
      <c r="K17" s="56">
        <f>IF($N17="","",IF(N($J17)&gt;=1,"Completado",IF(AND(ISNUMBER($D17),$D17&lt;FechaRef),"Vencida",IF(N($J17)&gt;0,"En curso","Pendiente"))))</f>
        <v/>
      </c>
      <c r="L17" s="56">
        <f>IF($N17="","",INDEX('Cronograma R. Normativo'!$O$5:$O$1000,$N17)&amp;"")</f>
        <v/>
      </c>
      <c r="M17" s="62">
        <f>IF($N17="","",INDEX('Cronograma R. Normativo'!$Q$5:$Q$1000,$N17)&amp;"")</f>
        <v/>
      </c>
      <c r="N17">
        <f>IFERROR(MATCH(ROW()-4,rOrden_RN,0),"")</f>
        <v/>
      </c>
      <c r="O17">
        <f>IF($N17="","",INDEX('Cronograma R. Normativo'!$V$5:$V$1000,$N17))</f>
        <v/>
      </c>
      <c r="P17">
        <f>IF($N17="","",N(INDEX('Cronograma R. Normativo'!$W$5:$W$1000,$N17)))</f>
        <v/>
      </c>
      <c r="Q17">
        <f>IF(OR(LEFT($L17,7)="Vencida",LEFT($L17,5)="Vence"),SUMPRODUCT(--(LEFT($L$5:$L17,7)="Vencida"))+SUMPRODUCT(--(LEFT($L$5:$L17,5)="Vence")),"")</f>
        <v/>
      </c>
    </row>
    <row r="18">
      <c r="A18" s="56">
        <f>IF($N18="","",INDEX('Cronograma R. Normativo'!$A$5:$A$1000,$N18))</f>
        <v/>
      </c>
      <c r="B18" s="62">
        <f>IF($N18="","",IF($O18="Sub","      ↳  "&amp;INDEX('Cronograma R. Normativo'!$C$5:$C$1000,$N18),INDEX('Cronograma R. Normativo'!$C$5:$C$1000,$N18)&amp;""))</f>
        <v/>
      </c>
      <c r="C18" s="79">
        <f>IF($N18="","",IF(INDEX('Cronograma R. Normativo'!$AR$5:$AR$1000,$N18)="","",INDEX('Cronograma R. Normativo'!$AR$5:$AR$1000,$N18)))</f>
        <v/>
      </c>
      <c r="D18" s="79">
        <f>IF($N18="","",IF(INDEX('Cronograma R. Normativo'!$AS$5:$AS$1000,$N18)="","",INDEX('Cronograma R. Normativo'!$AS$5:$AS$1000,$N18)))</f>
        <v/>
      </c>
      <c r="E18" s="56">
        <f>IF($N18="","",IF(NOT(ISNUMBER($D18)),"",IF($D18&lt;InicioCiclo,"Antes del ciclo",IF($D18&gt;=InicioCiclo+28,"Después del ciclo","Semana "&amp;(INT(($D18-InicioCiclo)/7)+1)))))</f>
        <v/>
      </c>
      <c r="F18" s="61">
        <f>IF($N18="","",IF($P18&gt;0,IF(1&lt;=SemanaActual,INDEX('Cronograma R. Normativo'!$AH$5:$AH$1000,$N18),""),IF(INDEX('Cronograma R. Normativo'!$I$5:$I$1000,$N18)="","",INDEX('Cronograma R. Normativo'!$I$5:$I$1000,$N18))))</f>
        <v/>
      </c>
      <c r="G18" s="61">
        <f>IF($N18="","",IF($P18&gt;0,IF(2&lt;=SemanaActual,INDEX('Cronograma R. Normativo'!$AI$5:$AI$1000,$N18),""),IF(INDEX('Cronograma R. Normativo'!$J$5:$J$1000,$N18)="","",INDEX('Cronograma R. Normativo'!$J$5:$J$1000,$N18))))</f>
        <v/>
      </c>
      <c r="H18" s="61">
        <f>IF($N18="","",IF($P18&gt;0,IF(3&lt;=SemanaActual,INDEX('Cronograma R. Normativo'!$AJ$5:$AJ$1000,$N18),""),IF(INDEX('Cronograma R. Normativo'!$K$5:$K$1000,$N18)="","",INDEX('Cronograma R. Normativo'!$K$5:$K$1000,$N18))))</f>
        <v/>
      </c>
      <c r="I18" s="61">
        <f>IF($N18="","",IF($P18&gt;0,IF(4&lt;=SemanaActual,INDEX('Cronograma R. Normativo'!$AK$5:$AK$1000,$N18),""),IF(INDEX('Cronograma R. Normativo'!$L$5:$L$1000,$N18)="","",INDEX('Cronograma R. Normativo'!$L$5:$L$1000,$N18))))</f>
        <v/>
      </c>
      <c r="J18" s="61">
        <f>IF($N18="","",INDEX('Cronograma R. Normativo'!$M$5:$M$1000,$N18))</f>
        <v/>
      </c>
      <c r="K18" s="56">
        <f>IF($N18="","",IF(N($J18)&gt;=1,"Completado",IF(AND(ISNUMBER($D18),$D18&lt;FechaRef),"Vencida",IF(N($J18)&gt;0,"En curso","Pendiente"))))</f>
        <v/>
      </c>
      <c r="L18" s="56">
        <f>IF($N18="","",INDEX('Cronograma R. Normativo'!$O$5:$O$1000,$N18)&amp;"")</f>
        <v/>
      </c>
      <c r="M18" s="62">
        <f>IF($N18="","",INDEX('Cronograma R. Normativo'!$Q$5:$Q$1000,$N18)&amp;"")</f>
        <v/>
      </c>
      <c r="N18">
        <f>IFERROR(MATCH(ROW()-4,rOrden_RN,0),"")</f>
        <v/>
      </c>
      <c r="O18">
        <f>IF($N18="","",INDEX('Cronograma R. Normativo'!$V$5:$V$1000,$N18))</f>
        <v/>
      </c>
      <c r="P18">
        <f>IF($N18="","",N(INDEX('Cronograma R. Normativo'!$W$5:$W$1000,$N18)))</f>
        <v/>
      </c>
      <c r="Q18">
        <f>IF(OR(LEFT($L18,7)="Vencida",LEFT($L18,5)="Vence"),SUMPRODUCT(--(LEFT($L$5:$L18,7)="Vencida"))+SUMPRODUCT(--(LEFT($L$5:$L18,5)="Vence")),"")</f>
        <v/>
      </c>
    </row>
    <row r="19">
      <c r="A19" s="56">
        <f>IF($N19="","",INDEX('Cronograma R. Normativo'!$A$5:$A$1000,$N19))</f>
        <v/>
      </c>
      <c r="B19" s="62">
        <f>IF($N19="","",IF($O19="Sub","      ↳  "&amp;INDEX('Cronograma R. Normativo'!$C$5:$C$1000,$N19),INDEX('Cronograma R. Normativo'!$C$5:$C$1000,$N19)&amp;""))</f>
        <v/>
      </c>
      <c r="C19" s="79">
        <f>IF($N19="","",IF(INDEX('Cronograma R. Normativo'!$AR$5:$AR$1000,$N19)="","",INDEX('Cronograma R. Normativo'!$AR$5:$AR$1000,$N19)))</f>
        <v/>
      </c>
      <c r="D19" s="79">
        <f>IF($N19="","",IF(INDEX('Cronograma R. Normativo'!$AS$5:$AS$1000,$N19)="","",INDEX('Cronograma R. Normativo'!$AS$5:$AS$1000,$N19)))</f>
        <v/>
      </c>
      <c r="E19" s="56">
        <f>IF($N19="","",IF(NOT(ISNUMBER($D19)),"",IF($D19&lt;InicioCiclo,"Antes del ciclo",IF($D19&gt;=InicioCiclo+28,"Después del ciclo","Semana "&amp;(INT(($D19-InicioCiclo)/7)+1)))))</f>
        <v/>
      </c>
      <c r="F19" s="61">
        <f>IF($N19="","",IF($P19&gt;0,IF(1&lt;=SemanaActual,INDEX('Cronograma R. Normativo'!$AH$5:$AH$1000,$N19),""),IF(INDEX('Cronograma R. Normativo'!$I$5:$I$1000,$N19)="","",INDEX('Cronograma R. Normativo'!$I$5:$I$1000,$N19))))</f>
        <v/>
      </c>
      <c r="G19" s="61">
        <f>IF($N19="","",IF($P19&gt;0,IF(2&lt;=SemanaActual,INDEX('Cronograma R. Normativo'!$AI$5:$AI$1000,$N19),""),IF(INDEX('Cronograma R. Normativo'!$J$5:$J$1000,$N19)="","",INDEX('Cronograma R. Normativo'!$J$5:$J$1000,$N19))))</f>
        <v/>
      </c>
      <c r="H19" s="61">
        <f>IF($N19="","",IF($P19&gt;0,IF(3&lt;=SemanaActual,INDEX('Cronograma R. Normativo'!$AJ$5:$AJ$1000,$N19),""),IF(INDEX('Cronograma R. Normativo'!$K$5:$K$1000,$N19)="","",INDEX('Cronograma R. Normativo'!$K$5:$K$1000,$N19))))</f>
        <v/>
      </c>
      <c r="I19" s="61">
        <f>IF($N19="","",IF($P19&gt;0,IF(4&lt;=SemanaActual,INDEX('Cronograma R. Normativo'!$AK$5:$AK$1000,$N19),""),IF(INDEX('Cronograma R. Normativo'!$L$5:$L$1000,$N19)="","",INDEX('Cronograma R. Normativo'!$L$5:$L$1000,$N19))))</f>
        <v/>
      </c>
      <c r="J19" s="61">
        <f>IF($N19="","",INDEX('Cronograma R. Normativo'!$M$5:$M$1000,$N19))</f>
        <v/>
      </c>
      <c r="K19" s="56">
        <f>IF($N19="","",IF(N($J19)&gt;=1,"Completado",IF(AND(ISNUMBER($D19),$D19&lt;FechaRef),"Vencida",IF(N($J19)&gt;0,"En curso","Pendiente"))))</f>
        <v/>
      </c>
      <c r="L19" s="56">
        <f>IF($N19="","",INDEX('Cronograma R. Normativo'!$O$5:$O$1000,$N19)&amp;"")</f>
        <v/>
      </c>
      <c r="M19" s="62">
        <f>IF($N19="","",INDEX('Cronograma R. Normativo'!$Q$5:$Q$1000,$N19)&amp;"")</f>
        <v/>
      </c>
      <c r="N19">
        <f>IFERROR(MATCH(ROW()-4,rOrden_RN,0),"")</f>
        <v/>
      </c>
      <c r="O19">
        <f>IF($N19="","",INDEX('Cronograma R. Normativo'!$V$5:$V$1000,$N19))</f>
        <v/>
      </c>
      <c r="P19">
        <f>IF($N19="","",N(INDEX('Cronograma R. Normativo'!$W$5:$W$1000,$N19)))</f>
        <v/>
      </c>
      <c r="Q19">
        <f>IF(OR(LEFT($L19,7)="Vencida",LEFT($L19,5)="Vence"),SUMPRODUCT(--(LEFT($L$5:$L19,7)="Vencida"))+SUMPRODUCT(--(LEFT($L$5:$L19,5)="Vence")),"")</f>
        <v/>
      </c>
    </row>
    <row r="20">
      <c r="A20" s="56">
        <f>IF($N20="","",INDEX('Cronograma R. Normativo'!$A$5:$A$1000,$N20))</f>
        <v/>
      </c>
      <c r="B20" s="62">
        <f>IF($N20="","",IF($O20="Sub","      ↳  "&amp;INDEX('Cronograma R. Normativo'!$C$5:$C$1000,$N20),INDEX('Cronograma R. Normativo'!$C$5:$C$1000,$N20)&amp;""))</f>
        <v/>
      </c>
      <c r="C20" s="79">
        <f>IF($N20="","",IF(INDEX('Cronograma R. Normativo'!$AR$5:$AR$1000,$N20)="","",INDEX('Cronograma R. Normativo'!$AR$5:$AR$1000,$N20)))</f>
        <v/>
      </c>
      <c r="D20" s="79">
        <f>IF($N20="","",IF(INDEX('Cronograma R. Normativo'!$AS$5:$AS$1000,$N20)="","",INDEX('Cronograma R. Normativo'!$AS$5:$AS$1000,$N20)))</f>
        <v/>
      </c>
      <c r="E20" s="56">
        <f>IF($N20="","",IF(NOT(ISNUMBER($D20)),"",IF($D20&lt;InicioCiclo,"Antes del ciclo",IF($D20&gt;=InicioCiclo+28,"Después del ciclo","Semana "&amp;(INT(($D20-InicioCiclo)/7)+1)))))</f>
        <v/>
      </c>
      <c r="F20" s="61">
        <f>IF($N20="","",IF($P20&gt;0,IF(1&lt;=SemanaActual,INDEX('Cronograma R. Normativo'!$AH$5:$AH$1000,$N20),""),IF(INDEX('Cronograma R. Normativo'!$I$5:$I$1000,$N20)="","",INDEX('Cronograma R. Normativo'!$I$5:$I$1000,$N20))))</f>
        <v/>
      </c>
      <c r="G20" s="61">
        <f>IF($N20="","",IF($P20&gt;0,IF(2&lt;=SemanaActual,INDEX('Cronograma R. Normativo'!$AI$5:$AI$1000,$N20),""),IF(INDEX('Cronograma R. Normativo'!$J$5:$J$1000,$N20)="","",INDEX('Cronograma R. Normativo'!$J$5:$J$1000,$N20))))</f>
        <v/>
      </c>
      <c r="H20" s="61">
        <f>IF($N20="","",IF($P20&gt;0,IF(3&lt;=SemanaActual,INDEX('Cronograma R. Normativo'!$AJ$5:$AJ$1000,$N20),""),IF(INDEX('Cronograma R. Normativo'!$K$5:$K$1000,$N20)="","",INDEX('Cronograma R. Normativo'!$K$5:$K$1000,$N20))))</f>
        <v/>
      </c>
      <c r="I20" s="61">
        <f>IF($N20="","",IF($P20&gt;0,IF(4&lt;=SemanaActual,INDEX('Cronograma R. Normativo'!$AK$5:$AK$1000,$N20),""),IF(INDEX('Cronograma R. Normativo'!$L$5:$L$1000,$N20)="","",INDEX('Cronograma R. Normativo'!$L$5:$L$1000,$N20))))</f>
        <v/>
      </c>
      <c r="J20" s="61">
        <f>IF($N20="","",INDEX('Cronograma R. Normativo'!$M$5:$M$1000,$N20))</f>
        <v/>
      </c>
      <c r="K20" s="56">
        <f>IF($N20="","",IF(N($J20)&gt;=1,"Completado",IF(AND(ISNUMBER($D20),$D20&lt;FechaRef),"Vencida",IF(N($J20)&gt;0,"En curso","Pendiente"))))</f>
        <v/>
      </c>
      <c r="L20" s="56">
        <f>IF($N20="","",INDEX('Cronograma R. Normativo'!$O$5:$O$1000,$N20)&amp;"")</f>
        <v/>
      </c>
      <c r="M20" s="62">
        <f>IF($N20="","",INDEX('Cronograma R. Normativo'!$Q$5:$Q$1000,$N20)&amp;"")</f>
        <v/>
      </c>
      <c r="N20">
        <f>IFERROR(MATCH(ROW()-4,rOrden_RN,0),"")</f>
        <v/>
      </c>
      <c r="O20">
        <f>IF($N20="","",INDEX('Cronograma R. Normativo'!$V$5:$V$1000,$N20))</f>
        <v/>
      </c>
      <c r="P20">
        <f>IF($N20="","",N(INDEX('Cronograma R. Normativo'!$W$5:$W$1000,$N20)))</f>
        <v/>
      </c>
      <c r="Q20">
        <f>IF(OR(LEFT($L20,7)="Vencida",LEFT($L20,5)="Vence"),SUMPRODUCT(--(LEFT($L$5:$L20,7)="Vencida"))+SUMPRODUCT(--(LEFT($L$5:$L20,5)="Vence")),"")</f>
        <v/>
      </c>
    </row>
    <row r="21">
      <c r="A21" s="56">
        <f>IF($N21="","",INDEX('Cronograma R. Normativo'!$A$5:$A$1000,$N21))</f>
        <v/>
      </c>
      <c r="B21" s="62">
        <f>IF($N21="","",IF($O21="Sub","      ↳  "&amp;INDEX('Cronograma R. Normativo'!$C$5:$C$1000,$N21),INDEX('Cronograma R. Normativo'!$C$5:$C$1000,$N21)&amp;""))</f>
        <v/>
      </c>
      <c r="C21" s="79">
        <f>IF($N21="","",IF(INDEX('Cronograma R. Normativo'!$AR$5:$AR$1000,$N21)="","",INDEX('Cronograma R. Normativo'!$AR$5:$AR$1000,$N21)))</f>
        <v/>
      </c>
      <c r="D21" s="79">
        <f>IF($N21="","",IF(INDEX('Cronograma R. Normativo'!$AS$5:$AS$1000,$N21)="","",INDEX('Cronograma R. Normativo'!$AS$5:$AS$1000,$N21)))</f>
        <v/>
      </c>
      <c r="E21" s="56">
        <f>IF($N21="","",IF(NOT(ISNUMBER($D21)),"",IF($D21&lt;InicioCiclo,"Antes del ciclo",IF($D21&gt;=InicioCiclo+28,"Después del ciclo","Semana "&amp;(INT(($D21-InicioCiclo)/7)+1)))))</f>
        <v/>
      </c>
      <c r="F21" s="61">
        <f>IF($N21="","",IF($P21&gt;0,IF(1&lt;=SemanaActual,INDEX('Cronograma R. Normativo'!$AH$5:$AH$1000,$N21),""),IF(INDEX('Cronograma R. Normativo'!$I$5:$I$1000,$N21)="","",INDEX('Cronograma R. Normativo'!$I$5:$I$1000,$N21))))</f>
        <v/>
      </c>
      <c r="G21" s="61">
        <f>IF($N21="","",IF($P21&gt;0,IF(2&lt;=SemanaActual,INDEX('Cronograma R. Normativo'!$AI$5:$AI$1000,$N21),""),IF(INDEX('Cronograma R. Normativo'!$J$5:$J$1000,$N21)="","",INDEX('Cronograma R. Normativo'!$J$5:$J$1000,$N21))))</f>
        <v/>
      </c>
      <c r="H21" s="61">
        <f>IF($N21="","",IF($P21&gt;0,IF(3&lt;=SemanaActual,INDEX('Cronograma R. Normativo'!$AJ$5:$AJ$1000,$N21),""),IF(INDEX('Cronograma R. Normativo'!$K$5:$K$1000,$N21)="","",INDEX('Cronograma R. Normativo'!$K$5:$K$1000,$N21))))</f>
        <v/>
      </c>
      <c r="I21" s="61">
        <f>IF($N21="","",IF($P21&gt;0,IF(4&lt;=SemanaActual,INDEX('Cronograma R. Normativo'!$AK$5:$AK$1000,$N21),""),IF(INDEX('Cronograma R. Normativo'!$L$5:$L$1000,$N21)="","",INDEX('Cronograma R. Normativo'!$L$5:$L$1000,$N21))))</f>
        <v/>
      </c>
      <c r="J21" s="61">
        <f>IF($N21="","",INDEX('Cronograma R. Normativo'!$M$5:$M$1000,$N21))</f>
        <v/>
      </c>
      <c r="K21" s="56">
        <f>IF($N21="","",IF(N($J21)&gt;=1,"Completado",IF(AND(ISNUMBER($D21),$D21&lt;FechaRef),"Vencida",IF(N($J21)&gt;0,"En curso","Pendiente"))))</f>
        <v/>
      </c>
      <c r="L21" s="56">
        <f>IF($N21="","",INDEX('Cronograma R. Normativo'!$O$5:$O$1000,$N21)&amp;"")</f>
        <v/>
      </c>
      <c r="M21" s="62">
        <f>IF($N21="","",INDEX('Cronograma R. Normativo'!$Q$5:$Q$1000,$N21)&amp;"")</f>
        <v/>
      </c>
      <c r="N21">
        <f>IFERROR(MATCH(ROW()-4,rOrden_RN,0),"")</f>
        <v/>
      </c>
      <c r="O21">
        <f>IF($N21="","",INDEX('Cronograma R. Normativo'!$V$5:$V$1000,$N21))</f>
        <v/>
      </c>
      <c r="P21">
        <f>IF($N21="","",N(INDEX('Cronograma R. Normativo'!$W$5:$W$1000,$N21)))</f>
        <v/>
      </c>
      <c r="Q21">
        <f>IF(OR(LEFT($L21,7)="Vencida",LEFT($L21,5)="Vence"),SUMPRODUCT(--(LEFT($L$5:$L21,7)="Vencida"))+SUMPRODUCT(--(LEFT($L$5:$L21,5)="Vence")),"")</f>
        <v/>
      </c>
    </row>
    <row r="22">
      <c r="A22" s="56">
        <f>IF($N22="","",INDEX('Cronograma R. Normativo'!$A$5:$A$1000,$N22))</f>
        <v/>
      </c>
      <c r="B22" s="62">
        <f>IF($N22="","",IF($O22="Sub","      ↳  "&amp;INDEX('Cronograma R. Normativo'!$C$5:$C$1000,$N22),INDEX('Cronograma R. Normativo'!$C$5:$C$1000,$N22)&amp;""))</f>
        <v/>
      </c>
      <c r="C22" s="79">
        <f>IF($N22="","",IF(INDEX('Cronograma R. Normativo'!$AR$5:$AR$1000,$N22)="","",INDEX('Cronograma R. Normativo'!$AR$5:$AR$1000,$N22)))</f>
        <v/>
      </c>
      <c r="D22" s="79">
        <f>IF($N22="","",IF(INDEX('Cronograma R. Normativo'!$AS$5:$AS$1000,$N22)="","",INDEX('Cronograma R. Normativo'!$AS$5:$AS$1000,$N22)))</f>
        <v/>
      </c>
      <c r="E22" s="56">
        <f>IF($N22="","",IF(NOT(ISNUMBER($D22)),"",IF($D22&lt;InicioCiclo,"Antes del ciclo",IF($D22&gt;=InicioCiclo+28,"Después del ciclo","Semana "&amp;(INT(($D22-InicioCiclo)/7)+1)))))</f>
        <v/>
      </c>
      <c r="F22" s="61">
        <f>IF($N22="","",IF($P22&gt;0,IF(1&lt;=SemanaActual,INDEX('Cronograma R. Normativo'!$AH$5:$AH$1000,$N22),""),IF(INDEX('Cronograma R. Normativo'!$I$5:$I$1000,$N22)="","",INDEX('Cronograma R. Normativo'!$I$5:$I$1000,$N22))))</f>
        <v/>
      </c>
      <c r="G22" s="61">
        <f>IF($N22="","",IF($P22&gt;0,IF(2&lt;=SemanaActual,INDEX('Cronograma R. Normativo'!$AI$5:$AI$1000,$N22),""),IF(INDEX('Cronograma R. Normativo'!$J$5:$J$1000,$N22)="","",INDEX('Cronograma R. Normativo'!$J$5:$J$1000,$N22))))</f>
        <v/>
      </c>
      <c r="H22" s="61">
        <f>IF($N22="","",IF($P22&gt;0,IF(3&lt;=SemanaActual,INDEX('Cronograma R. Normativo'!$AJ$5:$AJ$1000,$N22),""),IF(INDEX('Cronograma R. Normativo'!$K$5:$K$1000,$N22)="","",INDEX('Cronograma R. Normativo'!$K$5:$K$1000,$N22))))</f>
        <v/>
      </c>
      <c r="I22" s="61">
        <f>IF($N22="","",IF($P22&gt;0,IF(4&lt;=SemanaActual,INDEX('Cronograma R. Normativo'!$AK$5:$AK$1000,$N22),""),IF(INDEX('Cronograma R. Normativo'!$L$5:$L$1000,$N22)="","",INDEX('Cronograma R. Normativo'!$L$5:$L$1000,$N22))))</f>
        <v/>
      </c>
      <c r="J22" s="61">
        <f>IF($N22="","",INDEX('Cronograma R. Normativo'!$M$5:$M$1000,$N22))</f>
        <v/>
      </c>
      <c r="K22" s="56">
        <f>IF($N22="","",IF(N($J22)&gt;=1,"Completado",IF(AND(ISNUMBER($D22),$D22&lt;FechaRef),"Vencida",IF(N($J22)&gt;0,"En curso","Pendiente"))))</f>
        <v/>
      </c>
      <c r="L22" s="56">
        <f>IF($N22="","",INDEX('Cronograma R. Normativo'!$O$5:$O$1000,$N22)&amp;"")</f>
        <v/>
      </c>
      <c r="M22" s="62">
        <f>IF($N22="","",INDEX('Cronograma R. Normativo'!$Q$5:$Q$1000,$N22)&amp;"")</f>
        <v/>
      </c>
      <c r="N22">
        <f>IFERROR(MATCH(ROW()-4,rOrden_RN,0),"")</f>
        <v/>
      </c>
      <c r="O22">
        <f>IF($N22="","",INDEX('Cronograma R. Normativo'!$V$5:$V$1000,$N22))</f>
        <v/>
      </c>
      <c r="P22">
        <f>IF($N22="","",N(INDEX('Cronograma R. Normativo'!$W$5:$W$1000,$N22)))</f>
        <v/>
      </c>
      <c r="Q22">
        <f>IF(OR(LEFT($L22,7)="Vencida",LEFT($L22,5)="Vence"),SUMPRODUCT(--(LEFT($L$5:$L22,7)="Vencida"))+SUMPRODUCT(--(LEFT($L$5:$L22,5)="Vence")),"")</f>
        <v/>
      </c>
    </row>
    <row r="23">
      <c r="A23" s="56">
        <f>IF($N23="","",INDEX('Cronograma R. Normativo'!$A$5:$A$1000,$N23))</f>
        <v/>
      </c>
      <c r="B23" s="62">
        <f>IF($N23="","",IF($O23="Sub","      ↳  "&amp;INDEX('Cronograma R. Normativo'!$C$5:$C$1000,$N23),INDEX('Cronograma R. Normativo'!$C$5:$C$1000,$N23)&amp;""))</f>
        <v/>
      </c>
      <c r="C23" s="79">
        <f>IF($N23="","",IF(INDEX('Cronograma R. Normativo'!$AR$5:$AR$1000,$N23)="","",INDEX('Cronograma R. Normativo'!$AR$5:$AR$1000,$N23)))</f>
        <v/>
      </c>
      <c r="D23" s="79">
        <f>IF($N23="","",IF(INDEX('Cronograma R. Normativo'!$AS$5:$AS$1000,$N23)="","",INDEX('Cronograma R. Normativo'!$AS$5:$AS$1000,$N23)))</f>
        <v/>
      </c>
      <c r="E23" s="56">
        <f>IF($N23="","",IF(NOT(ISNUMBER($D23)),"",IF($D23&lt;InicioCiclo,"Antes del ciclo",IF($D23&gt;=InicioCiclo+28,"Después del ciclo","Semana "&amp;(INT(($D23-InicioCiclo)/7)+1)))))</f>
        <v/>
      </c>
      <c r="F23" s="61">
        <f>IF($N23="","",IF($P23&gt;0,IF(1&lt;=SemanaActual,INDEX('Cronograma R. Normativo'!$AH$5:$AH$1000,$N23),""),IF(INDEX('Cronograma R. Normativo'!$I$5:$I$1000,$N23)="","",INDEX('Cronograma R. Normativo'!$I$5:$I$1000,$N23))))</f>
        <v/>
      </c>
      <c r="G23" s="61">
        <f>IF($N23="","",IF($P23&gt;0,IF(2&lt;=SemanaActual,INDEX('Cronograma R. Normativo'!$AI$5:$AI$1000,$N23),""),IF(INDEX('Cronograma R. Normativo'!$J$5:$J$1000,$N23)="","",INDEX('Cronograma R. Normativo'!$J$5:$J$1000,$N23))))</f>
        <v/>
      </c>
      <c r="H23" s="61">
        <f>IF($N23="","",IF($P23&gt;0,IF(3&lt;=SemanaActual,INDEX('Cronograma R. Normativo'!$AJ$5:$AJ$1000,$N23),""),IF(INDEX('Cronograma R. Normativo'!$K$5:$K$1000,$N23)="","",INDEX('Cronograma R. Normativo'!$K$5:$K$1000,$N23))))</f>
        <v/>
      </c>
      <c r="I23" s="61">
        <f>IF($N23="","",IF($P23&gt;0,IF(4&lt;=SemanaActual,INDEX('Cronograma R. Normativo'!$AK$5:$AK$1000,$N23),""),IF(INDEX('Cronograma R. Normativo'!$L$5:$L$1000,$N23)="","",INDEX('Cronograma R. Normativo'!$L$5:$L$1000,$N23))))</f>
        <v/>
      </c>
      <c r="J23" s="61">
        <f>IF($N23="","",INDEX('Cronograma R. Normativo'!$M$5:$M$1000,$N23))</f>
        <v/>
      </c>
      <c r="K23" s="56">
        <f>IF($N23="","",IF(N($J23)&gt;=1,"Completado",IF(AND(ISNUMBER($D23),$D23&lt;FechaRef),"Vencida",IF(N($J23)&gt;0,"En curso","Pendiente"))))</f>
        <v/>
      </c>
      <c r="L23" s="56">
        <f>IF($N23="","",INDEX('Cronograma R. Normativo'!$O$5:$O$1000,$N23)&amp;"")</f>
        <v/>
      </c>
      <c r="M23" s="62">
        <f>IF($N23="","",INDEX('Cronograma R. Normativo'!$Q$5:$Q$1000,$N23)&amp;"")</f>
        <v/>
      </c>
      <c r="N23">
        <f>IFERROR(MATCH(ROW()-4,rOrden_RN,0),"")</f>
        <v/>
      </c>
      <c r="O23">
        <f>IF($N23="","",INDEX('Cronograma R. Normativo'!$V$5:$V$1000,$N23))</f>
        <v/>
      </c>
      <c r="P23">
        <f>IF($N23="","",N(INDEX('Cronograma R. Normativo'!$W$5:$W$1000,$N23)))</f>
        <v/>
      </c>
      <c r="Q23">
        <f>IF(OR(LEFT($L23,7)="Vencida",LEFT($L23,5)="Vence"),SUMPRODUCT(--(LEFT($L$5:$L23,7)="Vencida"))+SUMPRODUCT(--(LEFT($L$5:$L23,5)="Vence")),"")</f>
        <v/>
      </c>
    </row>
    <row r="24">
      <c r="A24" s="56">
        <f>IF($N24="","",INDEX('Cronograma R. Normativo'!$A$5:$A$1000,$N24))</f>
        <v/>
      </c>
      <c r="B24" s="62">
        <f>IF($N24="","",IF($O24="Sub","      ↳  "&amp;INDEX('Cronograma R. Normativo'!$C$5:$C$1000,$N24),INDEX('Cronograma R. Normativo'!$C$5:$C$1000,$N24)&amp;""))</f>
        <v/>
      </c>
      <c r="C24" s="79">
        <f>IF($N24="","",IF(INDEX('Cronograma R. Normativo'!$AR$5:$AR$1000,$N24)="","",INDEX('Cronograma R. Normativo'!$AR$5:$AR$1000,$N24)))</f>
        <v/>
      </c>
      <c r="D24" s="79">
        <f>IF($N24="","",IF(INDEX('Cronograma R. Normativo'!$AS$5:$AS$1000,$N24)="","",INDEX('Cronograma R. Normativo'!$AS$5:$AS$1000,$N24)))</f>
        <v/>
      </c>
      <c r="E24" s="56">
        <f>IF($N24="","",IF(NOT(ISNUMBER($D24)),"",IF($D24&lt;InicioCiclo,"Antes del ciclo",IF($D24&gt;=InicioCiclo+28,"Después del ciclo","Semana "&amp;(INT(($D24-InicioCiclo)/7)+1)))))</f>
        <v/>
      </c>
      <c r="F24" s="61">
        <f>IF($N24="","",IF($P24&gt;0,IF(1&lt;=SemanaActual,INDEX('Cronograma R. Normativo'!$AH$5:$AH$1000,$N24),""),IF(INDEX('Cronograma R. Normativo'!$I$5:$I$1000,$N24)="","",INDEX('Cronograma R. Normativo'!$I$5:$I$1000,$N24))))</f>
        <v/>
      </c>
      <c r="G24" s="61">
        <f>IF($N24="","",IF($P24&gt;0,IF(2&lt;=SemanaActual,INDEX('Cronograma R. Normativo'!$AI$5:$AI$1000,$N24),""),IF(INDEX('Cronograma R. Normativo'!$J$5:$J$1000,$N24)="","",INDEX('Cronograma R. Normativo'!$J$5:$J$1000,$N24))))</f>
        <v/>
      </c>
      <c r="H24" s="61">
        <f>IF($N24="","",IF($P24&gt;0,IF(3&lt;=SemanaActual,INDEX('Cronograma R. Normativo'!$AJ$5:$AJ$1000,$N24),""),IF(INDEX('Cronograma R. Normativo'!$K$5:$K$1000,$N24)="","",INDEX('Cronograma R. Normativo'!$K$5:$K$1000,$N24))))</f>
        <v/>
      </c>
      <c r="I24" s="61">
        <f>IF($N24="","",IF($P24&gt;0,IF(4&lt;=SemanaActual,INDEX('Cronograma R. Normativo'!$AK$5:$AK$1000,$N24),""),IF(INDEX('Cronograma R. Normativo'!$L$5:$L$1000,$N24)="","",INDEX('Cronograma R. Normativo'!$L$5:$L$1000,$N24))))</f>
        <v/>
      </c>
      <c r="J24" s="61">
        <f>IF($N24="","",INDEX('Cronograma R. Normativo'!$M$5:$M$1000,$N24))</f>
        <v/>
      </c>
      <c r="K24" s="56">
        <f>IF($N24="","",IF(N($J24)&gt;=1,"Completado",IF(AND(ISNUMBER($D24),$D24&lt;FechaRef),"Vencida",IF(N($J24)&gt;0,"En curso","Pendiente"))))</f>
        <v/>
      </c>
      <c r="L24" s="56">
        <f>IF($N24="","",INDEX('Cronograma R. Normativo'!$O$5:$O$1000,$N24)&amp;"")</f>
        <v/>
      </c>
      <c r="M24" s="62">
        <f>IF($N24="","",INDEX('Cronograma R. Normativo'!$Q$5:$Q$1000,$N24)&amp;"")</f>
        <v/>
      </c>
      <c r="N24">
        <f>IFERROR(MATCH(ROW()-4,rOrden_RN,0),"")</f>
        <v/>
      </c>
      <c r="O24">
        <f>IF($N24="","",INDEX('Cronograma R. Normativo'!$V$5:$V$1000,$N24))</f>
        <v/>
      </c>
      <c r="P24">
        <f>IF($N24="","",N(INDEX('Cronograma R. Normativo'!$W$5:$W$1000,$N24)))</f>
        <v/>
      </c>
      <c r="Q24">
        <f>IF(OR(LEFT($L24,7)="Vencida",LEFT($L24,5)="Vence"),SUMPRODUCT(--(LEFT($L$5:$L24,7)="Vencida"))+SUMPRODUCT(--(LEFT($L$5:$L24,5)="Vence")),"")</f>
        <v/>
      </c>
    </row>
    <row r="25">
      <c r="A25" s="56">
        <f>IF($N25="","",INDEX('Cronograma R. Normativo'!$A$5:$A$1000,$N25))</f>
        <v/>
      </c>
      <c r="B25" s="62">
        <f>IF($N25="","",IF($O25="Sub","      ↳  "&amp;INDEX('Cronograma R. Normativo'!$C$5:$C$1000,$N25),INDEX('Cronograma R. Normativo'!$C$5:$C$1000,$N25)&amp;""))</f>
        <v/>
      </c>
      <c r="C25" s="79">
        <f>IF($N25="","",IF(INDEX('Cronograma R. Normativo'!$AR$5:$AR$1000,$N25)="","",INDEX('Cronograma R. Normativo'!$AR$5:$AR$1000,$N25)))</f>
        <v/>
      </c>
      <c r="D25" s="79">
        <f>IF($N25="","",IF(INDEX('Cronograma R. Normativo'!$AS$5:$AS$1000,$N25)="","",INDEX('Cronograma R. Normativo'!$AS$5:$AS$1000,$N25)))</f>
        <v/>
      </c>
      <c r="E25" s="56">
        <f>IF($N25="","",IF(NOT(ISNUMBER($D25)),"",IF($D25&lt;InicioCiclo,"Antes del ciclo",IF($D25&gt;=InicioCiclo+28,"Después del ciclo","Semana "&amp;(INT(($D25-InicioCiclo)/7)+1)))))</f>
        <v/>
      </c>
      <c r="F25" s="61">
        <f>IF($N25="","",IF($P25&gt;0,IF(1&lt;=SemanaActual,INDEX('Cronograma R. Normativo'!$AH$5:$AH$1000,$N25),""),IF(INDEX('Cronograma R. Normativo'!$I$5:$I$1000,$N25)="","",INDEX('Cronograma R. Normativo'!$I$5:$I$1000,$N25))))</f>
        <v/>
      </c>
      <c r="G25" s="61">
        <f>IF($N25="","",IF($P25&gt;0,IF(2&lt;=SemanaActual,INDEX('Cronograma R. Normativo'!$AI$5:$AI$1000,$N25),""),IF(INDEX('Cronograma R. Normativo'!$J$5:$J$1000,$N25)="","",INDEX('Cronograma R. Normativo'!$J$5:$J$1000,$N25))))</f>
        <v/>
      </c>
      <c r="H25" s="61">
        <f>IF($N25="","",IF($P25&gt;0,IF(3&lt;=SemanaActual,INDEX('Cronograma R. Normativo'!$AJ$5:$AJ$1000,$N25),""),IF(INDEX('Cronograma R. Normativo'!$K$5:$K$1000,$N25)="","",INDEX('Cronograma R. Normativo'!$K$5:$K$1000,$N25))))</f>
        <v/>
      </c>
      <c r="I25" s="61">
        <f>IF($N25="","",IF($P25&gt;0,IF(4&lt;=SemanaActual,INDEX('Cronograma R. Normativo'!$AK$5:$AK$1000,$N25),""),IF(INDEX('Cronograma R. Normativo'!$L$5:$L$1000,$N25)="","",INDEX('Cronograma R. Normativo'!$L$5:$L$1000,$N25))))</f>
        <v/>
      </c>
      <c r="J25" s="61">
        <f>IF($N25="","",INDEX('Cronograma R. Normativo'!$M$5:$M$1000,$N25))</f>
        <v/>
      </c>
      <c r="K25" s="56">
        <f>IF($N25="","",IF(N($J25)&gt;=1,"Completado",IF(AND(ISNUMBER($D25),$D25&lt;FechaRef),"Vencida",IF(N($J25)&gt;0,"En curso","Pendiente"))))</f>
        <v/>
      </c>
      <c r="L25" s="56">
        <f>IF($N25="","",INDEX('Cronograma R. Normativo'!$O$5:$O$1000,$N25)&amp;"")</f>
        <v/>
      </c>
      <c r="M25" s="62">
        <f>IF($N25="","",INDEX('Cronograma R. Normativo'!$Q$5:$Q$1000,$N25)&amp;"")</f>
        <v/>
      </c>
      <c r="N25">
        <f>IFERROR(MATCH(ROW()-4,rOrden_RN,0),"")</f>
        <v/>
      </c>
      <c r="O25">
        <f>IF($N25="","",INDEX('Cronograma R. Normativo'!$V$5:$V$1000,$N25))</f>
        <v/>
      </c>
      <c r="P25">
        <f>IF($N25="","",N(INDEX('Cronograma R. Normativo'!$W$5:$W$1000,$N25)))</f>
        <v/>
      </c>
      <c r="Q25">
        <f>IF(OR(LEFT($L25,7)="Vencida",LEFT($L25,5)="Vence"),SUMPRODUCT(--(LEFT($L$5:$L25,7)="Vencida"))+SUMPRODUCT(--(LEFT($L$5:$L25,5)="Vence")),"")</f>
        <v/>
      </c>
    </row>
    <row r="26">
      <c r="A26" s="56">
        <f>IF($N26="","",INDEX('Cronograma R. Normativo'!$A$5:$A$1000,$N26))</f>
        <v/>
      </c>
      <c r="B26" s="62">
        <f>IF($N26="","",IF($O26="Sub","      ↳  "&amp;INDEX('Cronograma R. Normativo'!$C$5:$C$1000,$N26),INDEX('Cronograma R. Normativo'!$C$5:$C$1000,$N26)&amp;""))</f>
        <v/>
      </c>
      <c r="C26" s="79">
        <f>IF($N26="","",IF(INDEX('Cronograma R. Normativo'!$AR$5:$AR$1000,$N26)="","",INDEX('Cronograma R. Normativo'!$AR$5:$AR$1000,$N26)))</f>
        <v/>
      </c>
      <c r="D26" s="79">
        <f>IF($N26="","",IF(INDEX('Cronograma R. Normativo'!$AS$5:$AS$1000,$N26)="","",INDEX('Cronograma R. Normativo'!$AS$5:$AS$1000,$N26)))</f>
        <v/>
      </c>
      <c r="E26" s="56">
        <f>IF($N26="","",IF(NOT(ISNUMBER($D26)),"",IF($D26&lt;InicioCiclo,"Antes del ciclo",IF($D26&gt;=InicioCiclo+28,"Después del ciclo","Semana "&amp;(INT(($D26-InicioCiclo)/7)+1)))))</f>
        <v/>
      </c>
      <c r="F26" s="61">
        <f>IF($N26="","",IF($P26&gt;0,IF(1&lt;=SemanaActual,INDEX('Cronograma R. Normativo'!$AH$5:$AH$1000,$N26),""),IF(INDEX('Cronograma R. Normativo'!$I$5:$I$1000,$N26)="","",INDEX('Cronograma R. Normativo'!$I$5:$I$1000,$N26))))</f>
        <v/>
      </c>
      <c r="G26" s="61">
        <f>IF($N26="","",IF($P26&gt;0,IF(2&lt;=SemanaActual,INDEX('Cronograma R. Normativo'!$AI$5:$AI$1000,$N26),""),IF(INDEX('Cronograma R. Normativo'!$J$5:$J$1000,$N26)="","",INDEX('Cronograma R. Normativo'!$J$5:$J$1000,$N26))))</f>
        <v/>
      </c>
      <c r="H26" s="61">
        <f>IF($N26="","",IF($P26&gt;0,IF(3&lt;=SemanaActual,INDEX('Cronograma R. Normativo'!$AJ$5:$AJ$1000,$N26),""),IF(INDEX('Cronograma R. Normativo'!$K$5:$K$1000,$N26)="","",INDEX('Cronograma R. Normativo'!$K$5:$K$1000,$N26))))</f>
        <v/>
      </c>
      <c r="I26" s="61">
        <f>IF($N26="","",IF($P26&gt;0,IF(4&lt;=SemanaActual,INDEX('Cronograma R. Normativo'!$AK$5:$AK$1000,$N26),""),IF(INDEX('Cronograma R. Normativo'!$L$5:$L$1000,$N26)="","",INDEX('Cronograma R. Normativo'!$L$5:$L$1000,$N26))))</f>
        <v/>
      </c>
      <c r="J26" s="61">
        <f>IF($N26="","",INDEX('Cronograma R. Normativo'!$M$5:$M$1000,$N26))</f>
        <v/>
      </c>
      <c r="K26" s="56">
        <f>IF($N26="","",IF(N($J26)&gt;=1,"Completado",IF(AND(ISNUMBER($D26),$D26&lt;FechaRef),"Vencida",IF(N($J26)&gt;0,"En curso","Pendiente"))))</f>
        <v/>
      </c>
      <c r="L26" s="56">
        <f>IF($N26="","",INDEX('Cronograma R. Normativo'!$O$5:$O$1000,$N26)&amp;"")</f>
        <v/>
      </c>
      <c r="M26" s="62">
        <f>IF($N26="","",INDEX('Cronograma R. Normativo'!$Q$5:$Q$1000,$N26)&amp;"")</f>
        <v/>
      </c>
      <c r="N26">
        <f>IFERROR(MATCH(ROW()-4,rOrden_RN,0),"")</f>
        <v/>
      </c>
      <c r="O26">
        <f>IF($N26="","",INDEX('Cronograma R. Normativo'!$V$5:$V$1000,$N26))</f>
        <v/>
      </c>
      <c r="P26">
        <f>IF($N26="","",N(INDEX('Cronograma R. Normativo'!$W$5:$W$1000,$N26)))</f>
        <v/>
      </c>
      <c r="Q26">
        <f>IF(OR(LEFT($L26,7)="Vencida",LEFT($L26,5)="Vence"),SUMPRODUCT(--(LEFT($L$5:$L26,7)="Vencida"))+SUMPRODUCT(--(LEFT($L$5:$L26,5)="Vence")),"")</f>
        <v/>
      </c>
    </row>
    <row r="27">
      <c r="A27" s="56">
        <f>IF($N27="","",INDEX('Cronograma R. Normativo'!$A$5:$A$1000,$N27))</f>
        <v/>
      </c>
      <c r="B27" s="62">
        <f>IF($N27="","",IF($O27="Sub","      ↳  "&amp;INDEX('Cronograma R. Normativo'!$C$5:$C$1000,$N27),INDEX('Cronograma R. Normativo'!$C$5:$C$1000,$N27)&amp;""))</f>
        <v/>
      </c>
      <c r="C27" s="79">
        <f>IF($N27="","",IF(INDEX('Cronograma R. Normativo'!$AR$5:$AR$1000,$N27)="","",INDEX('Cronograma R. Normativo'!$AR$5:$AR$1000,$N27)))</f>
        <v/>
      </c>
      <c r="D27" s="79">
        <f>IF($N27="","",IF(INDEX('Cronograma R. Normativo'!$AS$5:$AS$1000,$N27)="","",INDEX('Cronograma R. Normativo'!$AS$5:$AS$1000,$N27)))</f>
        <v/>
      </c>
      <c r="E27" s="56">
        <f>IF($N27="","",IF(NOT(ISNUMBER($D27)),"",IF($D27&lt;InicioCiclo,"Antes del ciclo",IF($D27&gt;=InicioCiclo+28,"Después del ciclo","Semana "&amp;(INT(($D27-InicioCiclo)/7)+1)))))</f>
        <v/>
      </c>
      <c r="F27" s="61">
        <f>IF($N27="","",IF($P27&gt;0,IF(1&lt;=SemanaActual,INDEX('Cronograma R. Normativo'!$AH$5:$AH$1000,$N27),""),IF(INDEX('Cronograma R. Normativo'!$I$5:$I$1000,$N27)="","",INDEX('Cronograma R. Normativo'!$I$5:$I$1000,$N27))))</f>
        <v/>
      </c>
      <c r="G27" s="61">
        <f>IF($N27="","",IF($P27&gt;0,IF(2&lt;=SemanaActual,INDEX('Cronograma R. Normativo'!$AI$5:$AI$1000,$N27),""),IF(INDEX('Cronograma R. Normativo'!$J$5:$J$1000,$N27)="","",INDEX('Cronograma R. Normativo'!$J$5:$J$1000,$N27))))</f>
        <v/>
      </c>
      <c r="H27" s="61">
        <f>IF($N27="","",IF($P27&gt;0,IF(3&lt;=SemanaActual,INDEX('Cronograma R. Normativo'!$AJ$5:$AJ$1000,$N27),""),IF(INDEX('Cronograma R. Normativo'!$K$5:$K$1000,$N27)="","",INDEX('Cronograma R. Normativo'!$K$5:$K$1000,$N27))))</f>
        <v/>
      </c>
      <c r="I27" s="61">
        <f>IF($N27="","",IF($P27&gt;0,IF(4&lt;=SemanaActual,INDEX('Cronograma R. Normativo'!$AK$5:$AK$1000,$N27),""),IF(INDEX('Cronograma R. Normativo'!$L$5:$L$1000,$N27)="","",INDEX('Cronograma R. Normativo'!$L$5:$L$1000,$N27))))</f>
        <v/>
      </c>
      <c r="J27" s="61">
        <f>IF($N27="","",INDEX('Cronograma R. Normativo'!$M$5:$M$1000,$N27))</f>
        <v/>
      </c>
      <c r="K27" s="56">
        <f>IF($N27="","",IF(N($J27)&gt;=1,"Completado",IF(AND(ISNUMBER($D27),$D27&lt;FechaRef),"Vencida",IF(N($J27)&gt;0,"En curso","Pendiente"))))</f>
        <v/>
      </c>
      <c r="L27" s="56">
        <f>IF($N27="","",INDEX('Cronograma R. Normativo'!$O$5:$O$1000,$N27)&amp;"")</f>
        <v/>
      </c>
      <c r="M27" s="62">
        <f>IF($N27="","",INDEX('Cronograma R. Normativo'!$Q$5:$Q$1000,$N27)&amp;"")</f>
        <v/>
      </c>
      <c r="N27">
        <f>IFERROR(MATCH(ROW()-4,rOrden_RN,0),"")</f>
        <v/>
      </c>
      <c r="O27">
        <f>IF($N27="","",INDEX('Cronograma R. Normativo'!$V$5:$V$1000,$N27))</f>
        <v/>
      </c>
      <c r="P27">
        <f>IF($N27="","",N(INDEX('Cronograma R. Normativo'!$W$5:$W$1000,$N27)))</f>
        <v/>
      </c>
      <c r="Q27">
        <f>IF(OR(LEFT($L27,7)="Vencida",LEFT($L27,5)="Vence"),SUMPRODUCT(--(LEFT($L$5:$L27,7)="Vencida"))+SUMPRODUCT(--(LEFT($L$5:$L27,5)="Vence")),"")</f>
        <v/>
      </c>
    </row>
    <row r="28">
      <c r="A28" s="56">
        <f>IF($N28="","",INDEX('Cronograma R. Normativo'!$A$5:$A$1000,$N28))</f>
        <v/>
      </c>
      <c r="B28" s="62">
        <f>IF($N28="","",IF($O28="Sub","      ↳  "&amp;INDEX('Cronograma R. Normativo'!$C$5:$C$1000,$N28),INDEX('Cronograma R. Normativo'!$C$5:$C$1000,$N28)&amp;""))</f>
        <v/>
      </c>
      <c r="C28" s="79">
        <f>IF($N28="","",IF(INDEX('Cronograma R. Normativo'!$AR$5:$AR$1000,$N28)="","",INDEX('Cronograma R. Normativo'!$AR$5:$AR$1000,$N28)))</f>
        <v/>
      </c>
      <c r="D28" s="79">
        <f>IF($N28="","",IF(INDEX('Cronograma R. Normativo'!$AS$5:$AS$1000,$N28)="","",INDEX('Cronograma R. Normativo'!$AS$5:$AS$1000,$N28)))</f>
        <v/>
      </c>
      <c r="E28" s="56">
        <f>IF($N28="","",IF(NOT(ISNUMBER($D28)),"",IF($D28&lt;InicioCiclo,"Antes del ciclo",IF($D28&gt;=InicioCiclo+28,"Después del ciclo","Semana "&amp;(INT(($D28-InicioCiclo)/7)+1)))))</f>
        <v/>
      </c>
      <c r="F28" s="61">
        <f>IF($N28="","",IF($P28&gt;0,IF(1&lt;=SemanaActual,INDEX('Cronograma R. Normativo'!$AH$5:$AH$1000,$N28),""),IF(INDEX('Cronograma R. Normativo'!$I$5:$I$1000,$N28)="","",INDEX('Cronograma R. Normativo'!$I$5:$I$1000,$N28))))</f>
        <v/>
      </c>
      <c r="G28" s="61">
        <f>IF($N28="","",IF($P28&gt;0,IF(2&lt;=SemanaActual,INDEX('Cronograma R. Normativo'!$AI$5:$AI$1000,$N28),""),IF(INDEX('Cronograma R. Normativo'!$J$5:$J$1000,$N28)="","",INDEX('Cronograma R. Normativo'!$J$5:$J$1000,$N28))))</f>
        <v/>
      </c>
      <c r="H28" s="61">
        <f>IF($N28="","",IF($P28&gt;0,IF(3&lt;=SemanaActual,INDEX('Cronograma R. Normativo'!$AJ$5:$AJ$1000,$N28),""),IF(INDEX('Cronograma R. Normativo'!$K$5:$K$1000,$N28)="","",INDEX('Cronograma R. Normativo'!$K$5:$K$1000,$N28))))</f>
        <v/>
      </c>
      <c r="I28" s="61">
        <f>IF($N28="","",IF($P28&gt;0,IF(4&lt;=SemanaActual,INDEX('Cronograma R. Normativo'!$AK$5:$AK$1000,$N28),""),IF(INDEX('Cronograma R. Normativo'!$L$5:$L$1000,$N28)="","",INDEX('Cronograma R. Normativo'!$L$5:$L$1000,$N28))))</f>
        <v/>
      </c>
      <c r="J28" s="61">
        <f>IF($N28="","",INDEX('Cronograma R. Normativo'!$M$5:$M$1000,$N28))</f>
        <v/>
      </c>
      <c r="K28" s="56">
        <f>IF($N28="","",IF(N($J28)&gt;=1,"Completado",IF(AND(ISNUMBER($D28),$D28&lt;FechaRef),"Vencida",IF(N($J28)&gt;0,"En curso","Pendiente"))))</f>
        <v/>
      </c>
      <c r="L28" s="56">
        <f>IF($N28="","",INDEX('Cronograma R. Normativo'!$O$5:$O$1000,$N28)&amp;"")</f>
        <v/>
      </c>
      <c r="M28" s="62">
        <f>IF($N28="","",INDEX('Cronograma R. Normativo'!$Q$5:$Q$1000,$N28)&amp;"")</f>
        <v/>
      </c>
      <c r="N28">
        <f>IFERROR(MATCH(ROW()-4,rOrden_RN,0),"")</f>
        <v/>
      </c>
      <c r="O28">
        <f>IF($N28="","",INDEX('Cronograma R. Normativo'!$V$5:$V$1000,$N28))</f>
        <v/>
      </c>
      <c r="P28">
        <f>IF($N28="","",N(INDEX('Cronograma R. Normativo'!$W$5:$W$1000,$N28)))</f>
        <v/>
      </c>
      <c r="Q28">
        <f>IF(OR(LEFT($L28,7)="Vencida",LEFT($L28,5)="Vence"),SUMPRODUCT(--(LEFT($L$5:$L28,7)="Vencida"))+SUMPRODUCT(--(LEFT($L$5:$L28,5)="Vence")),"")</f>
        <v/>
      </c>
    </row>
    <row r="29">
      <c r="A29" s="56">
        <f>IF($N29="","",INDEX('Cronograma R. Normativo'!$A$5:$A$1000,$N29))</f>
        <v/>
      </c>
      <c r="B29" s="62">
        <f>IF($N29="","",IF($O29="Sub","      ↳  "&amp;INDEX('Cronograma R. Normativo'!$C$5:$C$1000,$N29),INDEX('Cronograma R. Normativo'!$C$5:$C$1000,$N29)&amp;""))</f>
        <v/>
      </c>
      <c r="C29" s="79">
        <f>IF($N29="","",IF(INDEX('Cronograma R. Normativo'!$AR$5:$AR$1000,$N29)="","",INDEX('Cronograma R. Normativo'!$AR$5:$AR$1000,$N29)))</f>
        <v/>
      </c>
      <c r="D29" s="79">
        <f>IF($N29="","",IF(INDEX('Cronograma R. Normativo'!$AS$5:$AS$1000,$N29)="","",INDEX('Cronograma R. Normativo'!$AS$5:$AS$1000,$N29)))</f>
        <v/>
      </c>
      <c r="E29" s="56">
        <f>IF($N29="","",IF(NOT(ISNUMBER($D29)),"",IF($D29&lt;InicioCiclo,"Antes del ciclo",IF($D29&gt;=InicioCiclo+28,"Después del ciclo","Semana "&amp;(INT(($D29-InicioCiclo)/7)+1)))))</f>
        <v/>
      </c>
      <c r="F29" s="61">
        <f>IF($N29="","",IF($P29&gt;0,IF(1&lt;=SemanaActual,INDEX('Cronograma R. Normativo'!$AH$5:$AH$1000,$N29),""),IF(INDEX('Cronograma R. Normativo'!$I$5:$I$1000,$N29)="","",INDEX('Cronograma R. Normativo'!$I$5:$I$1000,$N29))))</f>
        <v/>
      </c>
      <c r="G29" s="61">
        <f>IF($N29="","",IF($P29&gt;0,IF(2&lt;=SemanaActual,INDEX('Cronograma R. Normativo'!$AI$5:$AI$1000,$N29),""),IF(INDEX('Cronograma R. Normativo'!$J$5:$J$1000,$N29)="","",INDEX('Cronograma R. Normativo'!$J$5:$J$1000,$N29))))</f>
        <v/>
      </c>
      <c r="H29" s="61">
        <f>IF($N29="","",IF($P29&gt;0,IF(3&lt;=SemanaActual,INDEX('Cronograma R. Normativo'!$AJ$5:$AJ$1000,$N29),""),IF(INDEX('Cronograma R. Normativo'!$K$5:$K$1000,$N29)="","",INDEX('Cronograma R. Normativo'!$K$5:$K$1000,$N29))))</f>
        <v/>
      </c>
      <c r="I29" s="61">
        <f>IF($N29="","",IF($P29&gt;0,IF(4&lt;=SemanaActual,INDEX('Cronograma R. Normativo'!$AK$5:$AK$1000,$N29),""),IF(INDEX('Cronograma R. Normativo'!$L$5:$L$1000,$N29)="","",INDEX('Cronograma R. Normativo'!$L$5:$L$1000,$N29))))</f>
        <v/>
      </c>
      <c r="J29" s="61">
        <f>IF($N29="","",INDEX('Cronograma R. Normativo'!$M$5:$M$1000,$N29))</f>
        <v/>
      </c>
      <c r="K29" s="56">
        <f>IF($N29="","",IF(N($J29)&gt;=1,"Completado",IF(AND(ISNUMBER($D29),$D29&lt;FechaRef),"Vencida",IF(N($J29)&gt;0,"En curso","Pendiente"))))</f>
        <v/>
      </c>
      <c r="L29" s="56">
        <f>IF($N29="","",INDEX('Cronograma R. Normativo'!$O$5:$O$1000,$N29)&amp;"")</f>
        <v/>
      </c>
      <c r="M29" s="62">
        <f>IF($N29="","",INDEX('Cronograma R. Normativo'!$Q$5:$Q$1000,$N29)&amp;"")</f>
        <v/>
      </c>
      <c r="N29">
        <f>IFERROR(MATCH(ROW()-4,rOrden_RN,0),"")</f>
        <v/>
      </c>
      <c r="O29">
        <f>IF($N29="","",INDEX('Cronograma R. Normativo'!$V$5:$V$1000,$N29))</f>
        <v/>
      </c>
      <c r="P29">
        <f>IF($N29="","",N(INDEX('Cronograma R. Normativo'!$W$5:$W$1000,$N29)))</f>
        <v/>
      </c>
      <c r="Q29">
        <f>IF(OR(LEFT($L29,7)="Vencida",LEFT($L29,5)="Vence"),SUMPRODUCT(--(LEFT($L$5:$L29,7)="Vencida"))+SUMPRODUCT(--(LEFT($L$5:$L29,5)="Vence")),"")</f>
        <v/>
      </c>
    </row>
    <row r="30">
      <c r="A30" s="56">
        <f>IF($N30="","",INDEX('Cronograma R. Normativo'!$A$5:$A$1000,$N30))</f>
        <v/>
      </c>
      <c r="B30" s="62">
        <f>IF($N30="","",IF($O30="Sub","      ↳  "&amp;INDEX('Cronograma R. Normativo'!$C$5:$C$1000,$N30),INDEX('Cronograma R. Normativo'!$C$5:$C$1000,$N30)&amp;""))</f>
        <v/>
      </c>
      <c r="C30" s="79">
        <f>IF($N30="","",IF(INDEX('Cronograma R. Normativo'!$AR$5:$AR$1000,$N30)="","",INDEX('Cronograma R. Normativo'!$AR$5:$AR$1000,$N30)))</f>
        <v/>
      </c>
      <c r="D30" s="79">
        <f>IF($N30="","",IF(INDEX('Cronograma R. Normativo'!$AS$5:$AS$1000,$N30)="","",INDEX('Cronograma R. Normativo'!$AS$5:$AS$1000,$N30)))</f>
        <v/>
      </c>
      <c r="E30" s="56">
        <f>IF($N30="","",IF(NOT(ISNUMBER($D30)),"",IF($D30&lt;InicioCiclo,"Antes del ciclo",IF($D30&gt;=InicioCiclo+28,"Después del ciclo","Semana "&amp;(INT(($D30-InicioCiclo)/7)+1)))))</f>
        <v/>
      </c>
      <c r="F30" s="61">
        <f>IF($N30="","",IF($P30&gt;0,IF(1&lt;=SemanaActual,INDEX('Cronograma R. Normativo'!$AH$5:$AH$1000,$N30),""),IF(INDEX('Cronograma R. Normativo'!$I$5:$I$1000,$N30)="","",INDEX('Cronograma R. Normativo'!$I$5:$I$1000,$N30))))</f>
        <v/>
      </c>
      <c r="G30" s="61">
        <f>IF($N30="","",IF($P30&gt;0,IF(2&lt;=SemanaActual,INDEX('Cronograma R. Normativo'!$AI$5:$AI$1000,$N30),""),IF(INDEX('Cronograma R. Normativo'!$J$5:$J$1000,$N30)="","",INDEX('Cronograma R. Normativo'!$J$5:$J$1000,$N30))))</f>
        <v/>
      </c>
      <c r="H30" s="61">
        <f>IF($N30="","",IF($P30&gt;0,IF(3&lt;=SemanaActual,INDEX('Cronograma R. Normativo'!$AJ$5:$AJ$1000,$N30),""),IF(INDEX('Cronograma R. Normativo'!$K$5:$K$1000,$N30)="","",INDEX('Cronograma R. Normativo'!$K$5:$K$1000,$N30))))</f>
        <v/>
      </c>
      <c r="I30" s="61">
        <f>IF($N30="","",IF($P30&gt;0,IF(4&lt;=SemanaActual,INDEX('Cronograma R. Normativo'!$AK$5:$AK$1000,$N30),""),IF(INDEX('Cronograma R. Normativo'!$L$5:$L$1000,$N30)="","",INDEX('Cronograma R. Normativo'!$L$5:$L$1000,$N30))))</f>
        <v/>
      </c>
      <c r="J30" s="61">
        <f>IF($N30="","",INDEX('Cronograma R. Normativo'!$M$5:$M$1000,$N30))</f>
        <v/>
      </c>
      <c r="K30" s="56">
        <f>IF($N30="","",IF(N($J30)&gt;=1,"Completado",IF(AND(ISNUMBER($D30),$D30&lt;FechaRef),"Vencida",IF(N($J30)&gt;0,"En curso","Pendiente"))))</f>
        <v/>
      </c>
      <c r="L30" s="56">
        <f>IF($N30="","",INDEX('Cronograma R. Normativo'!$O$5:$O$1000,$N30)&amp;"")</f>
        <v/>
      </c>
      <c r="M30" s="62">
        <f>IF($N30="","",INDEX('Cronograma R. Normativo'!$Q$5:$Q$1000,$N30)&amp;"")</f>
        <v/>
      </c>
      <c r="N30">
        <f>IFERROR(MATCH(ROW()-4,rOrden_RN,0),"")</f>
        <v/>
      </c>
      <c r="O30">
        <f>IF($N30="","",INDEX('Cronograma R. Normativo'!$V$5:$V$1000,$N30))</f>
        <v/>
      </c>
      <c r="P30">
        <f>IF($N30="","",N(INDEX('Cronograma R. Normativo'!$W$5:$W$1000,$N30)))</f>
        <v/>
      </c>
      <c r="Q30">
        <f>IF(OR(LEFT($L30,7)="Vencida",LEFT($L30,5)="Vence"),SUMPRODUCT(--(LEFT($L$5:$L30,7)="Vencida"))+SUMPRODUCT(--(LEFT($L$5:$L30,5)="Vence")),"")</f>
        <v/>
      </c>
    </row>
    <row r="31">
      <c r="A31" s="56">
        <f>IF($N31="","",INDEX('Cronograma R. Normativo'!$A$5:$A$1000,$N31))</f>
        <v/>
      </c>
      <c r="B31" s="62">
        <f>IF($N31="","",IF($O31="Sub","      ↳  "&amp;INDEX('Cronograma R. Normativo'!$C$5:$C$1000,$N31),INDEX('Cronograma R. Normativo'!$C$5:$C$1000,$N31)&amp;""))</f>
        <v/>
      </c>
      <c r="C31" s="79">
        <f>IF($N31="","",IF(INDEX('Cronograma R. Normativo'!$AR$5:$AR$1000,$N31)="","",INDEX('Cronograma R. Normativo'!$AR$5:$AR$1000,$N31)))</f>
        <v/>
      </c>
      <c r="D31" s="79">
        <f>IF($N31="","",IF(INDEX('Cronograma R. Normativo'!$AS$5:$AS$1000,$N31)="","",INDEX('Cronograma R. Normativo'!$AS$5:$AS$1000,$N31)))</f>
        <v/>
      </c>
      <c r="E31" s="56">
        <f>IF($N31="","",IF(NOT(ISNUMBER($D31)),"",IF($D31&lt;InicioCiclo,"Antes del ciclo",IF($D31&gt;=InicioCiclo+28,"Después del ciclo","Semana "&amp;(INT(($D31-InicioCiclo)/7)+1)))))</f>
        <v/>
      </c>
      <c r="F31" s="61">
        <f>IF($N31="","",IF($P31&gt;0,IF(1&lt;=SemanaActual,INDEX('Cronograma R. Normativo'!$AH$5:$AH$1000,$N31),""),IF(INDEX('Cronograma R. Normativo'!$I$5:$I$1000,$N31)="","",INDEX('Cronograma R. Normativo'!$I$5:$I$1000,$N31))))</f>
        <v/>
      </c>
      <c r="G31" s="61">
        <f>IF($N31="","",IF($P31&gt;0,IF(2&lt;=SemanaActual,INDEX('Cronograma R. Normativo'!$AI$5:$AI$1000,$N31),""),IF(INDEX('Cronograma R. Normativo'!$J$5:$J$1000,$N31)="","",INDEX('Cronograma R. Normativo'!$J$5:$J$1000,$N31))))</f>
        <v/>
      </c>
      <c r="H31" s="61">
        <f>IF($N31="","",IF($P31&gt;0,IF(3&lt;=SemanaActual,INDEX('Cronograma R. Normativo'!$AJ$5:$AJ$1000,$N31),""),IF(INDEX('Cronograma R. Normativo'!$K$5:$K$1000,$N31)="","",INDEX('Cronograma R. Normativo'!$K$5:$K$1000,$N31))))</f>
        <v/>
      </c>
      <c r="I31" s="61">
        <f>IF($N31="","",IF($P31&gt;0,IF(4&lt;=SemanaActual,INDEX('Cronograma R. Normativo'!$AK$5:$AK$1000,$N31),""),IF(INDEX('Cronograma R. Normativo'!$L$5:$L$1000,$N31)="","",INDEX('Cronograma R. Normativo'!$L$5:$L$1000,$N31))))</f>
        <v/>
      </c>
      <c r="J31" s="61">
        <f>IF($N31="","",INDEX('Cronograma R. Normativo'!$M$5:$M$1000,$N31))</f>
        <v/>
      </c>
      <c r="K31" s="56">
        <f>IF($N31="","",IF(N($J31)&gt;=1,"Completado",IF(AND(ISNUMBER($D31),$D31&lt;FechaRef),"Vencida",IF(N($J31)&gt;0,"En curso","Pendiente"))))</f>
        <v/>
      </c>
      <c r="L31" s="56">
        <f>IF($N31="","",INDEX('Cronograma R. Normativo'!$O$5:$O$1000,$N31)&amp;"")</f>
        <v/>
      </c>
      <c r="M31" s="62">
        <f>IF($N31="","",INDEX('Cronograma R. Normativo'!$Q$5:$Q$1000,$N31)&amp;"")</f>
        <v/>
      </c>
      <c r="N31">
        <f>IFERROR(MATCH(ROW()-4,rOrden_RN,0),"")</f>
        <v/>
      </c>
      <c r="O31">
        <f>IF($N31="","",INDEX('Cronograma R. Normativo'!$V$5:$V$1000,$N31))</f>
        <v/>
      </c>
      <c r="P31">
        <f>IF($N31="","",N(INDEX('Cronograma R. Normativo'!$W$5:$W$1000,$N31)))</f>
        <v/>
      </c>
      <c r="Q31">
        <f>IF(OR(LEFT($L31,7)="Vencida",LEFT($L31,5)="Vence"),SUMPRODUCT(--(LEFT($L$5:$L31,7)="Vencida"))+SUMPRODUCT(--(LEFT($L$5:$L31,5)="Vence")),"")</f>
        <v/>
      </c>
    </row>
    <row r="32">
      <c r="A32" s="56">
        <f>IF($N32="","",INDEX('Cronograma R. Normativo'!$A$5:$A$1000,$N32))</f>
        <v/>
      </c>
      <c r="B32" s="62">
        <f>IF($N32="","",IF($O32="Sub","      ↳  "&amp;INDEX('Cronograma R. Normativo'!$C$5:$C$1000,$N32),INDEX('Cronograma R. Normativo'!$C$5:$C$1000,$N32)&amp;""))</f>
        <v/>
      </c>
      <c r="C32" s="79">
        <f>IF($N32="","",IF(INDEX('Cronograma R. Normativo'!$AR$5:$AR$1000,$N32)="","",INDEX('Cronograma R. Normativo'!$AR$5:$AR$1000,$N32)))</f>
        <v/>
      </c>
      <c r="D32" s="79">
        <f>IF($N32="","",IF(INDEX('Cronograma R. Normativo'!$AS$5:$AS$1000,$N32)="","",INDEX('Cronograma R. Normativo'!$AS$5:$AS$1000,$N32)))</f>
        <v/>
      </c>
      <c r="E32" s="56">
        <f>IF($N32="","",IF(NOT(ISNUMBER($D32)),"",IF($D32&lt;InicioCiclo,"Antes del ciclo",IF($D32&gt;=InicioCiclo+28,"Después del ciclo","Semana "&amp;(INT(($D32-InicioCiclo)/7)+1)))))</f>
        <v/>
      </c>
      <c r="F32" s="61">
        <f>IF($N32="","",IF($P32&gt;0,IF(1&lt;=SemanaActual,INDEX('Cronograma R. Normativo'!$AH$5:$AH$1000,$N32),""),IF(INDEX('Cronograma R. Normativo'!$I$5:$I$1000,$N32)="","",INDEX('Cronograma R. Normativo'!$I$5:$I$1000,$N32))))</f>
        <v/>
      </c>
      <c r="G32" s="61">
        <f>IF($N32="","",IF($P32&gt;0,IF(2&lt;=SemanaActual,INDEX('Cronograma R. Normativo'!$AI$5:$AI$1000,$N32),""),IF(INDEX('Cronograma R. Normativo'!$J$5:$J$1000,$N32)="","",INDEX('Cronograma R. Normativo'!$J$5:$J$1000,$N32))))</f>
        <v/>
      </c>
      <c r="H32" s="61">
        <f>IF($N32="","",IF($P32&gt;0,IF(3&lt;=SemanaActual,INDEX('Cronograma R. Normativo'!$AJ$5:$AJ$1000,$N32),""),IF(INDEX('Cronograma R. Normativo'!$K$5:$K$1000,$N32)="","",INDEX('Cronograma R. Normativo'!$K$5:$K$1000,$N32))))</f>
        <v/>
      </c>
      <c r="I32" s="61">
        <f>IF($N32="","",IF($P32&gt;0,IF(4&lt;=SemanaActual,INDEX('Cronograma R. Normativo'!$AK$5:$AK$1000,$N32),""),IF(INDEX('Cronograma R. Normativo'!$L$5:$L$1000,$N32)="","",INDEX('Cronograma R. Normativo'!$L$5:$L$1000,$N32))))</f>
        <v/>
      </c>
      <c r="J32" s="61">
        <f>IF($N32="","",INDEX('Cronograma R. Normativo'!$M$5:$M$1000,$N32))</f>
        <v/>
      </c>
      <c r="K32" s="56">
        <f>IF($N32="","",IF(N($J32)&gt;=1,"Completado",IF(AND(ISNUMBER($D32),$D32&lt;FechaRef),"Vencida",IF(N($J32)&gt;0,"En curso","Pendiente"))))</f>
        <v/>
      </c>
      <c r="L32" s="56">
        <f>IF($N32="","",INDEX('Cronograma R. Normativo'!$O$5:$O$1000,$N32)&amp;"")</f>
        <v/>
      </c>
      <c r="M32" s="62">
        <f>IF($N32="","",INDEX('Cronograma R. Normativo'!$Q$5:$Q$1000,$N32)&amp;"")</f>
        <v/>
      </c>
      <c r="N32">
        <f>IFERROR(MATCH(ROW()-4,rOrden_RN,0),"")</f>
        <v/>
      </c>
      <c r="O32">
        <f>IF($N32="","",INDEX('Cronograma R. Normativo'!$V$5:$V$1000,$N32))</f>
        <v/>
      </c>
      <c r="P32">
        <f>IF($N32="","",N(INDEX('Cronograma R. Normativo'!$W$5:$W$1000,$N32)))</f>
        <v/>
      </c>
      <c r="Q32">
        <f>IF(OR(LEFT($L32,7)="Vencida",LEFT($L32,5)="Vence"),SUMPRODUCT(--(LEFT($L$5:$L32,7)="Vencida"))+SUMPRODUCT(--(LEFT($L$5:$L32,5)="Vence")),"")</f>
        <v/>
      </c>
    </row>
    <row r="33">
      <c r="A33" s="56">
        <f>IF($N33="","",INDEX('Cronograma R. Normativo'!$A$5:$A$1000,$N33))</f>
        <v/>
      </c>
      <c r="B33" s="62">
        <f>IF($N33="","",IF($O33="Sub","      ↳  "&amp;INDEX('Cronograma R. Normativo'!$C$5:$C$1000,$N33),INDEX('Cronograma R. Normativo'!$C$5:$C$1000,$N33)&amp;""))</f>
        <v/>
      </c>
      <c r="C33" s="79">
        <f>IF($N33="","",IF(INDEX('Cronograma R. Normativo'!$AR$5:$AR$1000,$N33)="","",INDEX('Cronograma R. Normativo'!$AR$5:$AR$1000,$N33)))</f>
        <v/>
      </c>
      <c r="D33" s="79">
        <f>IF($N33="","",IF(INDEX('Cronograma R. Normativo'!$AS$5:$AS$1000,$N33)="","",INDEX('Cronograma R. Normativo'!$AS$5:$AS$1000,$N33)))</f>
        <v/>
      </c>
      <c r="E33" s="56">
        <f>IF($N33="","",IF(NOT(ISNUMBER($D33)),"",IF($D33&lt;InicioCiclo,"Antes del ciclo",IF($D33&gt;=InicioCiclo+28,"Después del ciclo","Semana "&amp;(INT(($D33-InicioCiclo)/7)+1)))))</f>
        <v/>
      </c>
      <c r="F33" s="61">
        <f>IF($N33="","",IF($P33&gt;0,IF(1&lt;=SemanaActual,INDEX('Cronograma R. Normativo'!$AH$5:$AH$1000,$N33),""),IF(INDEX('Cronograma R. Normativo'!$I$5:$I$1000,$N33)="","",INDEX('Cronograma R. Normativo'!$I$5:$I$1000,$N33))))</f>
        <v/>
      </c>
      <c r="G33" s="61">
        <f>IF($N33="","",IF($P33&gt;0,IF(2&lt;=SemanaActual,INDEX('Cronograma R. Normativo'!$AI$5:$AI$1000,$N33),""),IF(INDEX('Cronograma R. Normativo'!$J$5:$J$1000,$N33)="","",INDEX('Cronograma R. Normativo'!$J$5:$J$1000,$N33))))</f>
        <v/>
      </c>
      <c r="H33" s="61">
        <f>IF($N33="","",IF($P33&gt;0,IF(3&lt;=SemanaActual,INDEX('Cronograma R. Normativo'!$AJ$5:$AJ$1000,$N33),""),IF(INDEX('Cronograma R. Normativo'!$K$5:$K$1000,$N33)="","",INDEX('Cronograma R. Normativo'!$K$5:$K$1000,$N33))))</f>
        <v/>
      </c>
      <c r="I33" s="61">
        <f>IF($N33="","",IF($P33&gt;0,IF(4&lt;=SemanaActual,INDEX('Cronograma R. Normativo'!$AK$5:$AK$1000,$N33),""),IF(INDEX('Cronograma R. Normativo'!$L$5:$L$1000,$N33)="","",INDEX('Cronograma R. Normativo'!$L$5:$L$1000,$N33))))</f>
        <v/>
      </c>
      <c r="J33" s="61">
        <f>IF($N33="","",INDEX('Cronograma R. Normativo'!$M$5:$M$1000,$N33))</f>
        <v/>
      </c>
      <c r="K33" s="56">
        <f>IF($N33="","",IF(N($J33)&gt;=1,"Completado",IF(AND(ISNUMBER($D33),$D33&lt;FechaRef),"Vencida",IF(N($J33)&gt;0,"En curso","Pendiente"))))</f>
        <v/>
      </c>
      <c r="L33" s="56">
        <f>IF($N33="","",INDEX('Cronograma R. Normativo'!$O$5:$O$1000,$N33)&amp;"")</f>
        <v/>
      </c>
      <c r="M33" s="62">
        <f>IF($N33="","",INDEX('Cronograma R. Normativo'!$Q$5:$Q$1000,$N33)&amp;"")</f>
        <v/>
      </c>
      <c r="N33">
        <f>IFERROR(MATCH(ROW()-4,rOrden_RN,0),"")</f>
        <v/>
      </c>
      <c r="O33">
        <f>IF($N33="","",INDEX('Cronograma R. Normativo'!$V$5:$V$1000,$N33))</f>
        <v/>
      </c>
      <c r="P33">
        <f>IF($N33="","",N(INDEX('Cronograma R. Normativo'!$W$5:$W$1000,$N33)))</f>
        <v/>
      </c>
      <c r="Q33">
        <f>IF(OR(LEFT($L33,7)="Vencida",LEFT($L33,5)="Vence"),SUMPRODUCT(--(LEFT($L$5:$L33,7)="Vencida"))+SUMPRODUCT(--(LEFT($L$5:$L33,5)="Vence")),"")</f>
        <v/>
      </c>
    </row>
    <row r="34">
      <c r="A34" s="56">
        <f>IF($N34="","",INDEX('Cronograma R. Normativo'!$A$5:$A$1000,$N34))</f>
        <v/>
      </c>
      <c r="B34" s="62">
        <f>IF($N34="","",IF($O34="Sub","      ↳  "&amp;INDEX('Cronograma R. Normativo'!$C$5:$C$1000,$N34),INDEX('Cronograma R. Normativo'!$C$5:$C$1000,$N34)&amp;""))</f>
        <v/>
      </c>
      <c r="C34" s="79">
        <f>IF($N34="","",IF(INDEX('Cronograma R. Normativo'!$AR$5:$AR$1000,$N34)="","",INDEX('Cronograma R. Normativo'!$AR$5:$AR$1000,$N34)))</f>
        <v/>
      </c>
      <c r="D34" s="79">
        <f>IF($N34="","",IF(INDEX('Cronograma R. Normativo'!$AS$5:$AS$1000,$N34)="","",INDEX('Cronograma R. Normativo'!$AS$5:$AS$1000,$N34)))</f>
        <v/>
      </c>
      <c r="E34" s="56">
        <f>IF($N34="","",IF(NOT(ISNUMBER($D34)),"",IF($D34&lt;InicioCiclo,"Antes del ciclo",IF($D34&gt;=InicioCiclo+28,"Después del ciclo","Semana "&amp;(INT(($D34-InicioCiclo)/7)+1)))))</f>
        <v/>
      </c>
      <c r="F34" s="61">
        <f>IF($N34="","",IF($P34&gt;0,IF(1&lt;=SemanaActual,INDEX('Cronograma R. Normativo'!$AH$5:$AH$1000,$N34),""),IF(INDEX('Cronograma R. Normativo'!$I$5:$I$1000,$N34)="","",INDEX('Cronograma R. Normativo'!$I$5:$I$1000,$N34))))</f>
        <v/>
      </c>
      <c r="G34" s="61">
        <f>IF($N34="","",IF($P34&gt;0,IF(2&lt;=SemanaActual,INDEX('Cronograma R. Normativo'!$AI$5:$AI$1000,$N34),""),IF(INDEX('Cronograma R. Normativo'!$J$5:$J$1000,$N34)="","",INDEX('Cronograma R. Normativo'!$J$5:$J$1000,$N34))))</f>
        <v/>
      </c>
      <c r="H34" s="61">
        <f>IF($N34="","",IF($P34&gt;0,IF(3&lt;=SemanaActual,INDEX('Cronograma R. Normativo'!$AJ$5:$AJ$1000,$N34),""),IF(INDEX('Cronograma R. Normativo'!$K$5:$K$1000,$N34)="","",INDEX('Cronograma R. Normativo'!$K$5:$K$1000,$N34))))</f>
        <v/>
      </c>
      <c r="I34" s="61">
        <f>IF($N34="","",IF($P34&gt;0,IF(4&lt;=SemanaActual,INDEX('Cronograma R. Normativo'!$AK$5:$AK$1000,$N34),""),IF(INDEX('Cronograma R. Normativo'!$L$5:$L$1000,$N34)="","",INDEX('Cronograma R. Normativo'!$L$5:$L$1000,$N34))))</f>
        <v/>
      </c>
      <c r="J34" s="61">
        <f>IF($N34="","",INDEX('Cronograma R. Normativo'!$M$5:$M$1000,$N34))</f>
        <v/>
      </c>
      <c r="K34" s="56">
        <f>IF($N34="","",IF(N($J34)&gt;=1,"Completado",IF(AND(ISNUMBER($D34),$D34&lt;FechaRef),"Vencida",IF(N($J34)&gt;0,"En curso","Pendiente"))))</f>
        <v/>
      </c>
      <c r="L34" s="56">
        <f>IF($N34="","",INDEX('Cronograma R. Normativo'!$O$5:$O$1000,$N34)&amp;"")</f>
        <v/>
      </c>
      <c r="M34" s="62">
        <f>IF($N34="","",INDEX('Cronograma R. Normativo'!$Q$5:$Q$1000,$N34)&amp;"")</f>
        <v/>
      </c>
      <c r="N34">
        <f>IFERROR(MATCH(ROW()-4,rOrden_RN,0),"")</f>
        <v/>
      </c>
      <c r="O34">
        <f>IF($N34="","",INDEX('Cronograma R. Normativo'!$V$5:$V$1000,$N34))</f>
        <v/>
      </c>
      <c r="P34">
        <f>IF($N34="","",N(INDEX('Cronograma R. Normativo'!$W$5:$W$1000,$N34)))</f>
        <v/>
      </c>
      <c r="Q34">
        <f>IF(OR(LEFT($L34,7)="Vencida",LEFT($L34,5)="Vence"),SUMPRODUCT(--(LEFT($L$5:$L34,7)="Vencida"))+SUMPRODUCT(--(LEFT($L$5:$L34,5)="Vence")),"")</f>
        <v/>
      </c>
    </row>
    <row r="35">
      <c r="A35" s="56">
        <f>IF($N35="","",INDEX('Cronograma R. Normativo'!$A$5:$A$1000,$N35))</f>
        <v/>
      </c>
      <c r="B35" s="62">
        <f>IF($N35="","",IF($O35="Sub","      ↳  "&amp;INDEX('Cronograma R. Normativo'!$C$5:$C$1000,$N35),INDEX('Cronograma R. Normativo'!$C$5:$C$1000,$N35)&amp;""))</f>
        <v/>
      </c>
      <c r="C35" s="79">
        <f>IF($N35="","",IF(INDEX('Cronograma R. Normativo'!$AR$5:$AR$1000,$N35)="","",INDEX('Cronograma R. Normativo'!$AR$5:$AR$1000,$N35)))</f>
        <v/>
      </c>
      <c r="D35" s="79">
        <f>IF($N35="","",IF(INDEX('Cronograma R. Normativo'!$AS$5:$AS$1000,$N35)="","",INDEX('Cronograma R. Normativo'!$AS$5:$AS$1000,$N35)))</f>
        <v/>
      </c>
      <c r="E35" s="56">
        <f>IF($N35="","",IF(NOT(ISNUMBER($D35)),"",IF($D35&lt;InicioCiclo,"Antes del ciclo",IF($D35&gt;=InicioCiclo+28,"Después del ciclo","Semana "&amp;(INT(($D35-InicioCiclo)/7)+1)))))</f>
        <v/>
      </c>
      <c r="F35" s="61">
        <f>IF($N35="","",IF($P35&gt;0,IF(1&lt;=SemanaActual,INDEX('Cronograma R. Normativo'!$AH$5:$AH$1000,$N35),""),IF(INDEX('Cronograma R. Normativo'!$I$5:$I$1000,$N35)="","",INDEX('Cronograma R. Normativo'!$I$5:$I$1000,$N35))))</f>
        <v/>
      </c>
      <c r="G35" s="61">
        <f>IF($N35="","",IF($P35&gt;0,IF(2&lt;=SemanaActual,INDEX('Cronograma R. Normativo'!$AI$5:$AI$1000,$N35),""),IF(INDEX('Cronograma R. Normativo'!$J$5:$J$1000,$N35)="","",INDEX('Cronograma R. Normativo'!$J$5:$J$1000,$N35))))</f>
        <v/>
      </c>
      <c r="H35" s="61">
        <f>IF($N35="","",IF($P35&gt;0,IF(3&lt;=SemanaActual,INDEX('Cronograma R. Normativo'!$AJ$5:$AJ$1000,$N35),""),IF(INDEX('Cronograma R. Normativo'!$K$5:$K$1000,$N35)="","",INDEX('Cronograma R. Normativo'!$K$5:$K$1000,$N35))))</f>
        <v/>
      </c>
      <c r="I35" s="61">
        <f>IF($N35="","",IF($P35&gt;0,IF(4&lt;=SemanaActual,INDEX('Cronograma R. Normativo'!$AK$5:$AK$1000,$N35),""),IF(INDEX('Cronograma R. Normativo'!$L$5:$L$1000,$N35)="","",INDEX('Cronograma R. Normativo'!$L$5:$L$1000,$N35))))</f>
        <v/>
      </c>
      <c r="J35" s="61">
        <f>IF($N35="","",INDEX('Cronograma R. Normativo'!$M$5:$M$1000,$N35))</f>
        <v/>
      </c>
      <c r="K35" s="56">
        <f>IF($N35="","",IF(N($J35)&gt;=1,"Completado",IF(AND(ISNUMBER($D35),$D35&lt;FechaRef),"Vencida",IF(N($J35)&gt;0,"En curso","Pendiente"))))</f>
        <v/>
      </c>
      <c r="L35" s="56">
        <f>IF($N35="","",INDEX('Cronograma R. Normativo'!$O$5:$O$1000,$N35)&amp;"")</f>
        <v/>
      </c>
      <c r="M35" s="62">
        <f>IF($N35="","",INDEX('Cronograma R. Normativo'!$Q$5:$Q$1000,$N35)&amp;"")</f>
        <v/>
      </c>
      <c r="N35">
        <f>IFERROR(MATCH(ROW()-4,rOrden_RN,0),"")</f>
        <v/>
      </c>
      <c r="O35">
        <f>IF($N35="","",INDEX('Cronograma R. Normativo'!$V$5:$V$1000,$N35))</f>
        <v/>
      </c>
      <c r="P35">
        <f>IF($N35="","",N(INDEX('Cronograma R. Normativo'!$W$5:$W$1000,$N35)))</f>
        <v/>
      </c>
      <c r="Q35">
        <f>IF(OR(LEFT($L35,7)="Vencida",LEFT($L35,5)="Vence"),SUMPRODUCT(--(LEFT($L$5:$L35,7)="Vencida"))+SUMPRODUCT(--(LEFT($L$5:$L35,5)="Vence")),"")</f>
        <v/>
      </c>
    </row>
    <row r="36">
      <c r="A36" s="56">
        <f>IF($N36="","",INDEX('Cronograma R. Normativo'!$A$5:$A$1000,$N36))</f>
        <v/>
      </c>
      <c r="B36" s="62">
        <f>IF($N36="","",IF($O36="Sub","      ↳  "&amp;INDEX('Cronograma R. Normativo'!$C$5:$C$1000,$N36),INDEX('Cronograma R. Normativo'!$C$5:$C$1000,$N36)&amp;""))</f>
        <v/>
      </c>
      <c r="C36" s="79">
        <f>IF($N36="","",IF(INDEX('Cronograma R. Normativo'!$AR$5:$AR$1000,$N36)="","",INDEX('Cronograma R. Normativo'!$AR$5:$AR$1000,$N36)))</f>
        <v/>
      </c>
      <c r="D36" s="79">
        <f>IF($N36="","",IF(INDEX('Cronograma R. Normativo'!$AS$5:$AS$1000,$N36)="","",INDEX('Cronograma R. Normativo'!$AS$5:$AS$1000,$N36)))</f>
        <v/>
      </c>
      <c r="E36" s="56">
        <f>IF($N36="","",IF(NOT(ISNUMBER($D36)),"",IF($D36&lt;InicioCiclo,"Antes del ciclo",IF($D36&gt;=InicioCiclo+28,"Después del ciclo","Semana "&amp;(INT(($D36-InicioCiclo)/7)+1)))))</f>
        <v/>
      </c>
      <c r="F36" s="61">
        <f>IF($N36="","",IF($P36&gt;0,IF(1&lt;=SemanaActual,INDEX('Cronograma R. Normativo'!$AH$5:$AH$1000,$N36),""),IF(INDEX('Cronograma R. Normativo'!$I$5:$I$1000,$N36)="","",INDEX('Cronograma R. Normativo'!$I$5:$I$1000,$N36))))</f>
        <v/>
      </c>
      <c r="G36" s="61">
        <f>IF($N36="","",IF($P36&gt;0,IF(2&lt;=SemanaActual,INDEX('Cronograma R. Normativo'!$AI$5:$AI$1000,$N36),""),IF(INDEX('Cronograma R. Normativo'!$J$5:$J$1000,$N36)="","",INDEX('Cronograma R. Normativo'!$J$5:$J$1000,$N36))))</f>
        <v/>
      </c>
      <c r="H36" s="61">
        <f>IF($N36="","",IF($P36&gt;0,IF(3&lt;=SemanaActual,INDEX('Cronograma R. Normativo'!$AJ$5:$AJ$1000,$N36),""),IF(INDEX('Cronograma R. Normativo'!$K$5:$K$1000,$N36)="","",INDEX('Cronograma R. Normativo'!$K$5:$K$1000,$N36))))</f>
        <v/>
      </c>
      <c r="I36" s="61">
        <f>IF($N36="","",IF($P36&gt;0,IF(4&lt;=SemanaActual,INDEX('Cronograma R. Normativo'!$AK$5:$AK$1000,$N36),""),IF(INDEX('Cronograma R. Normativo'!$L$5:$L$1000,$N36)="","",INDEX('Cronograma R. Normativo'!$L$5:$L$1000,$N36))))</f>
        <v/>
      </c>
      <c r="J36" s="61">
        <f>IF($N36="","",INDEX('Cronograma R. Normativo'!$M$5:$M$1000,$N36))</f>
        <v/>
      </c>
      <c r="K36" s="56">
        <f>IF($N36="","",IF(N($J36)&gt;=1,"Completado",IF(AND(ISNUMBER($D36),$D36&lt;FechaRef),"Vencida",IF(N($J36)&gt;0,"En curso","Pendiente"))))</f>
        <v/>
      </c>
      <c r="L36" s="56">
        <f>IF($N36="","",INDEX('Cronograma R. Normativo'!$O$5:$O$1000,$N36)&amp;"")</f>
        <v/>
      </c>
      <c r="M36" s="62">
        <f>IF($N36="","",INDEX('Cronograma R. Normativo'!$Q$5:$Q$1000,$N36)&amp;"")</f>
        <v/>
      </c>
      <c r="N36">
        <f>IFERROR(MATCH(ROW()-4,rOrden_RN,0),"")</f>
        <v/>
      </c>
      <c r="O36">
        <f>IF($N36="","",INDEX('Cronograma R. Normativo'!$V$5:$V$1000,$N36))</f>
        <v/>
      </c>
      <c r="P36">
        <f>IF($N36="","",N(INDEX('Cronograma R. Normativo'!$W$5:$W$1000,$N36)))</f>
        <v/>
      </c>
      <c r="Q36">
        <f>IF(OR(LEFT($L36,7)="Vencida",LEFT($L36,5)="Vence"),SUMPRODUCT(--(LEFT($L$5:$L36,7)="Vencida"))+SUMPRODUCT(--(LEFT($L$5:$L36,5)="Vence")),"")</f>
        <v/>
      </c>
    </row>
    <row r="37">
      <c r="A37" s="56">
        <f>IF($N37="","",INDEX('Cronograma R. Normativo'!$A$5:$A$1000,$N37))</f>
        <v/>
      </c>
      <c r="B37" s="62">
        <f>IF($N37="","",IF($O37="Sub","      ↳  "&amp;INDEX('Cronograma R. Normativo'!$C$5:$C$1000,$N37),INDEX('Cronograma R. Normativo'!$C$5:$C$1000,$N37)&amp;""))</f>
        <v/>
      </c>
      <c r="C37" s="79">
        <f>IF($N37="","",IF(INDEX('Cronograma R. Normativo'!$AR$5:$AR$1000,$N37)="","",INDEX('Cronograma R. Normativo'!$AR$5:$AR$1000,$N37)))</f>
        <v/>
      </c>
      <c r="D37" s="79">
        <f>IF($N37="","",IF(INDEX('Cronograma R. Normativo'!$AS$5:$AS$1000,$N37)="","",INDEX('Cronograma R. Normativo'!$AS$5:$AS$1000,$N37)))</f>
        <v/>
      </c>
      <c r="E37" s="56">
        <f>IF($N37="","",IF(NOT(ISNUMBER($D37)),"",IF($D37&lt;InicioCiclo,"Antes del ciclo",IF($D37&gt;=InicioCiclo+28,"Después del ciclo","Semana "&amp;(INT(($D37-InicioCiclo)/7)+1)))))</f>
        <v/>
      </c>
      <c r="F37" s="61">
        <f>IF($N37="","",IF($P37&gt;0,IF(1&lt;=SemanaActual,INDEX('Cronograma R. Normativo'!$AH$5:$AH$1000,$N37),""),IF(INDEX('Cronograma R. Normativo'!$I$5:$I$1000,$N37)="","",INDEX('Cronograma R. Normativo'!$I$5:$I$1000,$N37))))</f>
        <v/>
      </c>
      <c r="G37" s="61">
        <f>IF($N37="","",IF($P37&gt;0,IF(2&lt;=SemanaActual,INDEX('Cronograma R. Normativo'!$AI$5:$AI$1000,$N37),""),IF(INDEX('Cronograma R. Normativo'!$J$5:$J$1000,$N37)="","",INDEX('Cronograma R. Normativo'!$J$5:$J$1000,$N37))))</f>
        <v/>
      </c>
      <c r="H37" s="61">
        <f>IF($N37="","",IF($P37&gt;0,IF(3&lt;=SemanaActual,INDEX('Cronograma R. Normativo'!$AJ$5:$AJ$1000,$N37),""),IF(INDEX('Cronograma R. Normativo'!$K$5:$K$1000,$N37)="","",INDEX('Cronograma R. Normativo'!$K$5:$K$1000,$N37))))</f>
        <v/>
      </c>
      <c r="I37" s="61">
        <f>IF($N37="","",IF($P37&gt;0,IF(4&lt;=SemanaActual,INDEX('Cronograma R. Normativo'!$AK$5:$AK$1000,$N37),""),IF(INDEX('Cronograma R. Normativo'!$L$5:$L$1000,$N37)="","",INDEX('Cronograma R. Normativo'!$L$5:$L$1000,$N37))))</f>
        <v/>
      </c>
      <c r="J37" s="61">
        <f>IF($N37="","",INDEX('Cronograma R. Normativo'!$M$5:$M$1000,$N37))</f>
        <v/>
      </c>
      <c r="K37" s="56">
        <f>IF($N37="","",IF(N($J37)&gt;=1,"Completado",IF(AND(ISNUMBER($D37),$D37&lt;FechaRef),"Vencida",IF(N($J37)&gt;0,"En curso","Pendiente"))))</f>
        <v/>
      </c>
      <c r="L37" s="56">
        <f>IF($N37="","",INDEX('Cronograma R. Normativo'!$O$5:$O$1000,$N37)&amp;"")</f>
        <v/>
      </c>
      <c r="M37" s="62">
        <f>IF($N37="","",INDEX('Cronograma R. Normativo'!$Q$5:$Q$1000,$N37)&amp;"")</f>
        <v/>
      </c>
      <c r="N37">
        <f>IFERROR(MATCH(ROW()-4,rOrden_RN,0),"")</f>
        <v/>
      </c>
      <c r="O37">
        <f>IF($N37="","",INDEX('Cronograma R. Normativo'!$V$5:$V$1000,$N37))</f>
        <v/>
      </c>
      <c r="P37">
        <f>IF($N37="","",N(INDEX('Cronograma R. Normativo'!$W$5:$W$1000,$N37)))</f>
        <v/>
      </c>
      <c r="Q37">
        <f>IF(OR(LEFT($L37,7)="Vencida",LEFT($L37,5)="Vence"),SUMPRODUCT(--(LEFT($L$5:$L37,7)="Vencida"))+SUMPRODUCT(--(LEFT($L$5:$L37,5)="Vence")),"")</f>
        <v/>
      </c>
    </row>
    <row r="38">
      <c r="A38" s="56">
        <f>IF($N38="","",INDEX('Cronograma R. Normativo'!$A$5:$A$1000,$N38))</f>
        <v/>
      </c>
      <c r="B38" s="62">
        <f>IF($N38="","",IF($O38="Sub","      ↳  "&amp;INDEX('Cronograma R. Normativo'!$C$5:$C$1000,$N38),INDEX('Cronograma R. Normativo'!$C$5:$C$1000,$N38)&amp;""))</f>
        <v/>
      </c>
      <c r="C38" s="79">
        <f>IF($N38="","",IF(INDEX('Cronograma R. Normativo'!$AR$5:$AR$1000,$N38)="","",INDEX('Cronograma R. Normativo'!$AR$5:$AR$1000,$N38)))</f>
        <v/>
      </c>
      <c r="D38" s="79">
        <f>IF($N38="","",IF(INDEX('Cronograma R. Normativo'!$AS$5:$AS$1000,$N38)="","",INDEX('Cronograma R. Normativo'!$AS$5:$AS$1000,$N38)))</f>
        <v/>
      </c>
      <c r="E38" s="56">
        <f>IF($N38="","",IF(NOT(ISNUMBER($D38)),"",IF($D38&lt;InicioCiclo,"Antes del ciclo",IF($D38&gt;=InicioCiclo+28,"Después del ciclo","Semana "&amp;(INT(($D38-InicioCiclo)/7)+1)))))</f>
        <v/>
      </c>
      <c r="F38" s="61">
        <f>IF($N38="","",IF($P38&gt;0,IF(1&lt;=SemanaActual,INDEX('Cronograma R. Normativo'!$AH$5:$AH$1000,$N38),""),IF(INDEX('Cronograma R. Normativo'!$I$5:$I$1000,$N38)="","",INDEX('Cronograma R. Normativo'!$I$5:$I$1000,$N38))))</f>
        <v/>
      </c>
      <c r="G38" s="61">
        <f>IF($N38="","",IF($P38&gt;0,IF(2&lt;=SemanaActual,INDEX('Cronograma R. Normativo'!$AI$5:$AI$1000,$N38),""),IF(INDEX('Cronograma R. Normativo'!$J$5:$J$1000,$N38)="","",INDEX('Cronograma R. Normativo'!$J$5:$J$1000,$N38))))</f>
        <v/>
      </c>
      <c r="H38" s="61">
        <f>IF($N38="","",IF($P38&gt;0,IF(3&lt;=SemanaActual,INDEX('Cronograma R. Normativo'!$AJ$5:$AJ$1000,$N38),""),IF(INDEX('Cronograma R. Normativo'!$K$5:$K$1000,$N38)="","",INDEX('Cronograma R. Normativo'!$K$5:$K$1000,$N38))))</f>
        <v/>
      </c>
      <c r="I38" s="61">
        <f>IF($N38="","",IF($P38&gt;0,IF(4&lt;=SemanaActual,INDEX('Cronograma R. Normativo'!$AK$5:$AK$1000,$N38),""),IF(INDEX('Cronograma R. Normativo'!$L$5:$L$1000,$N38)="","",INDEX('Cronograma R. Normativo'!$L$5:$L$1000,$N38))))</f>
        <v/>
      </c>
      <c r="J38" s="61">
        <f>IF($N38="","",INDEX('Cronograma R. Normativo'!$M$5:$M$1000,$N38))</f>
        <v/>
      </c>
      <c r="K38" s="56">
        <f>IF($N38="","",IF(N($J38)&gt;=1,"Completado",IF(AND(ISNUMBER($D38),$D38&lt;FechaRef),"Vencida",IF(N($J38)&gt;0,"En curso","Pendiente"))))</f>
        <v/>
      </c>
      <c r="L38" s="56">
        <f>IF($N38="","",INDEX('Cronograma R. Normativo'!$O$5:$O$1000,$N38)&amp;"")</f>
        <v/>
      </c>
      <c r="M38" s="62">
        <f>IF($N38="","",INDEX('Cronograma R. Normativo'!$Q$5:$Q$1000,$N38)&amp;"")</f>
        <v/>
      </c>
      <c r="N38">
        <f>IFERROR(MATCH(ROW()-4,rOrden_RN,0),"")</f>
        <v/>
      </c>
      <c r="O38">
        <f>IF($N38="","",INDEX('Cronograma R. Normativo'!$V$5:$V$1000,$N38))</f>
        <v/>
      </c>
      <c r="P38">
        <f>IF($N38="","",N(INDEX('Cronograma R. Normativo'!$W$5:$W$1000,$N38)))</f>
        <v/>
      </c>
      <c r="Q38">
        <f>IF(OR(LEFT($L38,7)="Vencida",LEFT($L38,5)="Vence"),SUMPRODUCT(--(LEFT($L$5:$L38,7)="Vencida"))+SUMPRODUCT(--(LEFT($L$5:$L38,5)="Vence")),"")</f>
        <v/>
      </c>
    </row>
    <row r="39">
      <c r="A39" s="56">
        <f>IF($N39="","",INDEX('Cronograma R. Normativo'!$A$5:$A$1000,$N39))</f>
        <v/>
      </c>
      <c r="B39" s="62">
        <f>IF($N39="","",IF($O39="Sub","      ↳  "&amp;INDEX('Cronograma R. Normativo'!$C$5:$C$1000,$N39),INDEX('Cronograma R. Normativo'!$C$5:$C$1000,$N39)&amp;""))</f>
        <v/>
      </c>
      <c r="C39" s="79">
        <f>IF($N39="","",IF(INDEX('Cronograma R. Normativo'!$AR$5:$AR$1000,$N39)="","",INDEX('Cronograma R. Normativo'!$AR$5:$AR$1000,$N39)))</f>
        <v/>
      </c>
      <c r="D39" s="79">
        <f>IF($N39="","",IF(INDEX('Cronograma R. Normativo'!$AS$5:$AS$1000,$N39)="","",INDEX('Cronograma R. Normativo'!$AS$5:$AS$1000,$N39)))</f>
        <v/>
      </c>
      <c r="E39" s="56">
        <f>IF($N39="","",IF(NOT(ISNUMBER($D39)),"",IF($D39&lt;InicioCiclo,"Antes del ciclo",IF($D39&gt;=InicioCiclo+28,"Después del ciclo","Semana "&amp;(INT(($D39-InicioCiclo)/7)+1)))))</f>
        <v/>
      </c>
      <c r="F39" s="61">
        <f>IF($N39="","",IF($P39&gt;0,IF(1&lt;=SemanaActual,INDEX('Cronograma R. Normativo'!$AH$5:$AH$1000,$N39),""),IF(INDEX('Cronograma R. Normativo'!$I$5:$I$1000,$N39)="","",INDEX('Cronograma R. Normativo'!$I$5:$I$1000,$N39))))</f>
        <v/>
      </c>
      <c r="G39" s="61">
        <f>IF($N39="","",IF($P39&gt;0,IF(2&lt;=SemanaActual,INDEX('Cronograma R. Normativo'!$AI$5:$AI$1000,$N39),""),IF(INDEX('Cronograma R. Normativo'!$J$5:$J$1000,$N39)="","",INDEX('Cronograma R. Normativo'!$J$5:$J$1000,$N39))))</f>
        <v/>
      </c>
      <c r="H39" s="61">
        <f>IF($N39="","",IF($P39&gt;0,IF(3&lt;=SemanaActual,INDEX('Cronograma R. Normativo'!$AJ$5:$AJ$1000,$N39),""),IF(INDEX('Cronograma R. Normativo'!$K$5:$K$1000,$N39)="","",INDEX('Cronograma R. Normativo'!$K$5:$K$1000,$N39))))</f>
        <v/>
      </c>
      <c r="I39" s="61">
        <f>IF($N39="","",IF($P39&gt;0,IF(4&lt;=SemanaActual,INDEX('Cronograma R. Normativo'!$AK$5:$AK$1000,$N39),""),IF(INDEX('Cronograma R. Normativo'!$L$5:$L$1000,$N39)="","",INDEX('Cronograma R. Normativo'!$L$5:$L$1000,$N39))))</f>
        <v/>
      </c>
      <c r="J39" s="61">
        <f>IF($N39="","",INDEX('Cronograma R. Normativo'!$M$5:$M$1000,$N39))</f>
        <v/>
      </c>
      <c r="K39" s="56">
        <f>IF($N39="","",IF(N($J39)&gt;=1,"Completado",IF(AND(ISNUMBER($D39),$D39&lt;FechaRef),"Vencida",IF(N($J39)&gt;0,"En curso","Pendiente"))))</f>
        <v/>
      </c>
      <c r="L39" s="56">
        <f>IF($N39="","",INDEX('Cronograma R. Normativo'!$O$5:$O$1000,$N39)&amp;"")</f>
        <v/>
      </c>
      <c r="M39" s="62">
        <f>IF($N39="","",INDEX('Cronograma R. Normativo'!$Q$5:$Q$1000,$N39)&amp;"")</f>
        <v/>
      </c>
      <c r="N39">
        <f>IFERROR(MATCH(ROW()-4,rOrden_RN,0),"")</f>
        <v/>
      </c>
      <c r="O39">
        <f>IF($N39="","",INDEX('Cronograma R. Normativo'!$V$5:$V$1000,$N39))</f>
        <v/>
      </c>
      <c r="P39">
        <f>IF($N39="","",N(INDEX('Cronograma R. Normativo'!$W$5:$W$1000,$N39)))</f>
        <v/>
      </c>
      <c r="Q39">
        <f>IF(OR(LEFT($L39,7)="Vencida",LEFT($L39,5)="Vence"),SUMPRODUCT(--(LEFT($L$5:$L39,7)="Vencida"))+SUMPRODUCT(--(LEFT($L$5:$L39,5)="Vence")),"")</f>
        <v/>
      </c>
    </row>
    <row r="40">
      <c r="A40" s="56">
        <f>IF($N40="","",INDEX('Cronograma R. Normativo'!$A$5:$A$1000,$N40))</f>
        <v/>
      </c>
      <c r="B40" s="62">
        <f>IF($N40="","",IF($O40="Sub","      ↳  "&amp;INDEX('Cronograma R. Normativo'!$C$5:$C$1000,$N40),INDEX('Cronograma R. Normativo'!$C$5:$C$1000,$N40)&amp;""))</f>
        <v/>
      </c>
      <c r="C40" s="79">
        <f>IF($N40="","",IF(INDEX('Cronograma R. Normativo'!$AR$5:$AR$1000,$N40)="","",INDEX('Cronograma R. Normativo'!$AR$5:$AR$1000,$N40)))</f>
        <v/>
      </c>
      <c r="D40" s="79">
        <f>IF($N40="","",IF(INDEX('Cronograma R. Normativo'!$AS$5:$AS$1000,$N40)="","",INDEX('Cronograma R. Normativo'!$AS$5:$AS$1000,$N40)))</f>
        <v/>
      </c>
      <c r="E40" s="56">
        <f>IF($N40="","",IF(NOT(ISNUMBER($D40)),"",IF($D40&lt;InicioCiclo,"Antes del ciclo",IF($D40&gt;=InicioCiclo+28,"Después del ciclo","Semana "&amp;(INT(($D40-InicioCiclo)/7)+1)))))</f>
        <v/>
      </c>
      <c r="F40" s="61">
        <f>IF($N40="","",IF($P40&gt;0,IF(1&lt;=SemanaActual,INDEX('Cronograma R. Normativo'!$AH$5:$AH$1000,$N40),""),IF(INDEX('Cronograma R. Normativo'!$I$5:$I$1000,$N40)="","",INDEX('Cronograma R. Normativo'!$I$5:$I$1000,$N40))))</f>
        <v/>
      </c>
      <c r="G40" s="61">
        <f>IF($N40="","",IF($P40&gt;0,IF(2&lt;=SemanaActual,INDEX('Cronograma R. Normativo'!$AI$5:$AI$1000,$N40),""),IF(INDEX('Cronograma R. Normativo'!$J$5:$J$1000,$N40)="","",INDEX('Cronograma R. Normativo'!$J$5:$J$1000,$N40))))</f>
        <v/>
      </c>
      <c r="H40" s="61">
        <f>IF($N40="","",IF($P40&gt;0,IF(3&lt;=SemanaActual,INDEX('Cronograma R. Normativo'!$AJ$5:$AJ$1000,$N40),""),IF(INDEX('Cronograma R. Normativo'!$K$5:$K$1000,$N40)="","",INDEX('Cronograma R. Normativo'!$K$5:$K$1000,$N40))))</f>
        <v/>
      </c>
      <c r="I40" s="61">
        <f>IF($N40="","",IF($P40&gt;0,IF(4&lt;=SemanaActual,INDEX('Cronograma R. Normativo'!$AK$5:$AK$1000,$N40),""),IF(INDEX('Cronograma R. Normativo'!$L$5:$L$1000,$N40)="","",INDEX('Cronograma R. Normativo'!$L$5:$L$1000,$N40))))</f>
        <v/>
      </c>
      <c r="J40" s="61">
        <f>IF($N40="","",INDEX('Cronograma R. Normativo'!$M$5:$M$1000,$N40))</f>
        <v/>
      </c>
      <c r="K40" s="56">
        <f>IF($N40="","",IF(N($J40)&gt;=1,"Completado",IF(AND(ISNUMBER($D40),$D40&lt;FechaRef),"Vencida",IF(N($J40)&gt;0,"En curso","Pendiente"))))</f>
        <v/>
      </c>
      <c r="L40" s="56">
        <f>IF($N40="","",INDEX('Cronograma R. Normativo'!$O$5:$O$1000,$N40)&amp;"")</f>
        <v/>
      </c>
      <c r="M40" s="62">
        <f>IF($N40="","",INDEX('Cronograma R. Normativo'!$Q$5:$Q$1000,$N40)&amp;"")</f>
        <v/>
      </c>
      <c r="N40">
        <f>IFERROR(MATCH(ROW()-4,rOrden_RN,0),"")</f>
        <v/>
      </c>
      <c r="O40">
        <f>IF($N40="","",INDEX('Cronograma R. Normativo'!$V$5:$V$1000,$N40))</f>
        <v/>
      </c>
      <c r="P40">
        <f>IF($N40="","",N(INDEX('Cronograma R. Normativo'!$W$5:$W$1000,$N40)))</f>
        <v/>
      </c>
      <c r="Q40">
        <f>IF(OR(LEFT($L40,7)="Vencida",LEFT($L40,5)="Vence"),SUMPRODUCT(--(LEFT($L$5:$L40,7)="Vencida"))+SUMPRODUCT(--(LEFT($L$5:$L40,5)="Vence")),"")</f>
        <v/>
      </c>
    </row>
    <row r="41">
      <c r="A41" s="56">
        <f>IF($N41="","",INDEX('Cronograma R. Normativo'!$A$5:$A$1000,$N41))</f>
        <v/>
      </c>
      <c r="B41" s="62">
        <f>IF($N41="","",IF($O41="Sub","      ↳  "&amp;INDEX('Cronograma R. Normativo'!$C$5:$C$1000,$N41),INDEX('Cronograma R. Normativo'!$C$5:$C$1000,$N41)&amp;""))</f>
        <v/>
      </c>
      <c r="C41" s="79">
        <f>IF($N41="","",IF(INDEX('Cronograma R. Normativo'!$AR$5:$AR$1000,$N41)="","",INDEX('Cronograma R. Normativo'!$AR$5:$AR$1000,$N41)))</f>
        <v/>
      </c>
      <c r="D41" s="79">
        <f>IF($N41="","",IF(INDEX('Cronograma R. Normativo'!$AS$5:$AS$1000,$N41)="","",INDEX('Cronograma R. Normativo'!$AS$5:$AS$1000,$N41)))</f>
        <v/>
      </c>
      <c r="E41" s="56">
        <f>IF($N41="","",IF(NOT(ISNUMBER($D41)),"",IF($D41&lt;InicioCiclo,"Antes del ciclo",IF($D41&gt;=InicioCiclo+28,"Después del ciclo","Semana "&amp;(INT(($D41-InicioCiclo)/7)+1)))))</f>
        <v/>
      </c>
      <c r="F41" s="61">
        <f>IF($N41="","",IF($P41&gt;0,IF(1&lt;=SemanaActual,INDEX('Cronograma R. Normativo'!$AH$5:$AH$1000,$N41),""),IF(INDEX('Cronograma R. Normativo'!$I$5:$I$1000,$N41)="","",INDEX('Cronograma R. Normativo'!$I$5:$I$1000,$N41))))</f>
        <v/>
      </c>
      <c r="G41" s="61">
        <f>IF($N41="","",IF($P41&gt;0,IF(2&lt;=SemanaActual,INDEX('Cronograma R. Normativo'!$AI$5:$AI$1000,$N41),""),IF(INDEX('Cronograma R. Normativo'!$J$5:$J$1000,$N41)="","",INDEX('Cronograma R. Normativo'!$J$5:$J$1000,$N41))))</f>
        <v/>
      </c>
      <c r="H41" s="61">
        <f>IF($N41="","",IF($P41&gt;0,IF(3&lt;=SemanaActual,INDEX('Cronograma R. Normativo'!$AJ$5:$AJ$1000,$N41),""),IF(INDEX('Cronograma R. Normativo'!$K$5:$K$1000,$N41)="","",INDEX('Cronograma R. Normativo'!$K$5:$K$1000,$N41))))</f>
        <v/>
      </c>
      <c r="I41" s="61">
        <f>IF($N41="","",IF($P41&gt;0,IF(4&lt;=SemanaActual,INDEX('Cronograma R. Normativo'!$AK$5:$AK$1000,$N41),""),IF(INDEX('Cronograma R. Normativo'!$L$5:$L$1000,$N41)="","",INDEX('Cronograma R. Normativo'!$L$5:$L$1000,$N41))))</f>
        <v/>
      </c>
      <c r="J41" s="61">
        <f>IF($N41="","",INDEX('Cronograma R. Normativo'!$M$5:$M$1000,$N41))</f>
        <v/>
      </c>
      <c r="K41" s="56">
        <f>IF($N41="","",IF(N($J41)&gt;=1,"Completado",IF(AND(ISNUMBER($D41),$D41&lt;FechaRef),"Vencida",IF(N($J41)&gt;0,"En curso","Pendiente"))))</f>
        <v/>
      </c>
      <c r="L41" s="56">
        <f>IF($N41="","",INDEX('Cronograma R. Normativo'!$O$5:$O$1000,$N41)&amp;"")</f>
        <v/>
      </c>
      <c r="M41" s="62">
        <f>IF($N41="","",INDEX('Cronograma R. Normativo'!$Q$5:$Q$1000,$N41)&amp;"")</f>
        <v/>
      </c>
      <c r="N41">
        <f>IFERROR(MATCH(ROW()-4,rOrden_RN,0),"")</f>
        <v/>
      </c>
      <c r="O41">
        <f>IF($N41="","",INDEX('Cronograma R. Normativo'!$V$5:$V$1000,$N41))</f>
        <v/>
      </c>
      <c r="P41">
        <f>IF($N41="","",N(INDEX('Cronograma R. Normativo'!$W$5:$W$1000,$N41)))</f>
        <v/>
      </c>
      <c r="Q41">
        <f>IF(OR(LEFT($L41,7)="Vencida",LEFT($L41,5)="Vence"),SUMPRODUCT(--(LEFT($L$5:$L41,7)="Vencida"))+SUMPRODUCT(--(LEFT($L$5:$L41,5)="Vence")),"")</f>
        <v/>
      </c>
    </row>
    <row r="42">
      <c r="A42" s="56">
        <f>IF($N42="","",INDEX('Cronograma R. Normativo'!$A$5:$A$1000,$N42))</f>
        <v/>
      </c>
      <c r="B42" s="62">
        <f>IF($N42="","",IF($O42="Sub","      ↳  "&amp;INDEX('Cronograma R. Normativo'!$C$5:$C$1000,$N42),INDEX('Cronograma R. Normativo'!$C$5:$C$1000,$N42)&amp;""))</f>
        <v/>
      </c>
      <c r="C42" s="79">
        <f>IF($N42="","",IF(INDEX('Cronograma R. Normativo'!$AR$5:$AR$1000,$N42)="","",INDEX('Cronograma R. Normativo'!$AR$5:$AR$1000,$N42)))</f>
        <v/>
      </c>
      <c r="D42" s="79">
        <f>IF($N42="","",IF(INDEX('Cronograma R. Normativo'!$AS$5:$AS$1000,$N42)="","",INDEX('Cronograma R. Normativo'!$AS$5:$AS$1000,$N42)))</f>
        <v/>
      </c>
      <c r="E42" s="56">
        <f>IF($N42="","",IF(NOT(ISNUMBER($D42)),"",IF($D42&lt;InicioCiclo,"Antes del ciclo",IF($D42&gt;=InicioCiclo+28,"Después del ciclo","Semana "&amp;(INT(($D42-InicioCiclo)/7)+1)))))</f>
        <v/>
      </c>
      <c r="F42" s="61">
        <f>IF($N42="","",IF($P42&gt;0,IF(1&lt;=SemanaActual,INDEX('Cronograma R. Normativo'!$AH$5:$AH$1000,$N42),""),IF(INDEX('Cronograma R. Normativo'!$I$5:$I$1000,$N42)="","",INDEX('Cronograma R. Normativo'!$I$5:$I$1000,$N42))))</f>
        <v/>
      </c>
      <c r="G42" s="61">
        <f>IF($N42="","",IF($P42&gt;0,IF(2&lt;=SemanaActual,INDEX('Cronograma R. Normativo'!$AI$5:$AI$1000,$N42),""),IF(INDEX('Cronograma R. Normativo'!$J$5:$J$1000,$N42)="","",INDEX('Cronograma R. Normativo'!$J$5:$J$1000,$N42))))</f>
        <v/>
      </c>
      <c r="H42" s="61">
        <f>IF($N42="","",IF($P42&gt;0,IF(3&lt;=SemanaActual,INDEX('Cronograma R. Normativo'!$AJ$5:$AJ$1000,$N42),""),IF(INDEX('Cronograma R. Normativo'!$K$5:$K$1000,$N42)="","",INDEX('Cronograma R. Normativo'!$K$5:$K$1000,$N42))))</f>
        <v/>
      </c>
      <c r="I42" s="61">
        <f>IF($N42="","",IF($P42&gt;0,IF(4&lt;=SemanaActual,INDEX('Cronograma R. Normativo'!$AK$5:$AK$1000,$N42),""),IF(INDEX('Cronograma R. Normativo'!$L$5:$L$1000,$N42)="","",INDEX('Cronograma R. Normativo'!$L$5:$L$1000,$N42))))</f>
        <v/>
      </c>
      <c r="J42" s="61">
        <f>IF($N42="","",INDEX('Cronograma R. Normativo'!$M$5:$M$1000,$N42))</f>
        <v/>
      </c>
      <c r="K42" s="56">
        <f>IF($N42="","",IF(N($J42)&gt;=1,"Completado",IF(AND(ISNUMBER($D42),$D42&lt;FechaRef),"Vencida",IF(N($J42)&gt;0,"En curso","Pendiente"))))</f>
        <v/>
      </c>
      <c r="L42" s="56">
        <f>IF($N42="","",INDEX('Cronograma R. Normativo'!$O$5:$O$1000,$N42)&amp;"")</f>
        <v/>
      </c>
      <c r="M42" s="62">
        <f>IF($N42="","",INDEX('Cronograma R. Normativo'!$Q$5:$Q$1000,$N42)&amp;"")</f>
        <v/>
      </c>
      <c r="N42">
        <f>IFERROR(MATCH(ROW()-4,rOrden_RN,0),"")</f>
        <v/>
      </c>
      <c r="O42">
        <f>IF($N42="","",INDEX('Cronograma R. Normativo'!$V$5:$V$1000,$N42))</f>
        <v/>
      </c>
      <c r="P42">
        <f>IF($N42="","",N(INDEX('Cronograma R. Normativo'!$W$5:$W$1000,$N42)))</f>
        <v/>
      </c>
      <c r="Q42">
        <f>IF(OR(LEFT($L42,7)="Vencida",LEFT($L42,5)="Vence"),SUMPRODUCT(--(LEFT($L$5:$L42,7)="Vencida"))+SUMPRODUCT(--(LEFT($L$5:$L42,5)="Vence")),"")</f>
        <v/>
      </c>
    </row>
    <row r="43">
      <c r="A43" s="56">
        <f>IF($N43="","",INDEX('Cronograma R. Normativo'!$A$5:$A$1000,$N43))</f>
        <v/>
      </c>
      <c r="B43" s="62">
        <f>IF($N43="","",IF($O43="Sub","      ↳  "&amp;INDEX('Cronograma R. Normativo'!$C$5:$C$1000,$N43),INDEX('Cronograma R. Normativo'!$C$5:$C$1000,$N43)&amp;""))</f>
        <v/>
      </c>
      <c r="C43" s="79">
        <f>IF($N43="","",IF(INDEX('Cronograma R. Normativo'!$AR$5:$AR$1000,$N43)="","",INDEX('Cronograma R. Normativo'!$AR$5:$AR$1000,$N43)))</f>
        <v/>
      </c>
      <c r="D43" s="79">
        <f>IF($N43="","",IF(INDEX('Cronograma R. Normativo'!$AS$5:$AS$1000,$N43)="","",INDEX('Cronograma R. Normativo'!$AS$5:$AS$1000,$N43)))</f>
        <v/>
      </c>
      <c r="E43" s="56">
        <f>IF($N43="","",IF(NOT(ISNUMBER($D43)),"",IF($D43&lt;InicioCiclo,"Antes del ciclo",IF($D43&gt;=InicioCiclo+28,"Después del ciclo","Semana "&amp;(INT(($D43-InicioCiclo)/7)+1)))))</f>
        <v/>
      </c>
      <c r="F43" s="61">
        <f>IF($N43="","",IF($P43&gt;0,IF(1&lt;=SemanaActual,INDEX('Cronograma R. Normativo'!$AH$5:$AH$1000,$N43),""),IF(INDEX('Cronograma R. Normativo'!$I$5:$I$1000,$N43)="","",INDEX('Cronograma R. Normativo'!$I$5:$I$1000,$N43))))</f>
        <v/>
      </c>
      <c r="G43" s="61">
        <f>IF($N43="","",IF($P43&gt;0,IF(2&lt;=SemanaActual,INDEX('Cronograma R. Normativo'!$AI$5:$AI$1000,$N43),""),IF(INDEX('Cronograma R. Normativo'!$J$5:$J$1000,$N43)="","",INDEX('Cronograma R. Normativo'!$J$5:$J$1000,$N43))))</f>
        <v/>
      </c>
      <c r="H43" s="61">
        <f>IF($N43="","",IF($P43&gt;0,IF(3&lt;=SemanaActual,INDEX('Cronograma R. Normativo'!$AJ$5:$AJ$1000,$N43),""),IF(INDEX('Cronograma R. Normativo'!$K$5:$K$1000,$N43)="","",INDEX('Cronograma R. Normativo'!$K$5:$K$1000,$N43))))</f>
        <v/>
      </c>
      <c r="I43" s="61">
        <f>IF($N43="","",IF($P43&gt;0,IF(4&lt;=SemanaActual,INDEX('Cronograma R. Normativo'!$AK$5:$AK$1000,$N43),""),IF(INDEX('Cronograma R. Normativo'!$L$5:$L$1000,$N43)="","",INDEX('Cronograma R. Normativo'!$L$5:$L$1000,$N43))))</f>
        <v/>
      </c>
      <c r="J43" s="61">
        <f>IF($N43="","",INDEX('Cronograma R. Normativo'!$M$5:$M$1000,$N43))</f>
        <v/>
      </c>
      <c r="K43" s="56">
        <f>IF($N43="","",IF(N($J43)&gt;=1,"Completado",IF(AND(ISNUMBER($D43),$D43&lt;FechaRef),"Vencida",IF(N($J43)&gt;0,"En curso","Pendiente"))))</f>
        <v/>
      </c>
      <c r="L43" s="56">
        <f>IF($N43="","",INDEX('Cronograma R. Normativo'!$O$5:$O$1000,$N43)&amp;"")</f>
        <v/>
      </c>
      <c r="M43" s="62">
        <f>IF($N43="","",INDEX('Cronograma R. Normativo'!$Q$5:$Q$1000,$N43)&amp;"")</f>
        <v/>
      </c>
      <c r="N43">
        <f>IFERROR(MATCH(ROW()-4,rOrden_RN,0),"")</f>
        <v/>
      </c>
      <c r="O43">
        <f>IF($N43="","",INDEX('Cronograma R. Normativo'!$V$5:$V$1000,$N43))</f>
        <v/>
      </c>
      <c r="P43">
        <f>IF($N43="","",N(INDEX('Cronograma R. Normativo'!$W$5:$W$1000,$N43)))</f>
        <v/>
      </c>
      <c r="Q43">
        <f>IF(OR(LEFT($L43,7)="Vencida",LEFT($L43,5)="Vence"),SUMPRODUCT(--(LEFT($L$5:$L43,7)="Vencida"))+SUMPRODUCT(--(LEFT($L$5:$L43,5)="Vence")),"")</f>
        <v/>
      </c>
    </row>
    <row r="44">
      <c r="A44" s="56">
        <f>IF($N44="","",INDEX('Cronograma R. Normativo'!$A$5:$A$1000,$N44))</f>
        <v/>
      </c>
      <c r="B44" s="62">
        <f>IF($N44="","",IF($O44="Sub","      ↳  "&amp;INDEX('Cronograma R. Normativo'!$C$5:$C$1000,$N44),INDEX('Cronograma R. Normativo'!$C$5:$C$1000,$N44)&amp;""))</f>
        <v/>
      </c>
      <c r="C44" s="79">
        <f>IF($N44="","",IF(INDEX('Cronograma R. Normativo'!$AR$5:$AR$1000,$N44)="","",INDEX('Cronograma R. Normativo'!$AR$5:$AR$1000,$N44)))</f>
        <v/>
      </c>
      <c r="D44" s="79">
        <f>IF($N44="","",IF(INDEX('Cronograma R. Normativo'!$AS$5:$AS$1000,$N44)="","",INDEX('Cronograma R. Normativo'!$AS$5:$AS$1000,$N44)))</f>
        <v/>
      </c>
      <c r="E44" s="56">
        <f>IF($N44="","",IF(NOT(ISNUMBER($D44)),"",IF($D44&lt;InicioCiclo,"Antes del ciclo",IF($D44&gt;=InicioCiclo+28,"Después del ciclo","Semana "&amp;(INT(($D44-InicioCiclo)/7)+1)))))</f>
        <v/>
      </c>
      <c r="F44" s="61">
        <f>IF($N44="","",IF($P44&gt;0,IF(1&lt;=SemanaActual,INDEX('Cronograma R. Normativo'!$AH$5:$AH$1000,$N44),""),IF(INDEX('Cronograma R. Normativo'!$I$5:$I$1000,$N44)="","",INDEX('Cronograma R. Normativo'!$I$5:$I$1000,$N44))))</f>
        <v/>
      </c>
      <c r="G44" s="61">
        <f>IF($N44="","",IF($P44&gt;0,IF(2&lt;=SemanaActual,INDEX('Cronograma R. Normativo'!$AI$5:$AI$1000,$N44),""),IF(INDEX('Cronograma R. Normativo'!$J$5:$J$1000,$N44)="","",INDEX('Cronograma R. Normativo'!$J$5:$J$1000,$N44))))</f>
        <v/>
      </c>
      <c r="H44" s="61">
        <f>IF($N44="","",IF($P44&gt;0,IF(3&lt;=SemanaActual,INDEX('Cronograma R. Normativo'!$AJ$5:$AJ$1000,$N44),""),IF(INDEX('Cronograma R. Normativo'!$K$5:$K$1000,$N44)="","",INDEX('Cronograma R. Normativo'!$K$5:$K$1000,$N44))))</f>
        <v/>
      </c>
      <c r="I44" s="61">
        <f>IF($N44="","",IF($P44&gt;0,IF(4&lt;=SemanaActual,INDEX('Cronograma R. Normativo'!$AK$5:$AK$1000,$N44),""),IF(INDEX('Cronograma R. Normativo'!$L$5:$L$1000,$N44)="","",INDEX('Cronograma R. Normativo'!$L$5:$L$1000,$N44))))</f>
        <v/>
      </c>
      <c r="J44" s="61">
        <f>IF($N44="","",INDEX('Cronograma R. Normativo'!$M$5:$M$1000,$N44))</f>
        <v/>
      </c>
      <c r="K44" s="56">
        <f>IF($N44="","",IF(N($J44)&gt;=1,"Completado",IF(AND(ISNUMBER($D44),$D44&lt;FechaRef),"Vencida",IF(N($J44)&gt;0,"En curso","Pendiente"))))</f>
        <v/>
      </c>
      <c r="L44" s="56">
        <f>IF($N44="","",INDEX('Cronograma R. Normativo'!$O$5:$O$1000,$N44)&amp;"")</f>
        <v/>
      </c>
      <c r="M44" s="62">
        <f>IF($N44="","",INDEX('Cronograma R. Normativo'!$Q$5:$Q$1000,$N44)&amp;"")</f>
        <v/>
      </c>
      <c r="N44">
        <f>IFERROR(MATCH(ROW()-4,rOrden_RN,0),"")</f>
        <v/>
      </c>
      <c r="O44">
        <f>IF($N44="","",INDEX('Cronograma R. Normativo'!$V$5:$V$1000,$N44))</f>
        <v/>
      </c>
      <c r="P44">
        <f>IF($N44="","",N(INDEX('Cronograma R. Normativo'!$W$5:$W$1000,$N44)))</f>
        <v/>
      </c>
      <c r="Q44">
        <f>IF(OR(LEFT($L44,7)="Vencida",LEFT($L44,5)="Vence"),SUMPRODUCT(--(LEFT($L$5:$L44,7)="Vencida"))+SUMPRODUCT(--(LEFT($L$5:$L44,5)="Vence")),"")</f>
        <v/>
      </c>
    </row>
    <row r="45">
      <c r="A45" s="56">
        <f>IF($N45="","",INDEX('Cronograma R. Normativo'!$A$5:$A$1000,$N45))</f>
        <v/>
      </c>
      <c r="B45" s="62">
        <f>IF($N45="","",IF($O45="Sub","      ↳  "&amp;INDEX('Cronograma R. Normativo'!$C$5:$C$1000,$N45),INDEX('Cronograma R. Normativo'!$C$5:$C$1000,$N45)&amp;""))</f>
        <v/>
      </c>
      <c r="C45" s="79">
        <f>IF($N45="","",IF(INDEX('Cronograma R. Normativo'!$AR$5:$AR$1000,$N45)="","",INDEX('Cronograma R. Normativo'!$AR$5:$AR$1000,$N45)))</f>
        <v/>
      </c>
      <c r="D45" s="79">
        <f>IF($N45="","",IF(INDEX('Cronograma R. Normativo'!$AS$5:$AS$1000,$N45)="","",INDEX('Cronograma R. Normativo'!$AS$5:$AS$1000,$N45)))</f>
        <v/>
      </c>
      <c r="E45" s="56">
        <f>IF($N45="","",IF(NOT(ISNUMBER($D45)),"",IF($D45&lt;InicioCiclo,"Antes del ciclo",IF($D45&gt;=InicioCiclo+28,"Después del ciclo","Semana "&amp;(INT(($D45-InicioCiclo)/7)+1)))))</f>
        <v/>
      </c>
      <c r="F45" s="61">
        <f>IF($N45="","",IF($P45&gt;0,IF(1&lt;=SemanaActual,INDEX('Cronograma R. Normativo'!$AH$5:$AH$1000,$N45),""),IF(INDEX('Cronograma R. Normativo'!$I$5:$I$1000,$N45)="","",INDEX('Cronograma R. Normativo'!$I$5:$I$1000,$N45))))</f>
        <v/>
      </c>
      <c r="G45" s="61">
        <f>IF($N45="","",IF($P45&gt;0,IF(2&lt;=SemanaActual,INDEX('Cronograma R. Normativo'!$AI$5:$AI$1000,$N45),""),IF(INDEX('Cronograma R. Normativo'!$J$5:$J$1000,$N45)="","",INDEX('Cronograma R. Normativo'!$J$5:$J$1000,$N45))))</f>
        <v/>
      </c>
      <c r="H45" s="61">
        <f>IF($N45="","",IF($P45&gt;0,IF(3&lt;=SemanaActual,INDEX('Cronograma R. Normativo'!$AJ$5:$AJ$1000,$N45),""),IF(INDEX('Cronograma R. Normativo'!$K$5:$K$1000,$N45)="","",INDEX('Cronograma R. Normativo'!$K$5:$K$1000,$N45))))</f>
        <v/>
      </c>
      <c r="I45" s="61">
        <f>IF($N45="","",IF($P45&gt;0,IF(4&lt;=SemanaActual,INDEX('Cronograma R. Normativo'!$AK$5:$AK$1000,$N45),""),IF(INDEX('Cronograma R. Normativo'!$L$5:$L$1000,$N45)="","",INDEX('Cronograma R. Normativo'!$L$5:$L$1000,$N45))))</f>
        <v/>
      </c>
      <c r="J45" s="61">
        <f>IF($N45="","",INDEX('Cronograma R. Normativo'!$M$5:$M$1000,$N45))</f>
        <v/>
      </c>
      <c r="K45" s="56">
        <f>IF($N45="","",IF(N($J45)&gt;=1,"Completado",IF(AND(ISNUMBER($D45),$D45&lt;FechaRef),"Vencida",IF(N($J45)&gt;0,"En curso","Pendiente"))))</f>
        <v/>
      </c>
      <c r="L45" s="56">
        <f>IF($N45="","",INDEX('Cronograma R. Normativo'!$O$5:$O$1000,$N45)&amp;"")</f>
        <v/>
      </c>
      <c r="M45" s="62">
        <f>IF($N45="","",INDEX('Cronograma R. Normativo'!$Q$5:$Q$1000,$N45)&amp;"")</f>
        <v/>
      </c>
      <c r="N45">
        <f>IFERROR(MATCH(ROW()-4,rOrden_RN,0),"")</f>
        <v/>
      </c>
      <c r="O45">
        <f>IF($N45="","",INDEX('Cronograma R. Normativo'!$V$5:$V$1000,$N45))</f>
        <v/>
      </c>
      <c r="P45">
        <f>IF($N45="","",N(INDEX('Cronograma R. Normativo'!$W$5:$W$1000,$N45)))</f>
        <v/>
      </c>
      <c r="Q45">
        <f>IF(OR(LEFT($L45,7)="Vencida",LEFT($L45,5)="Vence"),SUMPRODUCT(--(LEFT($L$5:$L45,7)="Vencida"))+SUMPRODUCT(--(LEFT($L$5:$L45,5)="Vence")),"")</f>
        <v/>
      </c>
    </row>
    <row r="46">
      <c r="A46" s="56">
        <f>IF($N46="","",INDEX('Cronograma R. Normativo'!$A$5:$A$1000,$N46))</f>
        <v/>
      </c>
      <c r="B46" s="62">
        <f>IF($N46="","",IF($O46="Sub","      ↳  "&amp;INDEX('Cronograma R. Normativo'!$C$5:$C$1000,$N46),INDEX('Cronograma R. Normativo'!$C$5:$C$1000,$N46)&amp;""))</f>
        <v/>
      </c>
      <c r="C46" s="79">
        <f>IF($N46="","",IF(INDEX('Cronograma R. Normativo'!$AR$5:$AR$1000,$N46)="","",INDEX('Cronograma R. Normativo'!$AR$5:$AR$1000,$N46)))</f>
        <v/>
      </c>
      <c r="D46" s="79">
        <f>IF($N46="","",IF(INDEX('Cronograma R. Normativo'!$AS$5:$AS$1000,$N46)="","",INDEX('Cronograma R. Normativo'!$AS$5:$AS$1000,$N46)))</f>
        <v/>
      </c>
      <c r="E46" s="56">
        <f>IF($N46="","",IF(NOT(ISNUMBER($D46)),"",IF($D46&lt;InicioCiclo,"Antes del ciclo",IF($D46&gt;=InicioCiclo+28,"Después del ciclo","Semana "&amp;(INT(($D46-InicioCiclo)/7)+1)))))</f>
        <v/>
      </c>
      <c r="F46" s="61">
        <f>IF($N46="","",IF($P46&gt;0,IF(1&lt;=SemanaActual,INDEX('Cronograma R. Normativo'!$AH$5:$AH$1000,$N46),""),IF(INDEX('Cronograma R. Normativo'!$I$5:$I$1000,$N46)="","",INDEX('Cronograma R. Normativo'!$I$5:$I$1000,$N46))))</f>
        <v/>
      </c>
      <c r="G46" s="61">
        <f>IF($N46="","",IF($P46&gt;0,IF(2&lt;=SemanaActual,INDEX('Cronograma R. Normativo'!$AI$5:$AI$1000,$N46),""),IF(INDEX('Cronograma R. Normativo'!$J$5:$J$1000,$N46)="","",INDEX('Cronograma R. Normativo'!$J$5:$J$1000,$N46))))</f>
        <v/>
      </c>
      <c r="H46" s="61">
        <f>IF($N46="","",IF($P46&gt;0,IF(3&lt;=SemanaActual,INDEX('Cronograma R. Normativo'!$AJ$5:$AJ$1000,$N46),""),IF(INDEX('Cronograma R. Normativo'!$K$5:$K$1000,$N46)="","",INDEX('Cronograma R. Normativo'!$K$5:$K$1000,$N46))))</f>
        <v/>
      </c>
      <c r="I46" s="61">
        <f>IF($N46="","",IF($P46&gt;0,IF(4&lt;=SemanaActual,INDEX('Cronograma R. Normativo'!$AK$5:$AK$1000,$N46),""),IF(INDEX('Cronograma R. Normativo'!$L$5:$L$1000,$N46)="","",INDEX('Cronograma R. Normativo'!$L$5:$L$1000,$N46))))</f>
        <v/>
      </c>
      <c r="J46" s="61">
        <f>IF($N46="","",INDEX('Cronograma R. Normativo'!$M$5:$M$1000,$N46))</f>
        <v/>
      </c>
      <c r="K46" s="56">
        <f>IF($N46="","",IF(N($J46)&gt;=1,"Completado",IF(AND(ISNUMBER($D46),$D46&lt;FechaRef),"Vencida",IF(N($J46)&gt;0,"En curso","Pendiente"))))</f>
        <v/>
      </c>
      <c r="L46" s="56">
        <f>IF($N46="","",INDEX('Cronograma R. Normativo'!$O$5:$O$1000,$N46)&amp;"")</f>
        <v/>
      </c>
      <c r="M46" s="62">
        <f>IF($N46="","",INDEX('Cronograma R. Normativo'!$Q$5:$Q$1000,$N46)&amp;"")</f>
        <v/>
      </c>
      <c r="N46">
        <f>IFERROR(MATCH(ROW()-4,rOrden_RN,0),"")</f>
        <v/>
      </c>
      <c r="O46">
        <f>IF($N46="","",INDEX('Cronograma R. Normativo'!$V$5:$V$1000,$N46))</f>
        <v/>
      </c>
      <c r="P46">
        <f>IF($N46="","",N(INDEX('Cronograma R. Normativo'!$W$5:$W$1000,$N46)))</f>
        <v/>
      </c>
      <c r="Q46">
        <f>IF(OR(LEFT($L46,7)="Vencida",LEFT($L46,5)="Vence"),SUMPRODUCT(--(LEFT($L$5:$L46,7)="Vencida"))+SUMPRODUCT(--(LEFT($L$5:$L46,5)="Vence")),"")</f>
        <v/>
      </c>
    </row>
    <row r="47">
      <c r="A47" s="56">
        <f>IF($N47="","",INDEX('Cronograma R. Normativo'!$A$5:$A$1000,$N47))</f>
        <v/>
      </c>
      <c r="B47" s="62">
        <f>IF($N47="","",IF($O47="Sub","      ↳  "&amp;INDEX('Cronograma R. Normativo'!$C$5:$C$1000,$N47),INDEX('Cronograma R. Normativo'!$C$5:$C$1000,$N47)&amp;""))</f>
        <v/>
      </c>
      <c r="C47" s="79">
        <f>IF($N47="","",IF(INDEX('Cronograma R. Normativo'!$AR$5:$AR$1000,$N47)="","",INDEX('Cronograma R. Normativo'!$AR$5:$AR$1000,$N47)))</f>
        <v/>
      </c>
      <c r="D47" s="79">
        <f>IF($N47="","",IF(INDEX('Cronograma R. Normativo'!$AS$5:$AS$1000,$N47)="","",INDEX('Cronograma R. Normativo'!$AS$5:$AS$1000,$N47)))</f>
        <v/>
      </c>
      <c r="E47" s="56">
        <f>IF($N47="","",IF(NOT(ISNUMBER($D47)),"",IF($D47&lt;InicioCiclo,"Antes del ciclo",IF($D47&gt;=InicioCiclo+28,"Después del ciclo","Semana "&amp;(INT(($D47-InicioCiclo)/7)+1)))))</f>
        <v/>
      </c>
      <c r="F47" s="61">
        <f>IF($N47="","",IF($P47&gt;0,IF(1&lt;=SemanaActual,INDEX('Cronograma R. Normativo'!$AH$5:$AH$1000,$N47),""),IF(INDEX('Cronograma R. Normativo'!$I$5:$I$1000,$N47)="","",INDEX('Cronograma R. Normativo'!$I$5:$I$1000,$N47))))</f>
        <v/>
      </c>
      <c r="G47" s="61">
        <f>IF($N47="","",IF($P47&gt;0,IF(2&lt;=SemanaActual,INDEX('Cronograma R. Normativo'!$AI$5:$AI$1000,$N47),""),IF(INDEX('Cronograma R. Normativo'!$J$5:$J$1000,$N47)="","",INDEX('Cronograma R. Normativo'!$J$5:$J$1000,$N47))))</f>
        <v/>
      </c>
      <c r="H47" s="61">
        <f>IF($N47="","",IF($P47&gt;0,IF(3&lt;=SemanaActual,INDEX('Cronograma R. Normativo'!$AJ$5:$AJ$1000,$N47),""),IF(INDEX('Cronograma R. Normativo'!$K$5:$K$1000,$N47)="","",INDEX('Cronograma R. Normativo'!$K$5:$K$1000,$N47))))</f>
        <v/>
      </c>
      <c r="I47" s="61">
        <f>IF($N47="","",IF($P47&gt;0,IF(4&lt;=SemanaActual,INDEX('Cronograma R. Normativo'!$AK$5:$AK$1000,$N47),""),IF(INDEX('Cronograma R. Normativo'!$L$5:$L$1000,$N47)="","",INDEX('Cronograma R. Normativo'!$L$5:$L$1000,$N47))))</f>
        <v/>
      </c>
      <c r="J47" s="61">
        <f>IF($N47="","",INDEX('Cronograma R. Normativo'!$M$5:$M$1000,$N47))</f>
        <v/>
      </c>
      <c r="K47" s="56">
        <f>IF($N47="","",IF(N($J47)&gt;=1,"Completado",IF(AND(ISNUMBER($D47),$D47&lt;FechaRef),"Vencida",IF(N($J47)&gt;0,"En curso","Pendiente"))))</f>
        <v/>
      </c>
      <c r="L47" s="56">
        <f>IF($N47="","",INDEX('Cronograma R. Normativo'!$O$5:$O$1000,$N47)&amp;"")</f>
        <v/>
      </c>
      <c r="M47" s="62">
        <f>IF($N47="","",INDEX('Cronograma R. Normativo'!$Q$5:$Q$1000,$N47)&amp;"")</f>
        <v/>
      </c>
      <c r="N47">
        <f>IFERROR(MATCH(ROW()-4,rOrden_RN,0),"")</f>
        <v/>
      </c>
      <c r="O47">
        <f>IF($N47="","",INDEX('Cronograma R. Normativo'!$V$5:$V$1000,$N47))</f>
        <v/>
      </c>
      <c r="P47">
        <f>IF($N47="","",N(INDEX('Cronograma R. Normativo'!$W$5:$W$1000,$N47)))</f>
        <v/>
      </c>
      <c r="Q47">
        <f>IF(OR(LEFT($L47,7)="Vencida",LEFT($L47,5)="Vence"),SUMPRODUCT(--(LEFT($L$5:$L47,7)="Vencida"))+SUMPRODUCT(--(LEFT($L$5:$L47,5)="Vence")),"")</f>
        <v/>
      </c>
    </row>
    <row r="48">
      <c r="A48" s="56">
        <f>IF($N48="","",INDEX('Cronograma R. Normativo'!$A$5:$A$1000,$N48))</f>
        <v/>
      </c>
      <c r="B48" s="62">
        <f>IF($N48="","",IF($O48="Sub","      ↳  "&amp;INDEX('Cronograma R. Normativo'!$C$5:$C$1000,$N48),INDEX('Cronograma R. Normativo'!$C$5:$C$1000,$N48)&amp;""))</f>
        <v/>
      </c>
      <c r="C48" s="79">
        <f>IF($N48="","",IF(INDEX('Cronograma R. Normativo'!$AR$5:$AR$1000,$N48)="","",INDEX('Cronograma R. Normativo'!$AR$5:$AR$1000,$N48)))</f>
        <v/>
      </c>
      <c r="D48" s="79">
        <f>IF($N48="","",IF(INDEX('Cronograma R. Normativo'!$AS$5:$AS$1000,$N48)="","",INDEX('Cronograma R. Normativo'!$AS$5:$AS$1000,$N48)))</f>
        <v/>
      </c>
      <c r="E48" s="56">
        <f>IF($N48="","",IF(NOT(ISNUMBER($D48)),"",IF($D48&lt;InicioCiclo,"Antes del ciclo",IF($D48&gt;=InicioCiclo+28,"Después del ciclo","Semana "&amp;(INT(($D48-InicioCiclo)/7)+1)))))</f>
        <v/>
      </c>
      <c r="F48" s="61">
        <f>IF($N48="","",IF($P48&gt;0,IF(1&lt;=SemanaActual,INDEX('Cronograma R. Normativo'!$AH$5:$AH$1000,$N48),""),IF(INDEX('Cronograma R. Normativo'!$I$5:$I$1000,$N48)="","",INDEX('Cronograma R. Normativo'!$I$5:$I$1000,$N48))))</f>
        <v/>
      </c>
      <c r="G48" s="61">
        <f>IF($N48="","",IF($P48&gt;0,IF(2&lt;=SemanaActual,INDEX('Cronograma R. Normativo'!$AI$5:$AI$1000,$N48),""),IF(INDEX('Cronograma R. Normativo'!$J$5:$J$1000,$N48)="","",INDEX('Cronograma R. Normativo'!$J$5:$J$1000,$N48))))</f>
        <v/>
      </c>
      <c r="H48" s="61">
        <f>IF($N48="","",IF($P48&gt;0,IF(3&lt;=SemanaActual,INDEX('Cronograma R. Normativo'!$AJ$5:$AJ$1000,$N48),""),IF(INDEX('Cronograma R. Normativo'!$K$5:$K$1000,$N48)="","",INDEX('Cronograma R. Normativo'!$K$5:$K$1000,$N48))))</f>
        <v/>
      </c>
      <c r="I48" s="61">
        <f>IF($N48="","",IF($P48&gt;0,IF(4&lt;=SemanaActual,INDEX('Cronograma R. Normativo'!$AK$5:$AK$1000,$N48),""),IF(INDEX('Cronograma R. Normativo'!$L$5:$L$1000,$N48)="","",INDEX('Cronograma R. Normativo'!$L$5:$L$1000,$N48))))</f>
        <v/>
      </c>
      <c r="J48" s="61">
        <f>IF($N48="","",INDEX('Cronograma R. Normativo'!$M$5:$M$1000,$N48))</f>
        <v/>
      </c>
      <c r="K48" s="56">
        <f>IF($N48="","",IF(N($J48)&gt;=1,"Completado",IF(AND(ISNUMBER($D48),$D48&lt;FechaRef),"Vencida",IF(N($J48)&gt;0,"En curso","Pendiente"))))</f>
        <v/>
      </c>
      <c r="L48" s="56">
        <f>IF($N48="","",INDEX('Cronograma R. Normativo'!$O$5:$O$1000,$N48)&amp;"")</f>
        <v/>
      </c>
      <c r="M48" s="62">
        <f>IF($N48="","",INDEX('Cronograma R. Normativo'!$Q$5:$Q$1000,$N48)&amp;"")</f>
        <v/>
      </c>
      <c r="N48">
        <f>IFERROR(MATCH(ROW()-4,rOrden_RN,0),"")</f>
        <v/>
      </c>
      <c r="O48">
        <f>IF($N48="","",INDEX('Cronograma R. Normativo'!$V$5:$V$1000,$N48))</f>
        <v/>
      </c>
      <c r="P48">
        <f>IF($N48="","",N(INDEX('Cronograma R. Normativo'!$W$5:$W$1000,$N48)))</f>
        <v/>
      </c>
      <c r="Q48">
        <f>IF(OR(LEFT($L48,7)="Vencida",LEFT($L48,5)="Vence"),SUMPRODUCT(--(LEFT($L$5:$L48,7)="Vencida"))+SUMPRODUCT(--(LEFT($L$5:$L48,5)="Vence")),"")</f>
        <v/>
      </c>
    </row>
    <row r="49">
      <c r="A49" s="56">
        <f>IF($N49="","",INDEX('Cronograma R. Normativo'!$A$5:$A$1000,$N49))</f>
        <v/>
      </c>
      <c r="B49" s="62">
        <f>IF($N49="","",IF($O49="Sub","      ↳  "&amp;INDEX('Cronograma R. Normativo'!$C$5:$C$1000,$N49),INDEX('Cronograma R. Normativo'!$C$5:$C$1000,$N49)&amp;""))</f>
        <v/>
      </c>
      <c r="C49" s="79">
        <f>IF($N49="","",IF(INDEX('Cronograma R. Normativo'!$AR$5:$AR$1000,$N49)="","",INDEX('Cronograma R. Normativo'!$AR$5:$AR$1000,$N49)))</f>
        <v/>
      </c>
      <c r="D49" s="79">
        <f>IF($N49="","",IF(INDEX('Cronograma R. Normativo'!$AS$5:$AS$1000,$N49)="","",INDEX('Cronograma R. Normativo'!$AS$5:$AS$1000,$N49)))</f>
        <v/>
      </c>
      <c r="E49" s="56">
        <f>IF($N49="","",IF(NOT(ISNUMBER($D49)),"",IF($D49&lt;InicioCiclo,"Antes del ciclo",IF($D49&gt;=InicioCiclo+28,"Después del ciclo","Semana "&amp;(INT(($D49-InicioCiclo)/7)+1)))))</f>
        <v/>
      </c>
      <c r="F49" s="61">
        <f>IF($N49="","",IF($P49&gt;0,IF(1&lt;=SemanaActual,INDEX('Cronograma R. Normativo'!$AH$5:$AH$1000,$N49),""),IF(INDEX('Cronograma R. Normativo'!$I$5:$I$1000,$N49)="","",INDEX('Cronograma R. Normativo'!$I$5:$I$1000,$N49))))</f>
        <v/>
      </c>
      <c r="G49" s="61">
        <f>IF($N49="","",IF($P49&gt;0,IF(2&lt;=SemanaActual,INDEX('Cronograma R. Normativo'!$AI$5:$AI$1000,$N49),""),IF(INDEX('Cronograma R. Normativo'!$J$5:$J$1000,$N49)="","",INDEX('Cronograma R. Normativo'!$J$5:$J$1000,$N49))))</f>
        <v/>
      </c>
      <c r="H49" s="61">
        <f>IF($N49="","",IF($P49&gt;0,IF(3&lt;=SemanaActual,INDEX('Cronograma R. Normativo'!$AJ$5:$AJ$1000,$N49),""),IF(INDEX('Cronograma R. Normativo'!$K$5:$K$1000,$N49)="","",INDEX('Cronograma R. Normativo'!$K$5:$K$1000,$N49))))</f>
        <v/>
      </c>
      <c r="I49" s="61">
        <f>IF($N49="","",IF($P49&gt;0,IF(4&lt;=SemanaActual,INDEX('Cronograma R. Normativo'!$AK$5:$AK$1000,$N49),""),IF(INDEX('Cronograma R. Normativo'!$L$5:$L$1000,$N49)="","",INDEX('Cronograma R. Normativo'!$L$5:$L$1000,$N49))))</f>
        <v/>
      </c>
      <c r="J49" s="61">
        <f>IF($N49="","",INDEX('Cronograma R. Normativo'!$M$5:$M$1000,$N49))</f>
        <v/>
      </c>
      <c r="K49" s="56">
        <f>IF($N49="","",IF(N($J49)&gt;=1,"Completado",IF(AND(ISNUMBER($D49),$D49&lt;FechaRef),"Vencida",IF(N($J49)&gt;0,"En curso","Pendiente"))))</f>
        <v/>
      </c>
      <c r="L49" s="56">
        <f>IF($N49="","",INDEX('Cronograma R. Normativo'!$O$5:$O$1000,$N49)&amp;"")</f>
        <v/>
      </c>
      <c r="M49" s="62">
        <f>IF($N49="","",INDEX('Cronograma R. Normativo'!$Q$5:$Q$1000,$N49)&amp;"")</f>
        <v/>
      </c>
      <c r="N49">
        <f>IFERROR(MATCH(ROW()-4,rOrden_RN,0),"")</f>
        <v/>
      </c>
      <c r="O49">
        <f>IF($N49="","",INDEX('Cronograma R. Normativo'!$V$5:$V$1000,$N49))</f>
        <v/>
      </c>
      <c r="P49">
        <f>IF($N49="","",N(INDEX('Cronograma R. Normativo'!$W$5:$W$1000,$N49)))</f>
        <v/>
      </c>
      <c r="Q49">
        <f>IF(OR(LEFT($L49,7)="Vencida",LEFT($L49,5)="Vence"),SUMPRODUCT(--(LEFT($L$5:$L49,7)="Vencida"))+SUMPRODUCT(--(LEFT($L$5:$L49,5)="Vence")),"")</f>
        <v/>
      </c>
    </row>
    <row r="50">
      <c r="A50" s="56">
        <f>IF($N50="","",INDEX('Cronograma R. Normativo'!$A$5:$A$1000,$N50))</f>
        <v/>
      </c>
      <c r="B50" s="62">
        <f>IF($N50="","",IF($O50="Sub","      ↳  "&amp;INDEX('Cronograma R. Normativo'!$C$5:$C$1000,$N50),INDEX('Cronograma R. Normativo'!$C$5:$C$1000,$N50)&amp;""))</f>
        <v/>
      </c>
      <c r="C50" s="79">
        <f>IF($N50="","",IF(INDEX('Cronograma R. Normativo'!$AR$5:$AR$1000,$N50)="","",INDEX('Cronograma R. Normativo'!$AR$5:$AR$1000,$N50)))</f>
        <v/>
      </c>
      <c r="D50" s="79">
        <f>IF($N50="","",IF(INDEX('Cronograma R. Normativo'!$AS$5:$AS$1000,$N50)="","",INDEX('Cronograma R. Normativo'!$AS$5:$AS$1000,$N50)))</f>
        <v/>
      </c>
      <c r="E50" s="56">
        <f>IF($N50="","",IF(NOT(ISNUMBER($D50)),"",IF($D50&lt;InicioCiclo,"Antes del ciclo",IF($D50&gt;=InicioCiclo+28,"Después del ciclo","Semana "&amp;(INT(($D50-InicioCiclo)/7)+1)))))</f>
        <v/>
      </c>
      <c r="F50" s="61">
        <f>IF($N50="","",IF($P50&gt;0,IF(1&lt;=SemanaActual,INDEX('Cronograma R. Normativo'!$AH$5:$AH$1000,$N50),""),IF(INDEX('Cronograma R. Normativo'!$I$5:$I$1000,$N50)="","",INDEX('Cronograma R. Normativo'!$I$5:$I$1000,$N50))))</f>
        <v/>
      </c>
      <c r="G50" s="61">
        <f>IF($N50="","",IF($P50&gt;0,IF(2&lt;=SemanaActual,INDEX('Cronograma R. Normativo'!$AI$5:$AI$1000,$N50),""),IF(INDEX('Cronograma R. Normativo'!$J$5:$J$1000,$N50)="","",INDEX('Cronograma R. Normativo'!$J$5:$J$1000,$N50))))</f>
        <v/>
      </c>
      <c r="H50" s="61">
        <f>IF($N50="","",IF($P50&gt;0,IF(3&lt;=SemanaActual,INDEX('Cronograma R. Normativo'!$AJ$5:$AJ$1000,$N50),""),IF(INDEX('Cronograma R. Normativo'!$K$5:$K$1000,$N50)="","",INDEX('Cronograma R. Normativo'!$K$5:$K$1000,$N50))))</f>
        <v/>
      </c>
      <c r="I50" s="61">
        <f>IF($N50="","",IF($P50&gt;0,IF(4&lt;=SemanaActual,INDEX('Cronograma R. Normativo'!$AK$5:$AK$1000,$N50),""),IF(INDEX('Cronograma R. Normativo'!$L$5:$L$1000,$N50)="","",INDEX('Cronograma R. Normativo'!$L$5:$L$1000,$N50))))</f>
        <v/>
      </c>
      <c r="J50" s="61">
        <f>IF($N50="","",INDEX('Cronograma R. Normativo'!$M$5:$M$1000,$N50))</f>
        <v/>
      </c>
      <c r="K50" s="56">
        <f>IF($N50="","",IF(N($J50)&gt;=1,"Completado",IF(AND(ISNUMBER($D50),$D50&lt;FechaRef),"Vencida",IF(N($J50)&gt;0,"En curso","Pendiente"))))</f>
        <v/>
      </c>
      <c r="L50" s="56">
        <f>IF($N50="","",INDEX('Cronograma R. Normativo'!$O$5:$O$1000,$N50)&amp;"")</f>
        <v/>
      </c>
      <c r="M50" s="62">
        <f>IF($N50="","",INDEX('Cronograma R. Normativo'!$Q$5:$Q$1000,$N50)&amp;"")</f>
        <v/>
      </c>
      <c r="N50">
        <f>IFERROR(MATCH(ROW()-4,rOrden_RN,0),"")</f>
        <v/>
      </c>
      <c r="O50">
        <f>IF($N50="","",INDEX('Cronograma R. Normativo'!$V$5:$V$1000,$N50))</f>
        <v/>
      </c>
      <c r="P50">
        <f>IF($N50="","",N(INDEX('Cronograma R. Normativo'!$W$5:$W$1000,$N50)))</f>
        <v/>
      </c>
      <c r="Q50">
        <f>IF(OR(LEFT($L50,7)="Vencida",LEFT($L50,5)="Vence"),SUMPRODUCT(--(LEFT($L$5:$L50,7)="Vencida"))+SUMPRODUCT(--(LEFT($L$5:$L50,5)="Vence")),"")</f>
        <v/>
      </c>
    </row>
    <row r="51">
      <c r="A51" s="56">
        <f>IF($N51="","",INDEX('Cronograma R. Normativo'!$A$5:$A$1000,$N51))</f>
        <v/>
      </c>
      <c r="B51" s="62">
        <f>IF($N51="","",IF($O51="Sub","      ↳  "&amp;INDEX('Cronograma R. Normativo'!$C$5:$C$1000,$N51),INDEX('Cronograma R. Normativo'!$C$5:$C$1000,$N51)&amp;""))</f>
        <v/>
      </c>
      <c r="C51" s="79">
        <f>IF($N51="","",IF(INDEX('Cronograma R. Normativo'!$AR$5:$AR$1000,$N51)="","",INDEX('Cronograma R. Normativo'!$AR$5:$AR$1000,$N51)))</f>
        <v/>
      </c>
      <c r="D51" s="79">
        <f>IF($N51="","",IF(INDEX('Cronograma R. Normativo'!$AS$5:$AS$1000,$N51)="","",INDEX('Cronograma R. Normativo'!$AS$5:$AS$1000,$N51)))</f>
        <v/>
      </c>
      <c r="E51" s="56">
        <f>IF($N51="","",IF(NOT(ISNUMBER($D51)),"",IF($D51&lt;InicioCiclo,"Antes del ciclo",IF($D51&gt;=InicioCiclo+28,"Después del ciclo","Semana "&amp;(INT(($D51-InicioCiclo)/7)+1)))))</f>
        <v/>
      </c>
      <c r="F51" s="61">
        <f>IF($N51="","",IF($P51&gt;0,IF(1&lt;=SemanaActual,INDEX('Cronograma R. Normativo'!$AH$5:$AH$1000,$N51),""),IF(INDEX('Cronograma R. Normativo'!$I$5:$I$1000,$N51)="","",INDEX('Cronograma R. Normativo'!$I$5:$I$1000,$N51))))</f>
        <v/>
      </c>
      <c r="G51" s="61">
        <f>IF($N51="","",IF($P51&gt;0,IF(2&lt;=SemanaActual,INDEX('Cronograma R. Normativo'!$AI$5:$AI$1000,$N51),""),IF(INDEX('Cronograma R. Normativo'!$J$5:$J$1000,$N51)="","",INDEX('Cronograma R. Normativo'!$J$5:$J$1000,$N51))))</f>
        <v/>
      </c>
      <c r="H51" s="61">
        <f>IF($N51="","",IF($P51&gt;0,IF(3&lt;=SemanaActual,INDEX('Cronograma R. Normativo'!$AJ$5:$AJ$1000,$N51),""),IF(INDEX('Cronograma R. Normativo'!$K$5:$K$1000,$N51)="","",INDEX('Cronograma R. Normativo'!$K$5:$K$1000,$N51))))</f>
        <v/>
      </c>
      <c r="I51" s="61">
        <f>IF($N51="","",IF($P51&gt;0,IF(4&lt;=SemanaActual,INDEX('Cronograma R. Normativo'!$AK$5:$AK$1000,$N51),""),IF(INDEX('Cronograma R. Normativo'!$L$5:$L$1000,$N51)="","",INDEX('Cronograma R. Normativo'!$L$5:$L$1000,$N51))))</f>
        <v/>
      </c>
      <c r="J51" s="61">
        <f>IF($N51="","",INDEX('Cronograma R. Normativo'!$M$5:$M$1000,$N51))</f>
        <v/>
      </c>
      <c r="K51" s="56">
        <f>IF($N51="","",IF(N($J51)&gt;=1,"Completado",IF(AND(ISNUMBER($D51),$D51&lt;FechaRef),"Vencida",IF(N($J51)&gt;0,"En curso","Pendiente"))))</f>
        <v/>
      </c>
      <c r="L51" s="56">
        <f>IF($N51="","",INDEX('Cronograma R. Normativo'!$O$5:$O$1000,$N51)&amp;"")</f>
        <v/>
      </c>
      <c r="M51" s="62">
        <f>IF($N51="","",INDEX('Cronograma R. Normativo'!$Q$5:$Q$1000,$N51)&amp;"")</f>
        <v/>
      </c>
      <c r="N51">
        <f>IFERROR(MATCH(ROW()-4,rOrden_RN,0),"")</f>
        <v/>
      </c>
      <c r="O51">
        <f>IF($N51="","",INDEX('Cronograma R. Normativo'!$V$5:$V$1000,$N51))</f>
        <v/>
      </c>
      <c r="P51">
        <f>IF($N51="","",N(INDEX('Cronograma R. Normativo'!$W$5:$W$1000,$N51)))</f>
        <v/>
      </c>
      <c r="Q51">
        <f>IF(OR(LEFT($L51,7)="Vencida",LEFT($L51,5)="Vence"),SUMPRODUCT(--(LEFT($L$5:$L51,7)="Vencida"))+SUMPRODUCT(--(LEFT($L$5:$L51,5)="Vence")),"")</f>
        <v/>
      </c>
    </row>
    <row r="52">
      <c r="A52" s="56">
        <f>IF($N52="","",INDEX('Cronograma R. Normativo'!$A$5:$A$1000,$N52))</f>
        <v/>
      </c>
      <c r="B52" s="62">
        <f>IF($N52="","",IF($O52="Sub","      ↳  "&amp;INDEX('Cronograma R. Normativo'!$C$5:$C$1000,$N52),INDEX('Cronograma R. Normativo'!$C$5:$C$1000,$N52)&amp;""))</f>
        <v/>
      </c>
      <c r="C52" s="79">
        <f>IF($N52="","",IF(INDEX('Cronograma R. Normativo'!$AR$5:$AR$1000,$N52)="","",INDEX('Cronograma R. Normativo'!$AR$5:$AR$1000,$N52)))</f>
        <v/>
      </c>
      <c r="D52" s="79">
        <f>IF($N52="","",IF(INDEX('Cronograma R. Normativo'!$AS$5:$AS$1000,$N52)="","",INDEX('Cronograma R. Normativo'!$AS$5:$AS$1000,$N52)))</f>
        <v/>
      </c>
      <c r="E52" s="56">
        <f>IF($N52="","",IF(NOT(ISNUMBER($D52)),"",IF($D52&lt;InicioCiclo,"Antes del ciclo",IF($D52&gt;=InicioCiclo+28,"Después del ciclo","Semana "&amp;(INT(($D52-InicioCiclo)/7)+1)))))</f>
        <v/>
      </c>
      <c r="F52" s="61">
        <f>IF($N52="","",IF($P52&gt;0,IF(1&lt;=SemanaActual,INDEX('Cronograma R. Normativo'!$AH$5:$AH$1000,$N52),""),IF(INDEX('Cronograma R. Normativo'!$I$5:$I$1000,$N52)="","",INDEX('Cronograma R. Normativo'!$I$5:$I$1000,$N52))))</f>
        <v/>
      </c>
      <c r="G52" s="61">
        <f>IF($N52="","",IF($P52&gt;0,IF(2&lt;=SemanaActual,INDEX('Cronograma R. Normativo'!$AI$5:$AI$1000,$N52),""),IF(INDEX('Cronograma R. Normativo'!$J$5:$J$1000,$N52)="","",INDEX('Cronograma R. Normativo'!$J$5:$J$1000,$N52))))</f>
        <v/>
      </c>
      <c r="H52" s="61">
        <f>IF($N52="","",IF($P52&gt;0,IF(3&lt;=SemanaActual,INDEX('Cronograma R. Normativo'!$AJ$5:$AJ$1000,$N52),""),IF(INDEX('Cronograma R. Normativo'!$K$5:$K$1000,$N52)="","",INDEX('Cronograma R. Normativo'!$K$5:$K$1000,$N52))))</f>
        <v/>
      </c>
      <c r="I52" s="61">
        <f>IF($N52="","",IF($P52&gt;0,IF(4&lt;=SemanaActual,INDEX('Cronograma R. Normativo'!$AK$5:$AK$1000,$N52),""),IF(INDEX('Cronograma R. Normativo'!$L$5:$L$1000,$N52)="","",INDEX('Cronograma R. Normativo'!$L$5:$L$1000,$N52))))</f>
        <v/>
      </c>
      <c r="J52" s="61">
        <f>IF($N52="","",INDEX('Cronograma R. Normativo'!$M$5:$M$1000,$N52))</f>
        <v/>
      </c>
      <c r="K52" s="56">
        <f>IF($N52="","",IF(N($J52)&gt;=1,"Completado",IF(AND(ISNUMBER($D52),$D52&lt;FechaRef),"Vencida",IF(N($J52)&gt;0,"En curso","Pendiente"))))</f>
        <v/>
      </c>
      <c r="L52" s="56">
        <f>IF($N52="","",INDEX('Cronograma R. Normativo'!$O$5:$O$1000,$N52)&amp;"")</f>
        <v/>
      </c>
      <c r="M52" s="62">
        <f>IF($N52="","",INDEX('Cronograma R. Normativo'!$Q$5:$Q$1000,$N52)&amp;"")</f>
        <v/>
      </c>
      <c r="N52">
        <f>IFERROR(MATCH(ROW()-4,rOrden_RN,0),"")</f>
        <v/>
      </c>
      <c r="O52">
        <f>IF($N52="","",INDEX('Cronograma R. Normativo'!$V$5:$V$1000,$N52))</f>
        <v/>
      </c>
      <c r="P52">
        <f>IF($N52="","",N(INDEX('Cronograma R. Normativo'!$W$5:$W$1000,$N52)))</f>
        <v/>
      </c>
      <c r="Q52">
        <f>IF(OR(LEFT($L52,7)="Vencida",LEFT($L52,5)="Vence"),SUMPRODUCT(--(LEFT($L$5:$L52,7)="Vencida"))+SUMPRODUCT(--(LEFT($L$5:$L52,5)="Vence")),"")</f>
        <v/>
      </c>
    </row>
    <row r="53">
      <c r="A53" s="56">
        <f>IF($N53="","",INDEX('Cronograma R. Normativo'!$A$5:$A$1000,$N53))</f>
        <v/>
      </c>
      <c r="B53" s="62">
        <f>IF($N53="","",IF($O53="Sub","      ↳  "&amp;INDEX('Cronograma R. Normativo'!$C$5:$C$1000,$N53),INDEX('Cronograma R. Normativo'!$C$5:$C$1000,$N53)&amp;""))</f>
        <v/>
      </c>
      <c r="C53" s="79">
        <f>IF($N53="","",IF(INDEX('Cronograma R. Normativo'!$AR$5:$AR$1000,$N53)="","",INDEX('Cronograma R. Normativo'!$AR$5:$AR$1000,$N53)))</f>
        <v/>
      </c>
      <c r="D53" s="79">
        <f>IF($N53="","",IF(INDEX('Cronograma R. Normativo'!$AS$5:$AS$1000,$N53)="","",INDEX('Cronograma R. Normativo'!$AS$5:$AS$1000,$N53)))</f>
        <v/>
      </c>
      <c r="E53" s="56">
        <f>IF($N53="","",IF(NOT(ISNUMBER($D53)),"",IF($D53&lt;InicioCiclo,"Antes del ciclo",IF($D53&gt;=InicioCiclo+28,"Después del ciclo","Semana "&amp;(INT(($D53-InicioCiclo)/7)+1)))))</f>
        <v/>
      </c>
      <c r="F53" s="61">
        <f>IF($N53="","",IF($P53&gt;0,IF(1&lt;=SemanaActual,INDEX('Cronograma R. Normativo'!$AH$5:$AH$1000,$N53),""),IF(INDEX('Cronograma R. Normativo'!$I$5:$I$1000,$N53)="","",INDEX('Cronograma R. Normativo'!$I$5:$I$1000,$N53))))</f>
        <v/>
      </c>
      <c r="G53" s="61">
        <f>IF($N53="","",IF($P53&gt;0,IF(2&lt;=SemanaActual,INDEX('Cronograma R. Normativo'!$AI$5:$AI$1000,$N53),""),IF(INDEX('Cronograma R. Normativo'!$J$5:$J$1000,$N53)="","",INDEX('Cronograma R. Normativo'!$J$5:$J$1000,$N53))))</f>
        <v/>
      </c>
      <c r="H53" s="61">
        <f>IF($N53="","",IF($P53&gt;0,IF(3&lt;=SemanaActual,INDEX('Cronograma R. Normativo'!$AJ$5:$AJ$1000,$N53),""),IF(INDEX('Cronograma R. Normativo'!$K$5:$K$1000,$N53)="","",INDEX('Cronograma R. Normativo'!$K$5:$K$1000,$N53))))</f>
        <v/>
      </c>
      <c r="I53" s="61">
        <f>IF($N53="","",IF($P53&gt;0,IF(4&lt;=SemanaActual,INDEX('Cronograma R. Normativo'!$AK$5:$AK$1000,$N53),""),IF(INDEX('Cronograma R. Normativo'!$L$5:$L$1000,$N53)="","",INDEX('Cronograma R. Normativo'!$L$5:$L$1000,$N53))))</f>
        <v/>
      </c>
      <c r="J53" s="61">
        <f>IF($N53="","",INDEX('Cronograma R. Normativo'!$M$5:$M$1000,$N53))</f>
        <v/>
      </c>
      <c r="K53" s="56">
        <f>IF($N53="","",IF(N($J53)&gt;=1,"Completado",IF(AND(ISNUMBER($D53),$D53&lt;FechaRef),"Vencida",IF(N($J53)&gt;0,"En curso","Pendiente"))))</f>
        <v/>
      </c>
      <c r="L53" s="56">
        <f>IF($N53="","",INDEX('Cronograma R. Normativo'!$O$5:$O$1000,$N53)&amp;"")</f>
        <v/>
      </c>
      <c r="M53" s="62">
        <f>IF($N53="","",INDEX('Cronograma R. Normativo'!$Q$5:$Q$1000,$N53)&amp;"")</f>
        <v/>
      </c>
      <c r="N53">
        <f>IFERROR(MATCH(ROW()-4,rOrden_RN,0),"")</f>
        <v/>
      </c>
      <c r="O53">
        <f>IF($N53="","",INDEX('Cronograma R. Normativo'!$V$5:$V$1000,$N53))</f>
        <v/>
      </c>
      <c r="P53">
        <f>IF($N53="","",N(INDEX('Cronograma R. Normativo'!$W$5:$W$1000,$N53)))</f>
        <v/>
      </c>
      <c r="Q53">
        <f>IF(OR(LEFT($L53,7)="Vencida",LEFT($L53,5)="Vence"),SUMPRODUCT(--(LEFT($L$5:$L53,7)="Vencida"))+SUMPRODUCT(--(LEFT($L$5:$L53,5)="Vence")),"")</f>
        <v/>
      </c>
    </row>
    <row r="54">
      <c r="A54" s="56">
        <f>IF($N54="","",INDEX('Cronograma R. Normativo'!$A$5:$A$1000,$N54))</f>
        <v/>
      </c>
      <c r="B54" s="62">
        <f>IF($N54="","",IF($O54="Sub","      ↳  "&amp;INDEX('Cronograma R. Normativo'!$C$5:$C$1000,$N54),INDEX('Cronograma R. Normativo'!$C$5:$C$1000,$N54)&amp;""))</f>
        <v/>
      </c>
      <c r="C54" s="79">
        <f>IF($N54="","",IF(INDEX('Cronograma R. Normativo'!$AR$5:$AR$1000,$N54)="","",INDEX('Cronograma R. Normativo'!$AR$5:$AR$1000,$N54)))</f>
        <v/>
      </c>
      <c r="D54" s="79">
        <f>IF($N54="","",IF(INDEX('Cronograma R. Normativo'!$AS$5:$AS$1000,$N54)="","",INDEX('Cronograma R. Normativo'!$AS$5:$AS$1000,$N54)))</f>
        <v/>
      </c>
      <c r="E54" s="56">
        <f>IF($N54="","",IF(NOT(ISNUMBER($D54)),"",IF($D54&lt;InicioCiclo,"Antes del ciclo",IF($D54&gt;=InicioCiclo+28,"Después del ciclo","Semana "&amp;(INT(($D54-InicioCiclo)/7)+1)))))</f>
        <v/>
      </c>
      <c r="F54" s="61">
        <f>IF($N54="","",IF($P54&gt;0,IF(1&lt;=SemanaActual,INDEX('Cronograma R. Normativo'!$AH$5:$AH$1000,$N54),""),IF(INDEX('Cronograma R. Normativo'!$I$5:$I$1000,$N54)="","",INDEX('Cronograma R. Normativo'!$I$5:$I$1000,$N54))))</f>
        <v/>
      </c>
      <c r="G54" s="61">
        <f>IF($N54="","",IF($P54&gt;0,IF(2&lt;=SemanaActual,INDEX('Cronograma R. Normativo'!$AI$5:$AI$1000,$N54),""),IF(INDEX('Cronograma R. Normativo'!$J$5:$J$1000,$N54)="","",INDEX('Cronograma R. Normativo'!$J$5:$J$1000,$N54))))</f>
        <v/>
      </c>
      <c r="H54" s="61">
        <f>IF($N54="","",IF($P54&gt;0,IF(3&lt;=SemanaActual,INDEX('Cronograma R. Normativo'!$AJ$5:$AJ$1000,$N54),""),IF(INDEX('Cronograma R. Normativo'!$K$5:$K$1000,$N54)="","",INDEX('Cronograma R. Normativo'!$K$5:$K$1000,$N54))))</f>
        <v/>
      </c>
      <c r="I54" s="61">
        <f>IF($N54="","",IF($P54&gt;0,IF(4&lt;=SemanaActual,INDEX('Cronograma R. Normativo'!$AK$5:$AK$1000,$N54),""),IF(INDEX('Cronograma R. Normativo'!$L$5:$L$1000,$N54)="","",INDEX('Cronograma R. Normativo'!$L$5:$L$1000,$N54))))</f>
        <v/>
      </c>
      <c r="J54" s="61">
        <f>IF($N54="","",INDEX('Cronograma R. Normativo'!$M$5:$M$1000,$N54))</f>
        <v/>
      </c>
      <c r="K54" s="56">
        <f>IF($N54="","",IF(N($J54)&gt;=1,"Completado",IF(AND(ISNUMBER($D54),$D54&lt;FechaRef),"Vencida",IF(N($J54)&gt;0,"En curso","Pendiente"))))</f>
        <v/>
      </c>
      <c r="L54" s="56">
        <f>IF($N54="","",INDEX('Cronograma R. Normativo'!$O$5:$O$1000,$N54)&amp;"")</f>
        <v/>
      </c>
      <c r="M54" s="62">
        <f>IF($N54="","",INDEX('Cronograma R. Normativo'!$Q$5:$Q$1000,$N54)&amp;"")</f>
        <v/>
      </c>
      <c r="N54">
        <f>IFERROR(MATCH(ROW()-4,rOrden_RN,0),"")</f>
        <v/>
      </c>
      <c r="O54">
        <f>IF($N54="","",INDEX('Cronograma R. Normativo'!$V$5:$V$1000,$N54))</f>
        <v/>
      </c>
      <c r="P54">
        <f>IF($N54="","",N(INDEX('Cronograma R. Normativo'!$W$5:$W$1000,$N54)))</f>
        <v/>
      </c>
      <c r="Q54">
        <f>IF(OR(LEFT($L54,7)="Vencida",LEFT($L54,5)="Vence"),SUMPRODUCT(--(LEFT($L$5:$L54,7)="Vencida"))+SUMPRODUCT(--(LEFT($L$5:$L54,5)="Vence")),"")</f>
        <v/>
      </c>
    </row>
    <row r="55">
      <c r="A55" s="56">
        <f>IF($N55="","",INDEX('Cronograma R. Normativo'!$A$5:$A$1000,$N55))</f>
        <v/>
      </c>
      <c r="B55" s="62">
        <f>IF($N55="","",IF($O55="Sub","      ↳  "&amp;INDEX('Cronograma R. Normativo'!$C$5:$C$1000,$N55),INDEX('Cronograma R. Normativo'!$C$5:$C$1000,$N55)&amp;""))</f>
        <v/>
      </c>
      <c r="C55" s="79">
        <f>IF($N55="","",IF(INDEX('Cronograma R. Normativo'!$AR$5:$AR$1000,$N55)="","",INDEX('Cronograma R. Normativo'!$AR$5:$AR$1000,$N55)))</f>
        <v/>
      </c>
      <c r="D55" s="79">
        <f>IF($N55="","",IF(INDEX('Cronograma R. Normativo'!$AS$5:$AS$1000,$N55)="","",INDEX('Cronograma R. Normativo'!$AS$5:$AS$1000,$N55)))</f>
        <v/>
      </c>
      <c r="E55" s="56">
        <f>IF($N55="","",IF(NOT(ISNUMBER($D55)),"",IF($D55&lt;InicioCiclo,"Antes del ciclo",IF($D55&gt;=InicioCiclo+28,"Después del ciclo","Semana "&amp;(INT(($D55-InicioCiclo)/7)+1)))))</f>
        <v/>
      </c>
      <c r="F55" s="61">
        <f>IF($N55="","",IF($P55&gt;0,IF(1&lt;=SemanaActual,INDEX('Cronograma R. Normativo'!$AH$5:$AH$1000,$N55),""),IF(INDEX('Cronograma R. Normativo'!$I$5:$I$1000,$N55)="","",INDEX('Cronograma R. Normativo'!$I$5:$I$1000,$N55))))</f>
        <v/>
      </c>
      <c r="G55" s="61">
        <f>IF($N55="","",IF($P55&gt;0,IF(2&lt;=SemanaActual,INDEX('Cronograma R. Normativo'!$AI$5:$AI$1000,$N55),""),IF(INDEX('Cronograma R. Normativo'!$J$5:$J$1000,$N55)="","",INDEX('Cronograma R. Normativo'!$J$5:$J$1000,$N55))))</f>
        <v/>
      </c>
      <c r="H55" s="61">
        <f>IF($N55="","",IF($P55&gt;0,IF(3&lt;=SemanaActual,INDEX('Cronograma R. Normativo'!$AJ$5:$AJ$1000,$N55),""),IF(INDEX('Cronograma R. Normativo'!$K$5:$K$1000,$N55)="","",INDEX('Cronograma R. Normativo'!$K$5:$K$1000,$N55))))</f>
        <v/>
      </c>
      <c r="I55" s="61">
        <f>IF($N55="","",IF($P55&gt;0,IF(4&lt;=SemanaActual,INDEX('Cronograma R. Normativo'!$AK$5:$AK$1000,$N55),""),IF(INDEX('Cronograma R. Normativo'!$L$5:$L$1000,$N55)="","",INDEX('Cronograma R. Normativo'!$L$5:$L$1000,$N55))))</f>
        <v/>
      </c>
      <c r="J55" s="61">
        <f>IF($N55="","",INDEX('Cronograma R. Normativo'!$M$5:$M$1000,$N55))</f>
        <v/>
      </c>
      <c r="K55" s="56">
        <f>IF($N55="","",IF(N($J55)&gt;=1,"Completado",IF(AND(ISNUMBER($D55),$D55&lt;FechaRef),"Vencida",IF(N($J55)&gt;0,"En curso","Pendiente"))))</f>
        <v/>
      </c>
      <c r="L55" s="56">
        <f>IF($N55="","",INDEX('Cronograma R. Normativo'!$O$5:$O$1000,$N55)&amp;"")</f>
        <v/>
      </c>
      <c r="M55" s="62">
        <f>IF($N55="","",INDEX('Cronograma R. Normativo'!$Q$5:$Q$1000,$N55)&amp;"")</f>
        <v/>
      </c>
      <c r="N55">
        <f>IFERROR(MATCH(ROW()-4,rOrden_RN,0),"")</f>
        <v/>
      </c>
      <c r="O55">
        <f>IF($N55="","",INDEX('Cronograma R. Normativo'!$V$5:$V$1000,$N55))</f>
        <v/>
      </c>
      <c r="P55">
        <f>IF($N55="","",N(INDEX('Cronograma R. Normativo'!$W$5:$W$1000,$N55)))</f>
        <v/>
      </c>
      <c r="Q55">
        <f>IF(OR(LEFT($L55,7)="Vencida",LEFT($L55,5)="Vence"),SUMPRODUCT(--(LEFT($L$5:$L55,7)="Vencida"))+SUMPRODUCT(--(LEFT($L$5:$L55,5)="Vence")),"")</f>
        <v/>
      </c>
    </row>
    <row r="56">
      <c r="A56" s="56">
        <f>IF($N56="","",INDEX('Cronograma R. Normativo'!$A$5:$A$1000,$N56))</f>
        <v/>
      </c>
      <c r="B56" s="62">
        <f>IF($N56="","",IF($O56="Sub","      ↳  "&amp;INDEX('Cronograma R. Normativo'!$C$5:$C$1000,$N56),INDEX('Cronograma R. Normativo'!$C$5:$C$1000,$N56)&amp;""))</f>
        <v/>
      </c>
      <c r="C56" s="79">
        <f>IF($N56="","",IF(INDEX('Cronograma R. Normativo'!$AR$5:$AR$1000,$N56)="","",INDEX('Cronograma R. Normativo'!$AR$5:$AR$1000,$N56)))</f>
        <v/>
      </c>
      <c r="D56" s="79">
        <f>IF($N56="","",IF(INDEX('Cronograma R. Normativo'!$AS$5:$AS$1000,$N56)="","",INDEX('Cronograma R. Normativo'!$AS$5:$AS$1000,$N56)))</f>
        <v/>
      </c>
      <c r="E56" s="56">
        <f>IF($N56="","",IF(NOT(ISNUMBER($D56)),"",IF($D56&lt;InicioCiclo,"Antes del ciclo",IF($D56&gt;=InicioCiclo+28,"Después del ciclo","Semana "&amp;(INT(($D56-InicioCiclo)/7)+1)))))</f>
        <v/>
      </c>
      <c r="F56" s="61">
        <f>IF($N56="","",IF($P56&gt;0,IF(1&lt;=SemanaActual,INDEX('Cronograma R. Normativo'!$AH$5:$AH$1000,$N56),""),IF(INDEX('Cronograma R. Normativo'!$I$5:$I$1000,$N56)="","",INDEX('Cronograma R. Normativo'!$I$5:$I$1000,$N56))))</f>
        <v/>
      </c>
      <c r="G56" s="61">
        <f>IF($N56="","",IF($P56&gt;0,IF(2&lt;=SemanaActual,INDEX('Cronograma R. Normativo'!$AI$5:$AI$1000,$N56),""),IF(INDEX('Cronograma R. Normativo'!$J$5:$J$1000,$N56)="","",INDEX('Cronograma R. Normativo'!$J$5:$J$1000,$N56))))</f>
        <v/>
      </c>
      <c r="H56" s="61">
        <f>IF($N56="","",IF($P56&gt;0,IF(3&lt;=SemanaActual,INDEX('Cronograma R. Normativo'!$AJ$5:$AJ$1000,$N56),""),IF(INDEX('Cronograma R. Normativo'!$K$5:$K$1000,$N56)="","",INDEX('Cronograma R. Normativo'!$K$5:$K$1000,$N56))))</f>
        <v/>
      </c>
      <c r="I56" s="61">
        <f>IF($N56="","",IF($P56&gt;0,IF(4&lt;=SemanaActual,INDEX('Cronograma R. Normativo'!$AK$5:$AK$1000,$N56),""),IF(INDEX('Cronograma R. Normativo'!$L$5:$L$1000,$N56)="","",INDEX('Cronograma R. Normativo'!$L$5:$L$1000,$N56))))</f>
        <v/>
      </c>
      <c r="J56" s="61">
        <f>IF($N56="","",INDEX('Cronograma R. Normativo'!$M$5:$M$1000,$N56))</f>
        <v/>
      </c>
      <c r="K56" s="56">
        <f>IF($N56="","",IF(N($J56)&gt;=1,"Completado",IF(AND(ISNUMBER($D56),$D56&lt;FechaRef),"Vencida",IF(N($J56)&gt;0,"En curso","Pendiente"))))</f>
        <v/>
      </c>
      <c r="L56" s="56">
        <f>IF($N56="","",INDEX('Cronograma R. Normativo'!$O$5:$O$1000,$N56)&amp;"")</f>
        <v/>
      </c>
      <c r="M56" s="62">
        <f>IF($N56="","",INDEX('Cronograma R. Normativo'!$Q$5:$Q$1000,$N56)&amp;"")</f>
        <v/>
      </c>
      <c r="N56">
        <f>IFERROR(MATCH(ROW()-4,rOrden_RN,0),"")</f>
        <v/>
      </c>
      <c r="O56">
        <f>IF($N56="","",INDEX('Cronograma R. Normativo'!$V$5:$V$1000,$N56))</f>
        <v/>
      </c>
      <c r="P56">
        <f>IF($N56="","",N(INDEX('Cronograma R. Normativo'!$W$5:$W$1000,$N56)))</f>
        <v/>
      </c>
      <c r="Q56">
        <f>IF(OR(LEFT($L56,7)="Vencida",LEFT($L56,5)="Vence"),SUMPRODUCT(--(LEFT($L$5:$L56,7)="Vencida"))+SUMPRODUCT(--(LEFT($L$5:$L56,5)="Vence")),"")</f>
        <v/>
      </c>
    </row>
    <row r="57">
      <c r="A57" s="56">
        <f>IF($N57="","",INDEX('Cronograma R. Normativo'!$A$5:$A$1000,$N57))</f>
        <v/>
      </c>
      <c r="B57" s="62">
        <f>IF($N57="","",IF($O57="Sub","      ↳  "&amp;INDEX('Cronograma R. Normativo'!$C$5:$C$1000,$N57),INDEX('Cronograma R. Normativo'!$C$5:$C$1000,$N57)&amp;""))</f>
        <v/>
      </c>
      <c r="C57" s="79">
        <f>IF($N57="","",IF(INDEX('Cronograma R. Normativo'!$AR$5:$AR$1000,$N57)="","",INDEX('Cronograma R. Normativo'!$AR$5:$AR$1000,$N57)))</f>
        <v/>
      </c>
      <c r="D57" s="79">
        <f>IF($N57="","",IF(INDEX('Cronograma R. Normativo'!$AS$5:$AS$1000,$N57)="","",INDEX('Cronograma R. Normativo'!$AS$5:$AS$1000,$N57)))</f>
        <v/>
      </c>
      <c r="E57" s="56">
        <f>IF($N57="","",IF(NOT(ISNUMBER($D57)),"",IF($D57&lt;InicioCiclo,"Antes del ciclo",IF($D57&gt;=InicioCiclo+28,"Después del ciclo","Semana "&amp;(INT(($D57-InicioCiclo)/7)+1)))))</f>
        <v/>
      </c>
      <c r="F57" s="61">
        <f>IF($N57="","",IF($P57&gt;0,IF(1&lt;=SemanaActual,INDEX('Cronograma R. Normativo'!$AH$5:$AH$1000,$N57),""),IF(INDEX('Cronograma R. Normativo'!$I$5:$I$1000,$N57)="","",INDEX('Cronograma R. Normativo'!$I$5:$I$1000,$N57))))</f>
        <v/>
      </c>
      <c r="G57" s="61">
        <f>IF($N57="","",IF($P57&gt;0,IF(2&lt;=SemanaActual,INDEX('Cronograma R. Normativo'!$AI$5:$AI$1000,$N57),""),IF(INDEX('Cronograma R. Normativo'!$J$5:$J$1000,$N57)="","",INDEX('Cronograma R. Normativo'!$J$5:$J$1000,$N57))))</f>
        <v/>
      </c>
      <c r="H57" s="61">
        <f>IF($N57="","",IF($P57&gt;0,IF(3&lt;=SemanaActual,INDEX('Cronograma R. Normativo'!$AJ$5:$AJ$1000,$N57),""),IF(INDEX('Cronograma R. Normativo'!$K$5:$K$1000,$N57)="","",INDEX('Cronograma R. Normativo'!$K$5:$K$1000,$N57))))</f>
        <v/>
      </c>
      <c r="I57" s="61">
        <f>IF($N57="","",IF($P57&gt;0,IF(4&lt;=SemanaActual,INDEX('Cronograma R. Normativo'!$AK$5:$AK$1000,$N57),""),IF(INDEX('Cronograma R. Normativo'!$L$5:$L$1000,$N57)="","",INDEX('Cronograma R. Normativo'!$L$5:$L$1000,$N57))))</f>
        <v/>
      </c>
      <c r="J57" s="61">
        <f>IF($N57="","",INDEX('Cronograma R. Normativo'!$M$5:$M$1000,$N57))</f>
        <v/>
      </c>
      <c r="K57" s="56">
        <f>IF($N57="","",IF(N($J57)&gt;=1,"Completado",IF(AND(ISNUMBER($D57),$D57&lt;FechaRef),"Vencida",IF(N($J57)&gt;0,"En curso","Pendiente"))))</f>
        <v/>
      </c>
      <c r="L57" s="56">
        <f>IF($N57="","",INDEX('Cronograma R. Normativo'!$O$5:$O$1000,$N57)&amp;"")</f>
        <v/>
      </c>
      <c r="M57" s="62">
        <f>IF($N57="","",INDEX('Cronograma R. Normativo'!$Q$5:$Q$1000,$N57)&amp;"")</f>
        <v/>
      </c>
      <c r="N57">
        <f>IFERROR(MATCH(ROW()-4,rOrden_RN,0),"")</f>
        <v/>
      </c>
      <c r="O57">
        <f>IF($N57="","",INDEX('Cronograma R. Normativo'!$V$5:$V$1000,$N57))</f>
        <v/>
      </c>
      <c r="P57">
        <f>IF($N57="","",N(INDEX('Cronograma R. Normativo'!$W$5:$W$1000,$N57)))</f>
        <v/>
      </c>
      <c r="Q57">
        <f>IF(OR(LEFT($L57,7)="Vencida",LEFT($L57,5)="Vence"),SUMPRODUCT(--(LEFT($L$5:$L57,7)="Vencida"))+SUMPRODUCT(--(LEFT($L$5:$L57,5)="Vence")),"")</f>
        <v/>
      </c>
    </row>
    <row r="58">
      <c r="A58" s="56">
        <f>IF($N58="","",INDEX('Cronograma R. Normativo'!$A$5:$A$1000,$N58))</f>
        <v/>
      </c>
      <c r="B58" s="62">
        <f>IF($N58="","",IF($O58="Sub","      ↳  "&amp;INDEX('Cronograma R. Normativo'!$C$5:$C$1000,$N58),INDEX('Cronograma R. Normativo'!$C$5:$C$1000,$N58)&amp;""))</f>
        <v/>
      </c>
      <c r="C58" s="79">
        <f>IF($N58="","",IF(INDEX('Cronograma R. Normativo'!$AR$5:$AR$1000,$N58)="","",INDEX('Cronograma R. Normativo'!$AR$5:$AR$1000,$N58)))</f>
        <v/>
      </c>
      <c r="D58" s="79">
        <f>IF($N58="","",IF(INDEX('Cronograma R. Normativo'!$AS$5:$AS$1000,$N58)="","",INDEX('Cronograma R. Normativo'!$AS$5:$AS$1000,$N58)))</f>
        <v/>
      </c>
      <c r="E58" s="56">
        <f>IF($N58="","",IF(NOT(ISNUMBER($D58)),"",IF($D58&lt;InicioCiclo,"Antes del ciclo",IF($D58&gt;=InicioCiclo+28,"Después del ciclo","Semana "&amp;(INT(($D58-InicioCiclo)/7)+1)))))</f>
        <v/>
      </c>
      <c r="F58" s="61">
        <f>IF($N58="","",IF($P58&gt;0,IF(1&lt;=SemanaActual,INDEX('Cronograma R. Normativo'!$AH$5:$AH$1000,$N58),""),IF(INDEX('Cronograma R. Normativo'!$I$5:$I$1000,$N58)="","",INDEX('Cronograma R. Normativo'!$I$5:$I$1000,$N58))))</f>
        <v/>
      </c>
      <c r="G58" s="61">
        <f>IF($N58="","",IF($P58&gt;0,IF(2&lt;=SemanaActual,INDEX('Cronograma R. Normativo'!$AI$5:$AI$1000,$N58),""),IF(INDEX('Cronograma R. Normativo'!$J$5:$J$1000,$N58)="","",INDEX('Cronograma R. Normativo'!$J$5:$J$1000,$N58))))</f>
        <v/>
      </c>
      <c r="H58" s="61">
        <f>IF($N58="","",IF($P58&gt;0,IF(3&lt;=SemanaActual,INDEX('Cronograma R. Normativo'!$AJ$5:$AJ$1000,$N58),""),IF(INDEX('Cronograma R. Normativo'!$K$5:$K$1000,$N58)="","",INDEX('Cronograma R. Normativo'!$K$5:$K$1000,$N58))))</f>
        <v/>
      </c>
      <c r="I58" s="61">
        <f>IF($N58="","",IF($P58&gt;0,IF(4&lt;=SemanaActual,INDEX('Cronograma R. Normativo'!$AK$5:$AK$1000,$N58),""),IF(INDEX('Cronograma R. Normativo'!$L$5:$L$1000,$N58)="","",INDEX('Cronograma R. Normativo'!$L$5:$L$1000,$N58))))</f>
        <v/>
      </c>
      <c r="J58" s="61">
        <f>IF($N58="","",INDEX('Cronograma R. Normativo'!$M$5:$M$1000,$N58))</f>
        <v/>
      </c>
      <c r="K58" s="56">
        <f>IF($N58="","",IF(N($J58)&gt;=1,"Completado",IF(AND(ISNUMBER($D58),$D58&lt;FechaRef),"Vencida",IF(N($J58)&gt;0,"En curso","Pendiente"))))</f>
        <v/>
      </c>
      <c r="L58" s="56">
        <f>IF($N58="","",INDEX('Cronograma R. Normativo'!$O$5:$O$1000,$N58)&amp;"")</f>
        <v/>
      </c>
      <c r="M58" s="62">
        <f>IF($N58="","",INDEX('Cronograma R. Normativo'!$Q$5:$Q$1000,$N58)&amp;"")</f>
        <v/>
      </c>
      <c r="N58">
        <f>IFERROR(MATCH(ROW()-4,rOrden_RN,0),"")</f>
        <v/>
      </c>
      <c r="O58">
        <f>IF($N58="","",INDEX('Cronograma R. Normativo'!$V$5:$V$1000,$N58))</f>
        <v/>
      </c>
      <c r="P58">
        <f>IF($N58="","",N(INDEX('Cronograma R. Normativo'!$W$5:$W$1000,$N58)))</f>
        <v/>
      </c>
      <c r="Q58">
        <f>IF(OR(LEFT($L58,7)="Vencida",LEFT($L58,5)="Vence"),SUMPRODUCT(--(LEFT($L$5:$L58,7)="Vencida"))+SUMPRODUCT(--(LEFT($L$5:$L58,5)="Vence")),"")</f>
        <v/>
      </c>
    </row>
    <row r="59">
      <c r="A59" s="56">
        <f>IF($N59="","",INDEX('Cronograma R. Normativo'!$A$5:$A$1000,$N59))</f>
        <v/>
      </c>
      <c r="B59" s="62">
        <f>IF($N59="","",IF($O59="Sub","      ↳  "&amp;INDEX('Cronograma R. Normativo'!$C$5:$C$1000,$N59),INDEX('Cronograma R. Normativo'!$C$5:$C$1000,$N59)&amp;""))</f>
        <v/>
      </c>
      <c r="C59" s="79">
        <f>IF($N59="","",IF(INDEX('Cronograma R. Normativo'!$AR$5:$AR$1000,$N59)="","",INDEX('Cronograma R. Normativo'!$AR$5:$AR$1000,$N59)))</f>
        <v/>
      </c>
      <c r="D59" s="79">
        <f>IF($N59="","",IF(INDEX('Cronograma R. Normativo'!$AS$5:$AS$1000,$N59)="","",INDEX('Cronograma R. Normativo'!$AS$5:$AS$1000,$N59)))</f>
        <v/>
      </c>
      <c r="E59" s="56">
        <f>IF($N59="","",IF(NOT(ISNUMBER($D59)),"",IF($D59&lt;InicioCiclo,"Antes del ciclo",IF($D59&gt;=InicioCiclo+28,"Después del ciclo","Semana "&amp;(INT(($D59-InicioCiclo)/7)+1)))))</f>
        <v/>
      </c>
      <c r="F59" s="61">
        <f>IF($N59="","",IF($P59&gt;0,IF(1&lt;=SemanaActual,INDEX('Cronograma R. Normativo'!$AH$5:$AH$1000,$N59),""),IF(INDEX('Cronograma R. Normativo'!$I$5:$I$1000,$N59)="","",INDEX('Cronograma R. Normativo'!$I$5:$I$1000,$N59))))</f>
        <v/>
      </c>
      <c r="G59" s="61">
        <f>IF($N59="","",IF($P59&gt;0,IF(2&lt;=SemanaActual,INDEX('Cronograma R. Normativo'!$AI$5:$AI$1000,$N59),""),IF(INDEX('Cronograma R. Normativo'!$J$5:$J$1000,$N59)="","",INDEX('Cronograma R. Normativo'!$J$5:$J$1000,$N59))))</f>
        <v/>
      </c>
      <c r="H59" s="61">
        <f>IF($N59="","",IF($P59&gt;0,IF(3&lt;=SemanaActual,INDEX('Cronograma R. Normativo'!$AJ$5:$AJ$1000,$N59),""),IF(INDEX('Cronograma R. Normativo'!$K$5:$K$1000,$N59)="","",INDEX('Cronograma R. Normativo'!$K$5:$K$1000,$N59))))</f>
        <v/>
      </c>
      <c r="I59" s="61">
        <f>IF($N59="","",IF($P59&gt;0,IF(4&lt;=SemanaActual,INDEX('Cronograma R. Normativo'!$AK$5:$AK$1000,$N59),""),IF(INDEX('Cronograma R. Normativo'!$L$5:$L$1000,$N59)="","",INDEX('Cronograma R. Normativo'!$L$5:$L$1000,$N59))))</f>
        <v/>
      </c>
      <c r="J59" s="61">
        <f>IF($N59="","",INDEX('Cronograma R. Normativo'!$M$5:$M$1000,$N59))</f>
        <v/>
      </c>
      <c r="K59" s="56">
        <f>IF($N59="","",IF(N($J59)&gt;=1,"Completado",IF(AND(ISNUMBER($D59),$D59&lt;FechaRef),"Vencida",IF(N($J59)&gt;0,"En curso","Pendiente"))))</f>
        <v/>
      </c>
      <c r="L59" s="56">
        <f>IF($N59="","",INDEX('Cronograma R. Normativo'!$O$5:$O$1000,$N59)&amp;"")</f>
        <v/>
      </c>
      <c r="M59" s="62">
        <f>IF($N59="","",INDEX('Cronograma R. Normativo'!$Q$5:$Q$1000,$N59)&amp;"")</f>
        <v/>
      </c>
      <c r="N59">
        <f>IFERROR(MATCH(ROW()-4,rOrden_RN,0),"")</f>
        <v/>
      </c>
      <c r="O59">
        <f>IF($N59="","",INDEX('Cronograma R. Normativo'!$V$5:$V$1000,$N59))</f>
        <v/>
      </c>
      <c r="P59">
        <f>IF($N59="","",N(INDEX('Cronograma R. Normativo'!$W$5:$W$1000,$N59)))</f>
        <v/>
      </c>
      <c r="Q59">
        <f>IF(OR(LEFT($L59,7)="Vencida",LEFT($L59,5)="Vence"),SUMPRODUCT(--(LEFT($L$5:$L59,7)="Vencida"))+SUMPRODUCT(--(LEFT($L$5:$L59,5)="Vence")),"")</f>
        <v/>
      </c>
    </row>
    <row r="60">
      <c r="A60" s="56">
        <f>IF($N60="","",INDEX('Cronograma R. Normativo'!$A$5:$A$1000,$N60))</f>
        <v/>
      </c>
      <c r="B60" s="62">
        <f>IF($N60="","",IF($O60="Sub","      ↳  "&amp;INDEX('Cronograma R. Normativo'!$C$5:$C$1000,$N60),INDEX('Cronograma R. Normativo'!$C$5:$C$1000,$N60)&amp;""))</f>
        <v/>
      </c>
      <c r="C60" s="79">
        <f>IF($N60="","",IF(INDEX('Cronograma R. Normativo'!$AR$5:$AR$1000,$N60)="","",INDEX('Cronograma R. Normativo'!$AR$5:$AR$1000,$N60)))</f>
        <v/>
      </c>
      <c r="D60" s="79">
        <f>IF($N60="","",IF(INDEX('Cronograma R. Normativo'!$AS$5:$AS$1000,$N60)="","",INDEX('Cronograma R. Normativo'!$AS$5:$AS$1000,$N60)))</f>
        <v/>
      </c>
      <c r="E60" s="56">
        <f>IF($N60="","",IF(NOT(ISNUMBER($D60)),"",IF($D60&lt;InicioCiclo,"Antes del ciclo",IF($D60&gt;=InicioCiclo+28,"Después del ciclo","Semana "&amp;(INT(($D60-InicioCiclo)/7)+1)))))</f>
        <v/>
      </c>
      <c r="F60" s="61">
        <f>IF($N60="","",IF($P60&gt;0,IF(1&lt;=SemanaActual,INDEX('Cronograma R. Normativo'!$AH$5:$AH$1000,$N60),""),IF(INDEX('Cronograma R. Normativo'!$I$5:$I$1000,$N60)="","",INDEX('Cronograma R. Normativo'!$I$5:$I$1000,$N60))))</f>
        <v/>
      </c>
      <c r="G60" s="61">
        <f>IF($N60="","",IF($P60&gt;0,IF(2&lt;=SemanaActual,INDEX('Cronograma R. Normativo'!$AI$5:$AI$1000,$N60),""),IF(INDEX('Cronograma R. Normativo'!$J$5:$J$1000,$N60)="","",INDEX('Cronograma R. Normativo'!$J$5:$J$1000,$N60))))</f>
        <v/>
      </c>
      <c r="H60" s="61">
        <f>IF($N60="","",IF($P60&gt;0,IF(3&lt;=SemanaActual,INDEX('Cronograma R. Normativo'!$AJ$5:$AJ$1000,$N60),""),IF(INDEX('Cronograma R. Normativo'!$K$5:$K$1000,$N60)="","",INDEX('Cronograma R. Normativo'!$K$5:$K$1000,$N60))))</f>
        <v/>
      </c>
      <c r="I60" s="61">
        <f>IF($N60="","",IF($P60&gt;0,IF(4&lt;=SemanaActual,INDEX('Cronograma R. Normativo'!$AK$5:$AK$1000,$N60),""),IF(INDEX('Cronograma R. Normativo'!$L$5:$L$1000,$N60)="","",INDEX('Cronograma R. Normativo'!$L$5:$L$1000,$N60))))</f>
        <v/>
      </c>
      <c r="J60" s="61">
        <f>IF($N60="","",INDEX('Cronograma R. Normativo'!$M$5:$M$1000,$N60))</f>
        <v/>
      </c>
      <c r="K60" s="56">
        <f>IF($N60="","",IF(N($J60)&gt;=1,"Completado",IF(AND(ISNUMBER($D60),$D60&lt;FechaRef),"Vencida",IF(N($J60)&gt;0,"En curso","Pendiente"))))</f>
        <v/>
      </c>
      <c r="L60" s="56">
        <f>IF($N60="","",INDEX('Cronograma R. Normativo'!$O$5:$O$1000,$N60)&amp;"")</f>
        <v/>
      </c>
      <c r="M60" s="62">
        <f>IF($N60="","",INDEX('Cronograma R. Normativo'!$Q$5:$Q$1000,$N60)&amp;"")</f>
        <v/>
      </c>
      <c r="N60">
        <f>IFERROR(MATCH(ROW()-4,rOrden_RN,0),"")</f>
        <v/>
      </c>
      <c r="O60">
        <f>IF($N60="","",INDEX('Cronograma R. Normativo'!$V$5:$V$1000,$N60))</f>
        <v/>
      </c>
      <c r="P60">
        <f>IF($N60="","",N(INDEX('Cronograma R. Normativo'!$W$5:$W$1000,$N60)))</f>
        <v/>
      </c>
      <c r="Q60">
        <f>IF(OR(LEFT($L60,7)="Vencida",LEFT($L60,5)="Vence"),SUMPRODUCT(--(LEFT($L$5:$L60,7)="Vencida"))+SUMPRODUCT(--(LEFT($L$5:$L60,5)="Vence")),"")</f>
        <v/>
      </c>
    </row>
    <row r="61">
      <c r="A61" s="56">
        <f>IF($N61="","",INDEX('Cronograma R. Normativo'!$A$5:$A$1000,$N61))</f>
        <v/>
      </c>
      <c r="B61" s="62">
        <f>IF($N61="","",IF($O61="Sub","      ↳  "&amp;INDEX('Cronograma R. Normativo'!$C$5:$C$1000,$N61),INDEX('Cronograma R. Normativo'!$C$5:$C$1000,$N61)&amp;""))</f>
        <v/>
      </c>
      <c r="C61" s="79">
        <f>IF($N61="","",IF(INDEX('Cronograma R. Normativo'!$AR$5:$AR$1000,$N61)="","",INDEX('Cronograma R. Normativo'!$AR$5:$AR$1000,$N61)))</f>
        <v/>
      </c>
      <c r="D61" s="79">
        <f>IF($N61="","",IF(INDEX('Cronograma R. Normativo'!$AS$5:$AS$1000,$N61)="","",INDEX('Cronograma R. Normativo'!$AS$5:$AS$1000,$N61)))</f>
        <v/>
      </c>
      <c r="E61" s="56">
        <f>IF($N61="","",IF(NOT(ISNUMBER($D61)),"",IF($D61&lt;InicioCiclo,"Antes del ciclo",IF($D61&gt;=InicioCiclo+28,"Después del ciclo","Semana "&amp;(INT(($D61-InicioCiclo)/7)+1)))))</f>
        <v/>
      </c>
      <c r="F61" s="61">
        <f>IF($N61="","",IF($P61&gt;0,IF(1&lt;=SemanaActual,INDEX('Cronograma R. Normativo'!$AH$5:$AH$1000,$N61),""),IF(INDEX('Cronograma R. Normativo'!$I$5:$I$1000,$N61)="","",INDEX('Cronograma R. Normativo'!$I$5:$I$1000,$N61))))</f>
        <v/>
      </c>
      <c r="G61" s="61">
        <f>IF($N61="","",IF($P61&gt;0,IF(2&lt;=SemanaActual,INDEX('Cronograma R. Normativo'!$AI$5:$AI$1000,$N61),""),IF(INDEX('Cronograma R. Normativo'!$J$5:$J$1000,$N61)="","",INDEX('Cronograma R. Normativo'!$J$5:$J$1000,$N61))))</f>
        <v/>
      </c>
      <c r="H61" s="61">
        <f>IF($N61="","",IF($P61&gt;0,IF(3&lt;=SemanaActual,INDEX('Cronograma R. Normativo'!$AJ$5:$AJ$1000,$N61),""),IF(INDEX('Cronograma R. Normativo'!$K$5:$K$1000,$N61)="","",INDEX('Cronograma R. Normativo'!$K$5:$K$1000,$N61))))</f>
        <v/>
      </c>
      <c r="I61" s="61">
        <f>IF($N61="","",IF($P61&gt;0,IF(4&lt;=SemanaActual,INDEX('Cronograma R. Normativo'!$AK$5:$AK$1000,$N61),""),IF(INDEX('Cronograma R. Normativo'!$L$5:$L$1000,$N61)="","",INDEX('Cronograma R. Normativo'!$L$5:$L$1000,$N61))))</f>
        <v/>
      </c>
      <c r="J61" s="61">
        <f>IF($N61="","",INDEX('Cronograma R. Normativo'!$M$5:$M$1000,$N61))</f>
        <v/>
      </c>
      <c r="K61" s="56">
        <f>IF($N61="","",IF(N($J61)&gt;=1,"Completado",IF(AND(ISNUMBER($D61),$D61&lt;FechaRef),"Vencida",IF(N($J61)&gt;0,"En curso","Pendiente"))))</f>
        <v/>
      </c>
      <c r="L61" s="56">
        <f>IF($N61="","",INDEX('Cronograma R. Normativo'!$O$5:$O$1000,$N61)&amp;"")</f>
        <v/>
      </c>
      <c r="M61" s="62">
        <f>IF($N61="","",INDEX('Cronograma R. Normativo'!$Q$5:$Q$1000,$N61)&amp;"")</f>
        <v/>
      </c>
      <c r="N61">
        <f>IFERROR(MATCH(ROW()-4,rOrden_RN,0),"")</f>
        <v/>
      </c>
      <c r="O61">
        <f>IF($N61="","",INDEX('Cronograma R. Normativo'!$V$5:$V$1000,$N61))</f>
        <v/>
      </c>
      <c r="P61">
        <f>IF($N61="","",N(INDEX('Cronograma R. Normativo'!$W$5:$W$1000,$N61)))</f>
        <v/>
      </c>
      <c r="Q61">
        <f>IF(OR(LEFT($L61,7)="Vencida",LEFT($L61,5)="Vence"),SUMPRODUCT(--(LEFT($L$5:$L61,7)="Vencida"))+SUMPRODUCT(--(LEFT($L$5:$L61,5)="Vence")),"")</f>
        <v/>
      </c>
    </row>
    <row r="62">
      <c r="A62" s="56">
        <f>IF($N62="","",INDEX('Cronograma R. Normativo'!$A$5:$A$1000,$N62))</f>
        <v/>
      </c>
      <c r="B62" s="62">
        <f>IF($N62="","",IF($O62="Sub","      ↳  "&amp;INDEX('Cronograma R. Normativo'!$C$5:$C$1000,$N62),INDEX('Cronograma R. Normativo'!$C$5:$C$1000,$N62)&amp;""))</f>
        <v/>
      </c>
      <c r="C62" s="79">
        <f>IF($N62="","",IF(INDEX('Cronograma R. Normativo'!$AR$5:$AR$1000,$N62)="","",INDEX('Cronograma R. Normativo'!$AR$5:$AR$1000,$N62)))</f>
        <v/>
      </c>
      <c r="D62" s="79">
        <f>IF($N62="","",IF(INDEX('Cronograma R. Normativo'!$AS$5:$AS$1000,$N62)="","",INDEX('Cronograma R. Normativo'!$AS$5:$AS$1000,$N62)))</f>
        <v/>
      </c>
      <c r="E62" s="56">
        <f>IF($N62="","",IF(NOT(ISNUMBER($D62)),"",IF($D62&lt;InicioCiclo,"Antes del ciclo",IF($D62&gt;=InicioCiclo+28,"Después del ciclo","Semana "&amp;(INT(($D62-InicioCiclo)/7)+1)))))</f>
        <v/>
      </c>
      <c r="F62" s="61">
        <f>IF($N62="","",IF($P62&gt;0,IF(1&lt;=SemanaActual,INDEX('Cronograma R. Normativo'!$AH$5:$AH$1000,$N62),""),IF(INDEX('Cronograma R. Normativo'!$I$5:$I$1000,$N62)="","",INDEX('Cronograma R. Normativo'!$I$5:$I$1000,$N62))))</f>
        <v/>
      </c>
      <c r="G62" s="61">
        <f>IF($N62="","",IF($P62&gt;0,IF(2&lt;=SemanaActual,INDEX('Cronograma R. Normativo'!$AI$5:$AI$1000,$N62),""),IF(INDEX('Cronograma R. Normativo'!$J$5:$J$1000,$N62)="","",INDEX('Cronograma R. Normativo'!$J$5:$J$1000,$N62))))</f>
        <v/>
      </c>
      <c r="H62" s="61">
        <f>IF($N62="","",IF($P62&gt;0,IF(3&lt;=SemanaActual,INDEX('Cronograma R. Normativo'!$AJ$5:$AJ$1000,$N62),""),IF(INDEX('Cronograma R. Normativo'!$K$5:$K$1000,$N62)="","",INDEX('Cronograma R. Normativo'!$K$5:$K$1000,$N62))))</f>
        <v/>
      </c>
      <c r="I62" s="61">
        <f>IF($N62="","",IF($P62&gt;0,IF(4&lt;=SemanaActual,INDEX('Cronograma R. Normativo'!$AK$5:$AK$1000,$N62),""),IF(INDEX('Cronograma R. Normativo'!$L$5:$L$1000,$N62)="","",INDEX('Cronograma R. Normativo'!$L$5:$L$1000,$N62))))</f>
        <v/>
      </c>
      <c r="J62" s="61">
        <f>IF($N62="","",INDEX('Cronograma R. Normativo'!$M$5:$M$1000,$N62))</f>
        <v/>
      </c>
      <c r="K62" s="56">
        <f>IF($N62="","",IF(N($J62)&gt;=1,"Completado",IF(AND(ISNUMBER($D62),$D62&lt;FechaRef),"Vencida",IF(N($J62)&gt;0,"En curso","Pendiente"))))</f>
        <v/>
      </c>
      <c r="L62" s="56">
        <f>IF($N62="","",INDEX('Cronograma R. Normativo'!$O$5:$O$1000,$N62)&amp;"")</f>
        <v/>
      </c>
      <c r="M62" s="62">
        <f>IF($N62="","",INDEX('Cronograma R. Normativo'!$Q$5:$Q$1000,$N62)&amp;"")</f>
        <v/>
      </c>
      <c r="N62">
        <f>IFERROR(MATCH(ROW()-4,rOrden_RN,0),"")</f>
        <v/>
      </c>
      <c r="O62">
        <f>IF($N62="","",INDEX('Cronograma R. Normativo'!$V$5:$V$1000,$N62))</f>
        <v/>
      </c>
      <c r="P62">
        <f>IF($N62="","",N(INDEX('Cronograma R. Normativo'!$W$5:$W$1000,$N62)))</f>
        <v/>
      </c>
      <c r="Q62">
        <f>IF(OR(LEFT($L62,7)="Vencida",LEFT($L62,5)="Vence"),SUMPRODUCT(--(LEFT($L$5:$L62,7)="Vencida"))+SUMPRODUCT(--(LEFT($L$5:$L62,5)="Vence")),"")</f>
        <v/>
      </c>
    </row>
    <row r="63">
      <c r="A63" s="56">
        <f>IF($N63="","",INDEX('Cronograma R. Normativo'!$A$5:$A$1000,$N63))</f>
        <v/>
      </c>
      <c r="B63" s="62">
        <f>IF($N63="","",IF($O63="Sub","      ↳  "&amp;INDEX('Cronograma R. Normativo'!$C$5:$C$1000,$N63),INDEX('Cronograma R. Normativo'!$C$5:$C$1000,$N63)&amp;""))</f>
        <v/>
      </c>
      <c r="C63" s="79">
        <f>IF($N63="","",IF(INDEX('Cronograma R. Normativo'!$AR$5:$AR$1000,$N63)="","",INDEX('Cronograma R. Normativo'!$AR$5:$AR$1000,$N63)))</f>
        <v/>
      </c>
      <c r="D63" s="79">
        <f>IF($N63="","",IF(INDEX('Cronograma R. Normativo'!$AS$5:$AS$1000,$N63)="","",INDEX('Cronograma R. Normativo'!$AS$5:$AS$1000,$N63)))</f>
        <v/>
      </c>
      <c r="E63" s="56">
        <f>IF($N63="","",IF(NOT(ISNUMBER($D63)),"",IF($D63&lt;InicioCiclo,"Antes del ciclo",IF($D63&gt;=InicioCiclo+28,"Después del ciclo","Semana "&amp;(INT(($D63-InicioCiclo)/7)+1)))))</f>
        <v/>
      </c>
      <c r="F63" s="61">
        <f>IF($N63="","",IF($P63&gt;0,IF(1&lt;=SemanaActual,INDEX('Cronograma R. Normativo'!$AH$5:$AH$1000,$N63),""),IF(INDEX('Cronograma R. Normativo'!$I$5:$I$1000,$N63)="","",INDEX('Cronograma R. Normativo'!$I$5:$I$1000,$N63))))</f>
        <v/>
      </c>
      <c r="G63" s="61">
        <f>IF($N63="","",IF($P63&gt;0,IF(2&lt;=SemanaActual,INDEX('Cronograma R. Normativo'!$AI$5:$AI$1000,$N63),""),IF(INDEX('Cronograma R. Normativo'!$J$5:$J$1000,$N63)="","",INDEX('Cronograma R. Normativo'!$J$5:$J$1000,$N63))))</f>
        <v/>
      </c>
      <c r="H63" s="61">
        <f>IF($N63="","",IF($P63&gt;0,IF(3&lt;=SemanaActual,INDEX('Cronograma R. Normativo'!$AJ$5:$AJ$1000,$N63),""),IF(INDEX('Cronograma R. Normativo'!$K$5:$K$1000,$N63)="","",INDEX('Cronograma R. Normativo'!$K$5:$K$1000,$N63))))</f>
        <v/>
      </c>
      <c r="I63" s="61">
        <f>IF($N63="","",IF($P63&gt;0,IF(4&lt;=SemanaActual,INDEX('Cronograma R. Normativo'!$AK$5:$AK$1000,$N63),""),IF(INDEX('Cronograma R. Normativo'!$L$5:$L$1000,$N63)="","",INDEX('Cronograma R. Normativo'!$L$5:$L$1000,$N63))))</f>
        <v/>
      </c>
      <c r="J63" s="61">
        <f>IF($N63="","",INDEX('Cronograma R. Normativo'!$M$5:$M$1000,$N63))</f>
        <v/>
      </c>
      <c r="K63" s="56">
        <f>IF($N63="","",IF(N($J63)&gt;=1,"Completado",IF(AND(ISNUMBER($D63),$D63&lt;FechaRef),"Vencida",IF(N($J63)&gt;0,"En curso","Pendiente"))))</f>
        <v/>
      </c>
      <c r="L63" s="56">
        <f>IF($N63="","",INDEX('Cronograma R. Normativo'!$O$5:$O$1000,$N63)&amp;"")</f>
        <v/>
      </c>
      <c r="M63" s="62">
        <f>IF($N63="","",INDEX('Cronograma R. Normativo'!$Q$5:$Q$1000,$N63)&amp;"")</f>
        <v/>
      </c>
      <c r="N63">
        <f>IFERROR(MATCH(ROW()-4,rOrden_RN,0),"")</f>
        <v/>
      </c>
      <c r="O63">
        <f>IF($N63="","",INDEX('Cronograma R. Normativo'!$V$5:$V$1000,$N63))</f>
        <v/>
      </c>
      <c r="P63">
        <f>IF($N63="","",N(INDEX('Cronograma R. Normativo'!$W$5:$W$1000,$N63)))</f>
        <v/>
      </c>
      <c r="Q63">
        <f>IF(OR(LEFT($L63,7)="Vencida",LEFT($L63,5)="Vence"),SUMPRODUCT(--(LEFT($L$5:$L63,7)="Vencida"))+SUMPRODUCT(--(LEFT($L$5:$L63,5)="Vence")),"")</f>
        <v/>
      </c>
    </row>
    <row r="64">
      <c r="A64" s="56">
        <f>IF($N64="","",INDEX('Cronograma R. Normativo'!$A$5:$A$1000,$N64))</f>
        <v/>
      </c>
      <c r="B64" s="62">
        <f>IF($N64="","",IF($O64="Sub","      ↳  "&amp;INDEX('Cronograma R. Normativo'!$C$5:$C$1000,$N64),INDEX('Cronograma R. Normativo'!$C$5:$C$1000,$N64)&amp;""))</f>
        <v/>
      </c>
      <c r="C64" s="79">
        <f>IF($N64="","",IF(INDEX('Cronograma R. Normativo'!$AR$5:$AR$1000,$N64)="","",INDEX('Cronograma R. Normativo'!$AR$5:$AR$1000,$N64)))</f>
        <v/>
      </c>
      <c r="D64" s="79">
        <f>IF($N64="","",IF(INDEX('Cronograma R. Normativo'!$AS$5:$AS$1000,$N64)="","",INDEX('Cronograma R. Normativo'!$AS$5:$AS$1000,$N64)))</f>
        <v/>
      </c>
      <c r="E64" s="56">
        <f>IF($N64="","",IF(NOT(ISNUMBER($D64)),"",IF($D64&lt;InicioCiclo,"Antes del ciclo",IF($D64&gt;=InicioCiclo+28,"Después del ciclo","Semana "&amp;(INT(($D64-InicioCiclo)/7)+1)))))</f>
        <v/>
      </c>
      <c r="F64" s="61">
        <f>IF($N64="","",IF($P64&gt;0,IF(1&lt;=SemanaActual,INDEX('Cronograma R. Normativo'!$AH$5:$AH$1000,$N64),""),IF(INDEX('Cronograma R. Normativo'!$I$5:$I$1000,$N64)="","",INDEX('Cronograma R. Normativo'!$I$5:$I$1000,$N64))))</f>
        <v/>
      </c>
      <c r="G64" s="61">
        <f>IF($N64="","",IF($P64&gt;0,IF(2&lt;=SemanaActual,INDEX('Cronograma R. Normativo'!$AI$5:$AI$1000,$N64),""),IF(INDEX('Cronograma R. Normativo'!$J$5:$J$1000,$N64)="","",INDEX('Cronograma R. Normativo'!$J$5:$J$1000,$N64))))</f>
        <v/>
      </c>
      <c r="H64" s="61">
        <f>IF($N64="","",IF($P64&gt;0,IF(3&lt;=SemanaActual,INDEX('Cronograma R. Normativo'!$AJ$5:$AJ$1000,$N64),""),IF(INDEX('Cronograma R. Normativo'!$K$5:$K$1000,$N64)="","",INDEX('Cronograma R. Normativo'!$K$5:$K$1000,$N64))))</f>
        <v/>
      </c>
      <c r="I64" s="61">
        <f>IF($N64="","",IF($P64&gt;0,IF(4&lt;=SemanaActual,INDEX('Cronograma R. Normativo'!$AK$5:$AK$1000,$N64),""),IF(INDEX('Cronograma R. Normativo'!$L$5:$L$1000,$N64)="","",INDEX('Cronograma R. Normativo'!$L$5:$L$1000,$N64))))</f>
        <v/>
      </c>
      <c r="J64" s="61">
        <f>IF($N64="","",INDEX('Cronograma R. Normativo'!$M$5:$M$1000,$N64))</f>
        <v/>
      </c>
      <c r="K64" s="56">
        <f>IF($N64="","",IF(N($J64)&gt;=1,"Completado",IF(AND(ISNUMBER($D64),$D64&lt;FechaRef),"Vencida",IF(N($J64)&gt;0,"En curso","Pendiente"))))</f>
        <v/>
      </c>
      <c r="L64" s="56">
        <f>IF($N64="","",INDEX('Cronograma R. Normativo'!$O$5:$O$1000,$N64)&amp;"")</f>
        <v/>
      </c>
      <c r="M64" s="62">
        <f>IF($N64="","",INDEX('Cronograma R. Normativo'!$Q$5:$Q$1000,$N64)&amp;"")</f>
        <v/>
      </c>
      <c r="N64">
        <f>IFERROR(MATCH(ROW()-4,rOrden_RN,0),"")</f>
        <v/>
      </c>
      <c r="O64">
        <f>IF($N64="","",INDEX('Cronograma R. Normativo'!$V$5:$V$1000,$N64))</f>
        <v/>
      </c>
      <c r="P64">
        <f>IF($N64="","",N(INDEX('Cronograma R. Normativo'!$W$5:$W$1000,$N64)))</f>
        <v/>
      </c>
      <c r="Q64">
        <f>IF(OR(LEFT($L64,7)="Vencida",LEFT($L64,5)="Vence"),SUMPRODUCT(--(LEFT($L$5:$L64,7)="Vencida"))+SUMPRODUCT(--(LEFT($L$5:$L64,5)="Vence")),"")</f>
        <v/>
      </c>
    </row>
    <row r="65">
      <c r="A65" s="56">
        <f>IF($N65="","",INDEX('Cronograma R. Normativo'!$A$5:$A$1000,$N65))</f>
        <v/>
      </c>
      <c r="B65" s="62">
        <f>IF($N65="","",IF($O65="Sub","      ↳  "&amp;INDEX('Cronograma R. Normativo'!$C$5:$C$1000,$N65),INDEX('Cronograma R. Normativo'!$C$5:$C$1000,$N65)&amp;""))</f>
        <v/>
      </c>
      <c r="C65" s="79">
        <f>IF($N65="","",IF(INDEX('Cronograma R. Normativo'!$AR$5:$AR$1000,$N65)="","",INDEX('Cronograma R. Normativo'!$AR$5:$AR$1000,$N65)))</f>
        <v/>
      </c>
      <c r="D65" s="79">
        <f>IF($N65="","",IF(INDEX('Cronograma R. Normativo'!$AS$5:$AS$1000,$N65)="","",INDEX('Cronograma R. Normativo'!$AS$5:$AS$1000,$N65)))</f>
        <v/>
      </c>
      <c r="E65" s="56">
        <f>IF($N65="","",IF(NOT(ISNUMBER($D65)),"",IF($D65&lt;InicioCiclo,"Antes del ciclo",IF($D65&gt;=InicioCiclo+28,"Después del ciclo","Semana "&amp;(INT(($D65-InicioCiclo)/7)+1)))))</f>
        <v/>
      </c>
      <c r="F65" s="61">
        <f>IF($N65="","",IF($P65&gt;0,IF(1&lt;=SemanaActual,INDEX('Cronograma R. Normativo'!$AH$5:$AH$1000,$N65),""),IF(INDEX('Cronograma R. Normativo'!$I$5:$I$1000,$N65)="","",INDEX('Cronograma R. Normativo'!$I$5:$I$1000,$N65))))</f>
        <v/>
      </c>
      <c r="G65" s="61">
        <f>IF($N65="","",IF($P65&gt;0,IF(2&lt;=SemanaActual,INDEX('Cronograma R. Normativo'!$AI$5:$AI$1000,$N65),""),IF(INDEX('Cronograma R. Normativo'!$J$5:$J$1000,$N65)="","",INDEX('Cronograma R. Normativo'!$J$5:$J$1000,$N65))))</f>
        <v/>
      </c>
      <c r="H65" s="61">
        <f>IF($N65="","",IF($P65&gt;0,IF(3&lt;=SemanaActual,INDEX('Cronograma R. Normativo'!$AJ$5:$AJ$1000,$N65),""),IF(INDEX('Cronograma R. Normativo'!$K$5:$K$1000,$N65)="","",INDEX('Cronograma R. Normativo'!$K$5:$K$1000,$N65))))</f>
        <v/>
      </c>
      <c r="I65" s="61">
        <f>IF($N65="","",IF($P65&gt;0,IF(4&lt;=SemanaActual,INDEX('Cronograma R. Normativo'!$AK$5:$AK$1000,$N65),""),IF(INDEX('Cronograma R. Normativo'!$L$5:$L$1000,$N65)="","",INDEX('Cronograma R. Normativo'!$L$5:$L$1000,$N65))))</f>
        <v/>
      </c>
      <c r="J65" s="61">
        <f>IF($N65="","",INDEX('Cronograma R. Normativo'!$M$5:$M$1000,$N65))</f>
        <v/>
      </c>
      <c r="K65" s="56">
        <f>IF($N65="","",IF(N($J65)&gt;=1,"Completado",IF(AND(ISNUMBER($D65),$D65&lt;FechaRef),"Vencida",IF(N($J65)&gt;0,"En curso","Pendiente"))))</f>
        <v/>
      </c>
      <c r="L65" s="56">
        <f>IF($N65="","",INDEX('Cronograma R. Normativo'!$O$5:$O$1000,$N65)&amp;"")</f>
        <v/>
      </c>
      <c r="M65" s="62">
        <f>IF($N65="","",INDEX('Cronograma R. Normativo'!$Q$5:$Q$1000,$N65)&amp;"")</f>
        <v/>
      </c>
      <c r="N65">
        <f>IFERROR(MATCH(ROW()-4,rOrden_RN,0),"")</f>
        <v/>
      </c>
      <c r="O65">
        <f>IF($N65="","",INDEX('Cronograma R. Normativo'!$V$5:$V$1000,$N65))</f>
        <v/>
      </c>
      <c r="P65">
        <f>IF($N65="","",N(INDEX('Cronograma R. Normativo'!$W$5:$W$1000,$N65)))</f>
        <v/>
      </c>
      <c r="Q65">
        <f>IF(OR(LEFT($L65,7)="Vencida",LEFT($L65,5)="Vence"),SUMPRODUCT(--(LEFT($L$5:$L65,7)="Vencida"))+SUMPRODUCT(--(LEFT($L$5:$L65,5)="Vence")),"")</f>
        <v/>
      </c>
    </row>
    <row r="66">
      <c r="A66" s="56">
        <f>IF($N66="","",INDEX('Cronograma R. Normativo'!$A$5:$A$1000,$N66))</f>
        <v/>
      </c>
      <c r="B66" s="62">
        <f>IF($N66="","",IF($O66="Sub","      ↳  "&amp;INDEX('Cronograma R. Normativo'!$C$5:$C$1000,$N66),INDEX('Cronograma R. Normativo'!$C$5:$C$1000,$N66)&amp;""))</f>
        <v/>
      </c>
      <c r="C66" s="79">
        <f>IF($N66="","",IF(INDEX('Cronograma R. Normativo'!$AR$5:$AR$1000,$N66)="","",INDEX('Cronograma R. Normativo'!$AR$5:$AR$1000,$N66)))</f>
        <v/>
      </c>
      <c r="D66" s="79">
        <f>IF($N66="","",IF(INDEX('Cronograma R. Normativo'!$AS$5:$AS$1000,$N66)="","",INDEX('Cronograma R. Normativo'!$AS$5:$AS$1000,$N66)))</f>
        <v/>
      </c>
      <c r="E66" s="56">
        <f>IF($N66="","",IF(NOT(ISNUMBER($D66)),"",IF($D66&lt;InicioCiclo,"Antes del ciclo",IF($D66&gt;=InicioCiclo+28,"Después del ciclo","Semana "&amp;(INT(($D66-InicioCiclo)/7)+1)))))</f>
        <v/>
      </c>
      <c r="F66" s="61">
        <f>IF($N66="","",IF($P66&gt;0,IF(1&lt;=SemanaActual,INDEX('Cronograma R. Normativo'!$AH$5:$AH$1000,$N66),""),IF(INDEX('Cronograma R. Normativo'!$I$5:$I$1000,$N66)="","",INDEX('Cronograma R. Normativo'!$I$5:$I$1000,$N66))))</f>
        <v/>
      </c>
      <c r="G66" s="61">
        <f>IF($N66="","",IF($P66&gt;0,IF(2&lt;=SemanaActual,INDEX('Cronograma R. Normativo'!$AI$5:$AI$1000,$N66),""),IF(INDEX('Cronograma R. Normativo'!$J$5:$J$1000,$N66)="","",INDEX('Cronograma R. Normativo'!$J$5:$J$1000,$N66))))</f>
        <v/>
      </c>
      <c r="H66" s="61">
        <f>IF($N66="","",IF($P66&gt;0,IF(3&lt;=SemanaActual,INDEX('Cronograma R. Normativo'!$AJ$5:$AJ$1000,$N66),""),IF(INDEX('Cronograma R. Normativo'!$K$5:$K$1000,$N66)="","",INDEX('Cronograma R. Normativo'!$K$5:$K$1000,$N66))))</f>
        <v/>
      </c>
      <c r="I66" s="61">
        <f>IF($N66="","",IF($P66&gt;0,IF(4&lt;=SemanaActual,INDEX('Cronograma R. Normativo'!$AK$5:$AK$1000,$N66),""),IF(INDEX('Cronograma R. Normativo'!$L$5:$L$1000,$N66)="","",INDEX('Cronograma R. Normativo'!$L$5:$L$1000,$N66))))</f>
        <v/>
      </c>
      <c r="J66" s="61">
        <f>IF($N66="","",INDEX('Cronograma R. Normativo'!$M$5:$M$1000,$N66))</f>
        <v/>
      </c>
      <c r="K66" s="56">
        <f>IF($N66="","",IF(N($J66)&gt;=1,"Completado",IF(AND(ISNUMBER($D66),$D66&lt;FechaRef),"Vencida",IF(N($J66)&gt;0,"En curso","Pendiente"))))</f>
        <v/>
      </c>
      <c r="L66" s="56">
        <f>IF($N66="","",INDEX('Cronograma R. Normativo'!$O$5:$O$1000,$N66)&amp;"")</f>
        <v/>
      </c>
      <c r="M66" s="62">
        <f>IF($N66="","",INDEX('Cronograma R. Normativo'!$Q$5:$Q$1000,$N66)&amp;"")</f>
        <v/>
      </c>
      <c r="N66">
        <f>IFERROR(MATCH(ROW()-4,rOrden_RN,0),"")</f>
        <v/>
      </c>
      <c r="O66">
        <f>IF($N66="","",INDEX('Cronograma R. Normativo'!$V$5:$V$1000,$N66))</f>
        <v/>
      </c>
      <c r="P66">
        <f>IF($N66="","",N(INDEX('Cronograma R. Normativo'!$W$5:$W$1000,$N66)))</f>
        <v/>
      </c>
      <c r="Q66">
        <f>IF(OR(LEFT($L66,7)="Vencida",LEFT($L66,5)="Vence"),SUMPRODUCT(--(LEFT($L$5:$L66,7)="Vencida"))+SUMPRODUCT(--(LEFT($L$5:$L66,5)="Vence")),"")</f>
        <v/>
      </c>
    </row>
    <row r="67">
      <c r="A67" s="56">
        <f>IF($N67="","",INDEX('Cronograma R. Normativo'!$A$5:$A$1000,$N67))</f>
        <v/>
      </c>
      <c r="B67" s="62">
        <f>IF($N67="","",IF($O67="Sub","      ↳  "&amp;INDEX('Cronograma R. Normativo'!$C$5:$C$1000,$N67),INDEX('Cronograma R. Normativo'!$C$5:$C$1000,$N67)&amp;""))</f>
        <v/>
      </c>
      <c r="C67" s="79">
        <f>IF($N67="","",IF(INDEX('Cronograma R. Normativo'!$AR$5:$AR$1000,$N67)="","",INDEX('Cronograma R. Normativo'!$AR$5:$AR$1000,$N67)))</f>
        <v/>
      </c>
      <c r="D67" s="79">
        <f>IF($N67="","",IF(INDEX('Cronograma R. Normativo'!$AS$5:$AS$1000,$N67)="","",INDEX('Cronograma R. Normativo'!$AS$5:$AS$1000,$N67)))</f>
        <v/>
      </c>
      <c r="E67" s="56">
        <f>IF($N67="","",IF(NOT(ISNUMBER($D67)),"",IF($D67&lt;InicioCiclo,"Antes del ciclo",IF($D67&gt;=InicioCiclo+28,"Después del ciclo","Semana "&amp;(INT(($D67-InicioCiclo)/7)+1)))))</f>
        <v/>
      </c>
      <c r="F67" s="61">
        <f>IF($N67="","",IF($P67&gt;0,IF(1&lt;=SemanaActual,INDEX('Cronograma R. Normativo'!$AH$5:$AH$1000,$N67),""),IF(INDEX('Cronograma R. Normativo'!$I$5:$I$1000,$N67)="","",INDEX('Cronograma R. Normativo'!$I$5:$I$1000,$N67))))</f>
        <v/>
      </c>
      <c r="G67" s="61">
        <f>IF($N67="","",IF($P67&gt;0,IF(2&lt;=SemanaActual,INDEX('Cronograma R. Normativo'!$AI$5:$AI$1000,$N67),""),IF(INDEX('Cronograma R. Normativo'!$J$5:$J$1000,$N67)="","",INDEX('Cronograma R. Normativo'!$J$5:$J$1000,$N67))))</f>
        <v/>
      </c>
      <c r="H67" s="61">
        <f>IF($N67="","",IF($P67&gt;0,IF(3&lt;=SemanaActual,INDEX('Cronograma R. Normativo'!$AJ$5:$AJ$1000,$N67),""),IF(INDEX('Cronograma R. Normativo'!$K$5:$K$1000,$N67)="","",INDEX('Cronograma R. Normativo'!$K$5:$K$1000,$N67))))</f>
        <v/>
      </c>
      <c r="I67" s="61">
        <f>IF($N67="","",IF($P67&gt;0,IF(4&lt;=SemanaActual,INDEX('Cronograma R. Normativo'!$AK$5:$AK$1000,$N67),""),IF(INDEX('Cronograma R. Normativo'!$L$5:$L$1000,$N67)="","",INDEX('Cronograma R. Normativo'!$L$5:$L$1000,$N67))))</f>
        <v/>
      </c>
      <c r="J67" s="61">
        <f>IF($N67="","",INDEX('Cronograma R. Normativo'!$M$5:$M$1000,$N67))</f>
        <v/>
      </c>
      <c r="K67" s="56">
        <f>IF($N67="","",IF(N($J67)&gt;=1,"Completado",IF(AND(ISNUMBER($D67),$D67&lt;FechaRef),"Vencida",IF(N($J67)&gt;0,"En curso","Pendiente"))))</f>
        <v/>
      </c>
      <c r="L67" s="56">
        <f>IF($N67="","",INDEX('Cronograma R. Normativo'!$O$5:$O$1000,$N67)&amp;"")</f>
        <v/>
      </c>
      <c r="M67" s="62">
        <f>IF($N67="","",INDEX('Cronograma R. Normativo'!$Q$5:$Q$1000,$N67)&amp;"")</f>
        <v/>
      </c>
      <c r="N67">
        <f>IFERROR(MATCH(ROW()-4,rOrden_RN,0),"")</f>
        <v/>
      </c>
      <c r="O67">
        <f>IF($N67="","",INDEX('Cronograma R. Normativo'!$V$5:$V$1000,$N67))</f>
        <v/>
      </c>
      <c r="P67">
        <f>IF($N67="","",N(INDEX('Cronograma R. Normativo'!$W$5:$W$1000,$N67)))</f>
        <v/>
      </c>
      <c r="Q67">
        <f>IF(OR(LEFT($L67,7)="Vencida",LEFT($L67,5)="Vence"),SUMPRODUCT(--(LEFT($L$5:$L67,7)="Vencida"))+SUMPRODUCT(--(LEFT($L$5:$L67,5)="Vence")),"")</f>
        <v/>
      </c>
    </row>
    <row r="68">
      <c r="A68" s="56">
        <f>IF($N68="","",INDEX('Cronograma R. Normativo'!$A$5:$A$1000,$N68))</f>
        <v/>
      </c>
      <c r="B68" s="62">
        <f>IF($N68="","",IF($O68="Sub","      ↳  "&amp;INDEX('Cronograma R. Normativo'!$C$5:$C$1000,$N68),INDEX('Cronograma R. Normativo'!$C$5:$C$1000,$N68)&amp;""))</f>
        <v/>
      </c>
      <c r="C68" s="79">
        <f>IF($N68="","",IF(INDEX('Cronograma R. Normativo'!$AR$5:$AR$1000,$N68)="","",INDEX('Cronograma R. Normativo'!$AR$5:$AR$1000,$N68)))</f>
        <v/>
      </c>
      <c r="D68" s="79">
        <f>IF($N68="","",IF(INDEX('Cronograma R. Normativo'!$AS$5:$AS$1000,$N68)="","",INDEX('Cronograma R. Normativo'!$AS$5:$AS$1000,$N68)))</f>
        <v/>
      </c>
      <c r="E68" s="56">
        <f>IF($N68="","",IF(NOT(ISNUMBER($D68)),"",IF($D68&lt;InicioCiclo,"Antes del ciclo",IF($D68&gt;=InicioCiclo+28,"Después del ciclo","Semana "&amp;(INT(($D68-InicioCiclo)/7)+1)))))</f>
        <v/>
      </c>
      <c r="F68" s="61">
        <f>IF($N68="","",IF($P68&gt;0,IF(1&lt;=SemanaActual,INDEX('Cronograma R. Normativo'!$AH$5:$AH$1000,$N68),""),IF(INDEX('Cronograma R. Normativo'!$I$5:$I$1000,$N68)="","",INDEX('Cronograma R. Normativo'!$I$5:$I$1000,$N68))))</f>
        <v/>
      </c>
      <c r="G68" s="61">
        <f>IF($N68="","",IF($P68&gt;0,IF(2&lt;=SemanaActual,INDEX('Cronograma R. Normativo'!$AI$5:$AI$1000,$N68),""),IF(INDEX('Cronograma R. Normativo'!$J$5:$J$1000,$N68)="","",INDEX('Cronograma R. Normativo'!$J$5:$J$1000,$N68))))</f>
        <v/>
      </c>
      <c r="H68" s="61">
        <f>IF($N68="","",IF($P68&gt;0,IF(3&lt;=SemanaActual,INDEX('Cronograma R. Normativo'!$AJ$5:$AJ$1000,$N68),""),IF(INDEX('Cronograma R. Normativo'!$K$5:$K$1000,$N68)="","",INDEX('Cronograma R. Normativo'!$K$5:$K$1000,$N68))))</f>
        <v/>
      </c>
      <c r="I68" s="61">
        <f>IF($N68="","",IF($P68&gt;0,IF(4&lt;=SemanaActual,INDEX('Cronograma R. Normativo'!$AK$5:$AK$1000,$N68),""),IF(INDEX('Cronograma R. Normativo'!$L$5:$L$1000,$N68)="","",INDEX('Cronograma R. Normativo'!$L$5:$L$1000,$N68))))</f>
        <v/>
      </c>
      <c r="J68" s="61">
        <f>IF($N68="","",INDEX('Cronograma R. Normativo'!$M$5:$M$1000,$N68))</f>
        <v/>
      </c>
      <c r="K68" s="56">
        <f>IF($N68="","",IF(N($J68)&gt;=1,"Completado",IF(AND(ISNUMBER($D68),$D68&lt;FechaRef),"Vencida",IF(N($J68)&gt;0,"En curso","Pendiente"))))</f>
        <v/>
      </c>
      <c r="L68" s="56">
        <f>IF($N68="","",INDEX('Cronograma R. Normativo'!$O$5:$O$1000,$N68)&amp;"")</f>
        <v/>
      </c>
      <c r="M68" s="62">
        <f>IF($N68="","",INDEX('Cronograma R. Normativo'!$Q$5:$Q$1000,$N68)&amp;"")</f>
        <v/>
      </c>
      <c r="N68">
        <f>IFERROR(MATCH(ROW()-4,rOrden_RN,0),"")</f>
        <v/>
      </c>
      <c r="O68">
        <f>IF($N68="","",INDEX('Cronograma R. Normativo'!$V$5:$V$1000,$N68))</f>
        <v/>
      </c>
      <c r="P68">
        <f>IF($N68="","",N(INDEX('Cronograma R. Normativo'!$W$5:$W$1000,$N68)))</f>
        <v/>
      </c>
      <c r="Q68">
        <f>IF(OR(LEFT($L68,7)="Vencida",LEFT($L68,5)="Vence"),SUMPRODUCT(--(LEFT($L$5:$L68,7)="Vencida"))+SUMPRODUCT(--(LEFT($L$5:$L68,5)="Vence")),"")</f>
        <v/>
      </c>
    </row>
    <row r="69">
      <c r="A69" s="56">
        <f>IF($N69="","",INDEX('Cronograma R. Normativo'!$A$5:$A$1000,$N69))</f>
        <v/>
      </c>
      <c r="B69" s="62">
        <f>IF($N69="","",IF($O69="Sub","      ↳  "&amp;INDEX('Cronograma R. Normativo'!$C$5:$C$1000,$N69),INDEX('Cronograma R. Normativo'!$C$5:$C$1000,$N69)&amp;""))</f>
        <v/>
      </c>
      <c r="C69" s="79">
        <f>IF($N69="","",IF(INDEX('Cronograma R. Normativo'!$AR$5:$AR$1000,$N69)="","",INDEX('Cronograma R. Normativo'!$AR$5:$AR$1000,$N69)))</f>
        <v/>
      </c>
      <c r="D69" s="79">
        <f>IF($N69="","",IF(INDEX('Cronograma R. Normativo'!$AS$5:$AS$1000,$N69)="","",INDEX('Cronograma R. Normativo'!$AS$5:$AS$1000,$N69)))</f>
        <v/>
      </c>
      <c r="E69" s="56">
        <f>IF($N69="","",IF(NOT(ISNUMBER($D69)),"",IF($D69&lt;InicioCiclo,"Antes del ciclo",IF($D69&gt;=InicioCiclo+28,"Después del ciclo","Semana "&amp;(INT(($D69-InicioCiclo)/7)+1)))))</f>
        <v/>
      </c>
      <c r="F69" s="61">
        <f>IF($N69="","",IF($P69&gt;0,IF(1&lt;=SemanaActual,INDEX('Cronograma R. Normativo'!$AH$5:$AH$1000,$N69),""),IF(INDEX('Cronograma R. Normativo'!$I$5:$I$1000,$N69)="","",INDEX('Cronograma R. Normativo'!$I$5:$I$1000,$N69))))</f>
        <v/>
      </c>
      <c r="G69" s="61">
        <f>IF($N69="","",IF($P69&gt;0,IF(2&lt;=SemanaActual,INDEX('Cronograma R. Normativo'!$AI$5:$AI$1000,$N69),""),IF(INDEX('Cronograma R. Normativo'!$J$5:$J$1000,$N69)="","",INDEX('Cronograma R. Normativo'!$J$5:$J$1000,$N69))))</f>
        <v/>
      </c>
      <c r="H69" s="61">
        <f>IF($N69="","",IF($P69&gt;0,IF(3&lt;=SemanaActual,INDEX('Cronograma R. Normativo'!$AJ$5:$AJ$1000,$N69),""),IF(INDEX('Cronograma R. Normativo'!$K$5:$K$1000,$N69)="","",INDEX('Cronograma R. Normativo'!$K$5:$K$1000,$N69))))</f>
        <v/>
      </c>
      <c r="I69" s="61">
        <f>IF($N69="","",IF($P69&gt;0,IF(4&lt;=SemanaActual,INDEX('Cronograma R. Normativo'!$AK$5:$AK$1000,$N69),""),IF(INDEX('Cronograma R. Normativo'!$L$5:$L$1000,$N69)="","",INDEX('Cronograma R. Normativo'!$L$5:$L$1000,$N69))))</f>
        <v/>
      </c>
      <c r="J69" s="61">
        <f>IF($N69="","",INDEX('Cronograma R. Normativo'!$M$5:$M$1000,$N69))</f>
        <v/>
      </c>
      <c r="K69" s="56">
        <f>IF($N69="","",IF(N($J69)&gt;=1,"Completado",IF(AND(ISNUMBER($D69),$D69&lt;FechaRef),"Vencida",IF(N($J69)&gt;0,"En curso","Pendiente"))))</f>
        <v/>
      </c>
      <c r="L69" s="56">
        <f>IF($N69="","",INDEX('Cronograma R. Normativo'!$O$5:$O$1000,$N69)&amp;"")</f>
        <v/>
      </c>
      <c r="M69" s="62">
        <f>IF($N69="","",INDEX('Cronograma R. Normativo'!$Q$5:$Q$1000,$N69)&amp;"")</f>
        <v/>
      </c>
      <c r="N69">
        <f>IFERROR(MATCH(ROW()-4,rOrden_RN,0),"")</f>
        <v/>
      </c>
      <c r="O69">
        <f>IF($N69="","",INDEX('Cronograma R. Normativo'!$V$5:$V$1000,$N69))</f>
        <v/>
      </c>
      <c r="P69">
        <f>IF($N69="","",N(INDEX('Cronograma R. Normativo'!$W$5:$W$1000,$N69)))</f>
        <v/>
      </c>
      <c r="Q69">
        <f>IF(OR(LEFT($L69,7)="Vencida",LEFT($L69,5)="Vence"),SUMPRODUCT(--(LEFT($L$5:$L69,7)="Vencida"))+SUMPRODUCT(--(LEFT($L$5:$L69,5)="Vence")),"")</f>
        <v/>
      </c>
    </row>
    <row r="70">
      <c r="A70" s="56">
        <f>IF($N70="","",INDEX('Cronograma R. Normativo'!$A$5:$A$1000,$N70))</f>
        <v/>
      </c>
      <c r="B70" s="62">
        <f>IF($N70="","",IF($O70="Sub","      ↳  "&amp;INDEX('Cronograma R. Normativo'!$C$5:$C$1000,$N70),INDEX('Cronograma R. Normativo'!$C$5:$C$1000,$N70)&amp;""))</f>
        <v/>
      </c>
      <c r="C70" s="79">
        <f>IF($N70="","",IF(INDEX('Cronograma R. Normativo'!$AR$5:$AR$1000,$N70)="","",INDEX('Cronograma R. Normativo'!$AR$5:$AR$1000,$N70)))</f>
        <v/>
      </c>
      <c r="D70" s="79">
        <f>IF($N70="","",IF(INDEX('Cronograma R. Normativo'!$AS$5:$AS$1000,$N70)="","",INDEX('Cronograma R. Normativo'!$AS$5:$AS$1000,$N70)))</f>
        <v/>
      </c>
      <c r="E70" s="56">
        <f>IF($N70="","",IF(NOT(ISNUMBER($D70)),"",IF($D70&lt;InicioCiclo,"Antes del ciclo",IF($D70&gt;=InicioCiclo+28,"Después del ciclo","Semana "&amp;(INT(($D70-InicioCiclo)/7)+1)))))</f>
        <v/>
      </c>
      <c r="F70" s="61">
        <f>IF($N70="","",IF($P70&gt;0,IF(1&lt;=SemanaActual,INDEX('Cronograma R. Normativo'!$AH$5:$AH$1000,$N70),""),IF(INDEX('Cronograma R. Normativo'!$I$5:$I$1000,$N70)="","",INDEX('Cronograma R. Normativo'!$I$5:$I$1000,$N70))))</f>
        <v/>
      </c>
      <c r="G70" s="61">
        <f>IF($N70="","",IF($P70&gt;0,IF(2&lt;=SemanaActual,INDEX('Cronograma R. Normativo'!$AI$5:$AI$1000,$N70),""),IF(INDEX('Cronograma R. Normativo'!$J$5:$J$1000,$N70)="","",INDEX('Cronograma R. Normativo'!$J$5:$J$1000,$N70))))</f>
        <v/>
      </c>
      <c r="H70" s="61">
        <f>IF($N70="","",IF($P70&gt;0,IF(3&lt;=SemanaActual,INDEX('Cronograma R. Normativo'!$AJ$5:$AJ$1000,$N70),""),IF(INDEX('Cronograma R. Normativo'!$K$5:$K$1000,$N70)="","",INDEX('Cronograma R. Normativo'!$K$5:$K$1000,$N70))))</f>
        <v/>
      </c>
      <c r="I70" s="61">
        <f>IF($N70="","",IF($P70&gt;0,IF(4&lt;=SemanaActual,INDEX('Cronograma R. Normativo'!$AK$5:$AK$1000,$N70),""),IF(INDEX('Cronograma R. Normativo'!$L$5:$L$1000,$N70)="","",INDEX('Cronograma R. Normativo'!$L$5:$L$1000,$N70))))</f>
        <v/>
      </c>
      <c r="J70" s="61">
        <f>IF($N70="","",INDEX('Cronograma R. Normativo'!$M$5:$M$1000,$N70))</f>
        <v/>
      </c>
      <c r="K70" s="56">
        <f>IF($N70="","",IF(N($J70)&gt;=1,"Completado",IF(AND(ISNUMBER($D70),$D70&lt;FechaRef),"Vencida",IF(N($J70)&gt;0,"En curso","Pendiente"))))</f>
        <v/>
      </c>
      <c r="L70" s="56">
        <f>IF($N70="","",INDEX('Cronograma R. Normativo'!$O$5:$O$1000,$N70)&amp;"")</f>
        <v/>
      </c>
      <c r="M70" s="62">
        <f>IF($N70="","",INDEX('Cronograma R. Normativo'!$Q$5:$Q$1000,$N70)&amp;"")</f>
        <v/>
      </c>
      <c r="N70">
        <f>IFERROR(MATCH(ROW()-4,rOrden_RN,0),"")</f>
        <v/>
      </c>
      <c r="O70">
        <f>IF($N70="","",INDEX('Cronograma R. Normativo'!$V$5:$V$1000,$N70))</f>
        <v/>
      </c>
      <c r="P70">
        <f>IF($N70="","",N(INDEX('Cronograma R. Normativo'!$W$5:$W$1000,$N70)))</f>
        <v/>
      </c>
      <c r="Q70">
        <f>IF(OR(LEFT($L70,7)="Vencida",LEFT($L70,5)="Vence"),SUMPRODUCT(--(LEFT($L$5:$L70,7)="Vencida"))+SUMPRODUCT(--(LEFT($L$5:$L70,5)="Vence")),"")</f>
        <v/>
      </c>
    </row>
    <row r="71">
      <c r="A71" s="56">
        <f>IF($N71="","",INDEX('Cronograma R. Normativo'!$A$5:$A$1000,$N71))</f>
        <v/>
      </c>
      <c r="B71" s="62">
        <f>IF($N71="","",IF($O71="Sub","      ↳  "&amp;INDEX('Cronograma R. Normativo'!$C$5:$C$1000,$N71),INDEX('Cronograma R. Normativo'!$C$5:$C$1000,$N71)&amp;""))</f>
        <v/>
      </c>
      <c r="C71" s="79">
        <f>IF($N71="","",IF(INDEX('Cronograma R. Normativo'!$AR$5:$AR$1000,$N71)="","",INDEX('Cronograma R. Normativo'!$AR$5:$AR$1000,$N71)))</f>
        <v/>
      </c>
      <c r="D71" s="79">
        <f>IF($N71="","",IF(INDEX('Cronograma R. Normativo'!$AS$5:$AS$1000,$N71)="","",INDEX('Cronograma R. Normativo'!$AS$5:$AS$1000,$N71)))</f>
        <v/>
      </c>
      <c r="E71" s="56">
        <f>IF($N71="","",IF(NOT(ISNUMBER($D71)),"",IF($D71&lt;InicioCiclo,"Antes del ciclo",IF($D71&gt;=InicioCiclo+28,"Después del ciclo","Semana "&amp;(INT(($D71-InicioCiclo)/7)+1)))))</f>
        <v/>
      </c>
      <c r="F71" s="61">
        <f>IF($N71="","",IF($P71&gt;0,IF(1&lt;=SemanaActual,INDEX('Cronograma R. Normativo'!$AH$5:$AH$1000,$N71),""),IF(INDEX('Cronograma R. Normativo'!$I$5:$I$1000,$N71)="","",INDEX('Cronograma R. Normativo'!$I$5:$I$1000,$N71))))</f>
        <v/>
      </c>
      <c r="G71" s="61">
        <f>IF($N71="","",IF($P71&gt;0,IF(2&lt;=SemanaActual,INDEX('Cronograma R. Normativo'!$AI$5:$AI$1000,$N71),""),IF(INDEX('Cronograma R. Normativo'!$J$5:$J$1000,$N71)="","",INDEX('Cronograma R. Normativo'!$J$5:$J$1000,$N71))))</f>
        <v/>
      </c>
      <c r="H71" s="61">
        <f>IF($N71="","",IF($P71&gt;0,IF(3&lt;=SemanaActual,INDEX('Cronograma R. Normativo'!$AJ$5:$AJ$1000,$N71),""),IF(INDEX('Cronograma R. Normativo'!$K$5:$K$1000,$N71)="","",INDEX('Cronograma R. Normativo'!$K$5:$K$1000,$N71))))</f>
        <v/>
      </c>
      <c r="I71" s="61">
        <f>IF($N71="","",IF($P71&gt;0,IF(4&lt;=SemanaActual,INDEX('Cronograma R. Normativo'!$AK$5:$AK$1000,$N71),""),IF(INDEX('Cronograma R. Normativo'!$L$5:$L$1000,$N71)="","",INDEX('Cronograma R. Normativo'!$L$5:$L$1000,$N71))))</f>
        <v/>
      </c>
      <c r="J71" s="61">
        <f>IF($N71="","",INDEX('Cronograma R. Normativo'!$M$5:$M$1000,$N71))</f>
        <v/>
      </c>
      <c r="K71" s="56">
        <f>IF($N71="","",IF(N($J71)&gt;=1,"Completado",IF(AND(ISNUMBER($D71),$D71&lt;FechaRef),"Vencida",IF(N($J71)&gt;0,"En curso","Pendiente"))))</f>
        <v/>
      </c>
      <c r="L71" s="56">
        <f>IF($N71="","",INDEX('Cronograma R. Normativo'!$O$5:$O$1000,$N71)&amp;"")</f>
        <v/>
      </c>
      <c r="M71" s="62">
        <f>IF($N71="","",INDEX('Cronograma R. Normativo'!$Q$5:$Q$1000,$N71)&amp;"")</f>
        <v/>
      </c>
      <c r="N71">
        <f>IFERROR(MATCH(ROW()-4,rOrden_RN,0),"")</f>
        <v/>
      </c>
      <c r="O71">
        <f>IF($N71="","",INDEX('Cronograma R. Normativo'!$V$5:$V$1000,$N71))</f>
        <v/>
      </c>
      <c r="P71">
        <f>IF($N71="","",N(INDEX('Cronograma R. Normativo'!$W$5:$W$1000,$N71)))</f>
        <v/>
      </c>
      <c r="Q71">
        <f>IF(OR(LEFT($L71,7)="Vencida",LEFT($L71,5)="Vence"),SUMPRODUCT(--(LEFT($L$5:$L71,7)="Vencida"))+SUMPRODUCT(--(LEFT($L$5:$L71,5)="Vence")),"")</f>
        <v/>
      </c>
    </row>
    <row r="72">
      <c r="A72" s="56">
        <f>IF($N72="","",INDEX('Cronograma R. Normativo'!$A$5:$A$1000,$N72))</f>
        <v/>
      </c>
      <c r="B72" s="62">
        <f>IF($N72="","",IF($O72="Sub","      ↳  "&amp;INDEX('Cronograma R. Normativo'!$C$5:$C$1000,$N72),INDEX('Cronograma R. Normativo'!$C$5:$C$1000,$N72)&amp;""))</f>
        <v/>
      </c>
      <c r="C72" s="79">
        <f>IF($N72="","",IF(INDEX('Cronograma R. Normativo'!$AR$5:$AR$1000,$N72)="","",INDEX('Cronograma R. Normativo'!$AR$5:$AR$1000,$N72)))</f>
        <v/>
      </c>
      <c r="D72" s="79">
        <f>IF($N72="","",IF(INDEX('Cronograma R. Normativo'!$AS$5:$AS$1000,$N72)="","",INDEX('Cronograma R. Normativo'!$AS$5:$AS$1000,$N72)))</f>
        <v/>
      </c>
      <c r="E72" s="56">
        <f>IF($N72="","",IF(NOT(ISNUMBER($D72)),"",IF($D72&lt;InicioCiclo,"Antes del ciclo",IF($D72&gt;=InicioCiclo+28,"Después del ciclo","Semana "&amp;(INT(($D72-InicioCiclo)/7)+1)))))</f>
        <v/>
      </c>
      <c r="F72" s="61">
        <f>IF($N72="","",IF($P72&gt;0,IF(1&lt;=SemanaActual,INDEX('Cronograma R. Normativo'!$AH$5:$AH$1000,$N72),""),IF(INDEX('Cronograma R. Normativo'!$I$5:$I$1000,$N72)="","",INDEX('Cronograma R. Normativo'!$I$5:$I$1000,$N72))))</f>
        <v/>
      </c>
      <c r="G72" s="61">
        <f>IF($N72="","",IF($P72&gt;0,IF(2&lt;=SemanaActual,INDEX('Cronograma R. Normativo'!$AI$5:$AI$1000,$N72),""),IF(INDEX('Cronograma R. Normativo'!$J$5:$J$1000,$N72)="","",INDEX('Cronograma R. Normativo'!$J$5:$J$1000,$N72))))</f>
        <v/>
      </c>
      <c r="H72" s="61">
        <f>IF($N72="","",IF($P72&gt;0,IF(3&lt;=SemanaActual,INDEX('Cronograma R. Normativo'!$AJ$5:$AJ$1000,$N72),""),IF(INDEX('Cronograma R. Normativo'!$K$5:$K$1000,$N72)="","",INDEX('Cronograma R. Normativo'!$K$5:$K$1000,$N72))))</f>
        <v/>
      </c>
      <c r="I72" s="61">
        <f>IF($N72="","",IF($P72&gt;0,IF(4&lt;=SemanaActual,INDEX('Cronograma R. Normativo'!$AK$5:$AK$1000,$N72),""),IF(INDEX('Cronograma R. Normativo'!$L$5:$L$1000,$N72)="","",INDEX('Cronograma R. Normativo'!$L$5:$L$1000,$N72))))</f>
        <v/>
      </c>
      <c r="J72" s="61">
        <f>IF($N72="","",INDEX('Cronograma R. Normativo'!$M$5:$M$1000,$N72))</f>
        <v/>
      </c>
      <c r="K72" s="56">
        <f>IF($N72="","",IF(N($J72)&gt;=1,"Completado",IF(AND(ISNUMBER($D72),$D72&lt;FechaRef),"Vencida",IF(N($J72)&gt;0,"En curso","Pendiente"))))</f>
        <v/>
      </c>
      <c r="L72" s="56">
        <f>IF($N72="","",INDEX('Cronograma R. Normativo'!$O$5:$O$1000,$N72)&amp;"")</f>
        <v/>
      </c>
      <c r="M72" s="62">
        <f>IF($N72="","",INDEX('Cronograma R. Normativo'!$Q$5:$Q$1000,$N72)&amp;"")</f>
        <v/>
      </c>
      <c r="N72">
        <f>IFERROR(MATCH(ROW()-4,rOrden_RN,0),"")</f>
        <v/>
      </c>
      <c r="O72">
        <f>IF($N72="","",INDEX('Cronograma R. Normativo'!$V$5:$V$1000,$N72))</f>
        <v/>
      </c>
      <c r="P72">
        <f>IF($N72="","",N(INDEX('Cronograma R. Normativo'!$W$5:$W$1000,$N72)))</f>
        <v/>
      </c>
      <c r="Q72">
        <f>IF(OR(LEFT($L72,7)="Vencida",LEFT($L72,5)="Vence"),SUMPRODUCT(--(LEFT($L$5:$L72,7)="Vencida"))+SUMPRODUCT(--(LEFT($L$5:$L72,5)="Vence")),"")</f>
        <v/>
      </c>
    </row>
    <row r="73">
      <c r="A73" s="56">
        <f>IF($N73="","",INDEX('Cronograma R. Normativo'!$A$5:$A$1000,$N73))</f>
        <v/>
      </c>
      <c r="B73" s="62">
        <f>IF($N73="","",IF($O73="Sub","      ↳  "&amp;INDEX('Cronograma R. Normativo'!$C$5:$C$1000,$N73),INDEX('Cronograma R. Normativo'!$C$5:$C$1000,$N73)&amp;""))</f>
        <v/>
      </c>
      <c r="C73" s="79">
        <f>IF($N73="","",IF(INDEX('Cronograma R. Normativo'!$AR$5:$AR$1000,$N73)="","",INDEX('Cronograma R. Normativo'!$AR$5:$AR$1000,$N73)))</f>
        <v/>
      </c>
      <c r="D73" s="79">
        <f>IF($N73="","",IF(INDEX('Cronograma R. Normativo'!$AS$5:$AS$1000,$N73)="","",INDEX('Cronograma R. Normativo'!$AS$5:$AS$1000,$N73)))</f>
        <v/>
      </c>
      <c r="E73" s="56">
        <f>IF($N73="","",IF(NOT(ISNUMBER($D73)),"",IF($D73&lt;InicioCiclo,"Antes del ciclo",IF($D73&gt;=InicioCiclo+28,"Después del ciclo","Semana "&amp;(INT(($D73-InicioCiclo)/7)+1)))))</f>
        <v/>
      </c>
      <c r="F73" s="61">
        <f>IF($N73="","",IF($P73&gt;0,IF(1&lt;=SemanaActual,INDEX('Cronograma R. Normativo'!$AH$5:$AH$1000,$N73),""),IF(INDEX('Cronograma R. Normativo'!$I$5:$I$1000,$N73)="","",INDEX('Cronograma R. Normativo'!$I$5:$I$1000,$N73))))</f>
        <v/>
      </c>
      <c r="G73" s="61">
        <f>IF($N73="","",IF($P73&gt;0,IF(2&lt;=SemanaActual,INDEX('Cronograma R. Normativo'!$AI$5:$AI$1000,$N73),""),IF(INDEX('Cronograma R. Normativo'!$J$5:$J$1000,$N73)="","",INDEX('Cronograma R. Normativo'!$J$5:$J$1000,$N73))))</f>
        <v/>
      </c>
      <c r="H73" s="61">
        <f>IF($N73="","",IF($P73&gt;0,IF(3&lt;=SemanaActual,INDEX('Cronograma R. Normativo'!$AJ$5:$AJ$1000,$N73),""),IF(INDEX('Cronograma R. Normativo'!$K$5:$K$1000,$N73)="","",INDEX('Cronograma R. Normativo'!$K$5:$K$1000,$N73))))</f>
        <v/>
      </c>
      <c r="I73" s="61">
        <f>IF($N73="","",IF($P73&gt;0,IF(4&lt;=SemanaActual,INDEX('Cronograma R. Normativo'!$AK$5:$AK$1000,$N73),""),IF(INDEX('Cronograma R. Normativo'!$L$5:$L$1000,$N73)="","",INDEX('Cronograma R. Normativo'!$L$5:$L$1000,$N73))))</f>
        <v/>
      </c>
      <c r="J73" s="61">
        <f>IF($N73="","",INDEX('Cronograma R. Normativo'!$M$5:$M$1000,$N73))</f>
        <v/>
      </c>
      <c r="K73" s="56">
        <f>IF($N73="","",IF(N($J73)&gt;=1,"Completado",IF(AND(ISNUMBER($D73),$D73&lt;FechaRef),"Vencida",IF(N($J73)&gt;0,"En curso","Pendiente"))))</f>
        <v/>
      </c>
      <c r="L73" s="56">
        <f>IF($N73="","",INDEX('Cronograma R. Normativo'!$O$5:$O$1000,$N73)&amp;"")</f>
        <v/>
      </c>
      <c r="M73" s="62">
        <f>IF($N73="","",INDEX('Cronograma R. Normativo'!$Q$5:$Q$1000,$N73)&amp;"")</f>
        <v/>
      </c>
      <c r="N73">
        <f>IFERROR(MATCH(ROW()-4,rOrden_RN,0),"")</f>
        <v/>
      </c>
      <c r="O73">
        <f>IF($N73="","",INDEX('Cronograma R. Normativo'!$V$5:$V$1000,$N73))</f>
        <v/>
      </c>
      <c r="P73">
        <f>IF($N73="","",N(INDEX('Cronograma R. Normativo'!$W$5:$W$1000,$N73)))</f>
        <v/>
      </c>
      <c r="Q73">
        <f>IF(OR(LEFT($L73,7)="Vencida",LEFT($L73,5)="Vence"),SUMPRODUCT(--(LEFT($L$5:$L73,7)="Vencida"))+SUMPRODUCT(--(LEFT($L$5:$L73,5)="Vence")),"")</f>
        <v/>
      </c>
    </row>
    <row r="74">
      <c r="A74" s="56">
        <f>IF($N74="","",INDEX('Cronograma R. Normativo'!$A$5:$A$1000,$N74))</f>
        <v/>
      </c>
      <c r="B74" s="62">
        <f>IF($N74="","",IF($O74="Sub","      ↳  "&amp;INDEX('Cronograma R. Normativo'!$C$5:$C$1000,$N74),INDEX('Cronograma R. Normativo'!$C$5:$C$1000,$N74)&amp;""))</f>
        <v/>
      </c>
      <c r="C74" s="79">
        <f>IF($N74="","",IF(INDEX('Cronograma R. Normativo'!$AR$5:$AR$1000,$N74)="","",INDEX('Cronograma R. Normativo'!$AR$5:$AR$1000,$N74)))</f>
        <v/>
      </c>
      <c r="D74" s="79">
        <f>IF($N74="","",IF(INDEX('Cronograma R. Normativo'!$AS$5:$AS$1000,$N74)="","",INDEX('Cronograma R. Normativo'!$AS$5:$AS$1000,$N74)))</f>
        <v/>
      </c>
      <c r="E74" s="56">
        <f>IF($N74="","",IF(NOT(ISNUMBER($D74)),"",IF($D74&lt;InicioCiclo,"Antes del ciclo",IF($D74&gt;=InicioCiclo+28,"Después del ciclo","Semana "&amp;(INT(($D74-InicioCiclo)/7)+1)))))</f>
        <v/>
      </c>
      <c r="F74" s="61">
        <f>IF($N74="","",IF($P74&gt;0,IF(1&lt;=SemanaActual,INDEX('Cronograma R. Normativo'!$AH$5:$AH$1000,$N74),""),IF(INDEX('Cronograma R. Normativo'!$I$5:$I$1000,$N74)="","",INDEX('Cronograma R. Normativo'!$I$5:$I$1000,$N74))))</f>
        <v/>
      </c>
      <c r="G74" s="61">
        <f>IF($N74="","",IF($P74&gt;0,IF(2&lt;=SemanaActual,INDEX('Cronograma R. Normativo'!$AI$5:$AI$1000,$N74),""),IF(INDEX('Cronograma R. Normativo'!$J$5:$J$1000,$N74)="","",INDEX('Cronograma R. Normativo'!$J$5:$J$1000,$N74))))</f>
        <v/>
      </c>
      <c r="H74" s="61">
        <f>IF($N74="","",IF($P74&gt;0,IF(3&lt;=SemanaActual,INDEX('Cronograma R. Normativo'!$AJ$5:$AJ$1000,$N74),""),IF(INDEX('Cronograma R. Normativo'!$K$5:$K$1000,$N74)="","",INDEX('Cronograma R. Normativo'!$K$5:$K$1000,$N74))))</f>
        <v/>
      </c>
      <c r="I74" s="61">
        <f>IF($N74="","",IF($P74&gt;0,IF(4&lt;=SemanaActual,INDEX('Cronograma R. Normativo'!$AK$5:$AK$1000,$N74),""),IF(INDEX('Cronograma R. Normativo'!$L$5:$L$1000,$N74)="","",INDEX('Cronograma R. Normativo'!$L$5:$L$1000,$N74))))</f>
        <v/>
      </c>
      <c r="J74" s="61">
        <f>IF($N74="","",INDEX('Cronograma R. Normativo'!$M$5:$M$1000,$N74))</f>
        <v/>
      </c>
      <c r="K74" s="56">
        <f>IF($N74="","",IF(N($J74)&gt;=1,"Completado",IF(AND(ISNUMBER($D74),$D74&lt;FechaRef),"Vencida",IF(N($J74)&gt;0,"En curso","Pendiente"))))</f>
        <v/>
      </c>
      <c r="L74" s="56">
        <f>IF($N74="","",INDEX('Cronograma R. Normativo'!$O$5:$O$1000,$N74)&amp;"")</f>
        <v/>
      </c>
      <c r="M74" s="62">
        <f>IF($N74="","",INDEX('Cronograma R. Normativo'!$Q$5:$Q$1000,$N74)&amp;"")</f>
        <v/>
      </c>
      <c r="N74">
        <f>IFERROR(MATCH(ROW()-4,rOrden_RN,0),"")</f>
        <v/>
      </c>
      <c r="O74">
        <f>IF($N74="","",INDEX('Cronograma R. Normativo'!$V$5:$V$1000,$N74))</f>
        <v/>
      </c>
      <c r="P74">
        <f>IF($N74="","",N(INDEX('Cronograma R. Normativo'!$W$5:$W$1000,$N74)))</f>
        <v/>
      </c>
      <c r="Q74">
        <f>IF(OR(LEFT($L74,7)="Vencida",LEFT($L74,5)="Vence"),SUMPRODUCT(--(LEFT($L$5:$L74,7)="Vencida"))+SUMPRODUCT(--(LEFT($L$5:$L74,5)="Vence")),"")</f>
        <v/>
      </c>
    </row>
    <row r="75">
      <c r="A75" s="56">
        <f>IF($N75="","",INDEX('Cronograma R. Normativo'!$A$5:$A$1000,$N75))</f>
        <v/>
      </c>
      <c r="B75" s="62">
        <f>IF($N75="","",IF($O75="Sub","      ↳  "&amp;INDEX('Cronograma R. Normativo'!$C$5:$C$1000,$N75),INDEX('Cronograma R. Normativo'!$C$5:$C$1000,$N75)&amp;""))</f>
        <v/>
      </c>
      <c r="C75" s="79">
        <f>IF($N75="","",IF(INDEX('Cronograma R. Normativo'!$AR$5:$AR$1000,$N75)="","",INDEX('Cronograma R. Normativo'!$AR$5:$AR$1000,$N75)))</f>
        <v/>
      </c>
      <c r="D75" s="79">
        <f>IF($N75="","",IF(INDEX('Cronograma R. Normativo'!$AS$5:$AS$1000,$N75)="","",INDEX('Cronograma R. Normativo'!$AS$5:$AS$1000,$N75)))</f>
        <v/>
      </c>
      <c r="E75" s="56">
        <f>IF($N75="","",IF(NOT(ISNUMBER($D75)),"",IF($D75&lt;InicioCiclo,"Antes del ciclo",IF($D75&gt;=InicioCiclo+28,"Después del ciclo","Semana "&amp;(INT(($D75-InicioCiclo)/7)+1)))))</f>
        <v/>
      </c>
      <c r="F75" s="61">
        <f>IF($N75="","",IF($P75&gt;0,IF(1&lt;=SemanaActual,INDEX('Cronograma R. Normativo'!$AH$5:$AH$1000,$N75),""),IF(INDEX('Cronograma R. Normativo'!$I$5:$I$1000,$N75)="","",INDEX('Cronograma R. Normativo'!$I$5:$I$1000,$N75))))</f>
        <v/>
      </c>
      <c r="G75" s="61">
        <f>IF($N75="","",IF($P75&gt;0,IF(2&lt;=SemanaActual,INDEX('Cronograma R. Normativo'!$AI$5:$AI$1000,$N75),""),IF(INDEX('Cronograma R. Normativo'!$J$5:$J$1000,$N75)="","",INDEX('Cronograma R. Normativo'!$J$5:$J$1000,$N75))))</f>
        <v/>
      </c>
      <c r="H75" s="61">
        <f>IF($N75="","",IF($P75&gt;0,IF(3&lt;=SemanaActual,INDEX('Cronograma R. Normativo'!$AJ$5:$AJ$1000,$N75),""),IF(INDEX('Cronograma R. Normativo'!$K$5:$K$1000,$N75)="","",INDEX('Cronograma R. Normativo'!$K$5:$K$1000,$N75))))</f>
        <v/>
      </c>
      <c r="I75" s="61">
        <f>IF($N75="","",IF($P75&gt;0,IF(4&lt;=SemanaActual,INDEX('Cronograma R. Normativo'!$AK$5:$AK$1000,$N75),""),IF(INDEX('Cronograma R. Normativo'!$L$5:$L$1000,$N75)="","",INDEX('Cronograma R. Normativo'!$L$5:$L$1000,$N75))))</f>
        <v/>
      </c>
      <c r="J75" s="61">
        <f>IF($N75="","",INDEX('Cronograma R. Normativo'!$M$5:$M$1000,$N75))</f>
        <v/>
      </c>
      <c r="K75" s="56">
        <f>IF($N75="","",IF(N($J75)&gt;=1,"Completado",IF(AND(ISNUMBER($D75),$D75&lt;FechaRef),"Vencida",IF(N($J75)&gt;0,"En curso","Pendiente"))))</f>
        <v/>
      </c>
      <c r="L75" s="56">
        <f>IF($N75="","",INDEX('Cronograma R. Normativo'!$O$5:$O$1000,$N75)&amp;"")</f>
        <v/>
      </c>
      <c r="M75" s="62">
        <f>IF($N75="","",INDEX('Cronograma R. Normativo'!$Q$5:$Q$1000,$N75)&amp;"")</f>
        <v/>
      </c>
      <c r="N75">
        <f>IFERROR(MATCH(ROW()-4,rOrden_RN,0),"")</f>
        <v/>
      </c>
      <c r="O75">
        <f>IF($N75="","",INDEX('Cronograma R. Normativo'!$V$5:$V$1000,$N75))</f>
        <v/>
      </c>
      <c r="P75">
        <f>IF($N75="","",N(INDEX('Cronograma R. Normativo'!$W$5:$W$1000,$N75)))</f>
        <v/>
      </c>
      <c r="Q75">
        <f>IF(OR(LEFT($L75,7)="Vencida",LEFT($L75,5)="Vence"),SUMPRODUCT(--(LEFT($L$5:$L75,7)="Vencida"))+SUMPRODUCT(--(LEFT($L$5:$L75,5)="Vence")),"")</f>
        <v/>
      </c>
    </row>
    <row r="76">
      <c r="A76" s="56">
        <f>IF($N76="","",INDEX('Cronograma R. Normativo'!$A$5:$A$1000,$N76))</f>
        <v/>
      </c>
      <c r="B76" s="62">
        <f>IF($N76="","",IF($O76="Sub","      ↳  "&amp;INDEX('Cronograma R. Normativo'!$C$5:$C$1000,$N76),INDEX('Cronograma R. Normativo'!$C$5:$C$1000,$N76)&amp;""))</f>
        <v/>
      </c>
      <c r="C76" s="79">
        <f>IF($N76="","",IF(INDEX('Cronograma R. Normativo'!$AR$5:$AR$1000,$N76)="","",INDEX('Cronograma R. Normativo'!$AR$5:$AR$1000,$N76)))</f>
        <v/>
      </c>
      <c r="D76" s="79">
        <f>IF($N76="","",IF(INDEX('Cronograma R. Normativo'!$AS$5:$AS$1000,$N76)="","",INDEX('Cronograma R. Normativo'!$AS$5:$AS$1000,$N76)))</f>
        <v/>
      </c>
      <c r="E76" s="56">
        <f>IF($N76="","",IF(NOT(ISNUMBER($D76)),"",IF($D76&lt;InicioCiclo,"Antes del ciclo",IF($D76&gt;=InicioCiclo+28,"Después del ciclo","Semana "&amp;(INT(($D76-InicioCiclo)/7)+1)))))</f>
        <v/>
      </c>
      <c r="F76" s="61">
        <f>IF($N76="","",IF($P76&gt;0,IF(1&lt;=SemanaActual,INDEX('Cronograma R. Normativo'!$AH$5:$AH$1000,$N76),""),IF(INDEX('Cronograma R. Normativo'!$I$5:$I$1000,$N76)="","",INDEX('Cronograma R. Normativo'!$I$5:$I$1000,$N76))))</f>
        <v/>
      </c>
      <c r="G76" s="61">
        <f>IF($N76="","",IF($P76&gt;0,IF(2&lt;=SemanaActual,INDEX('Cronograma R. Normativo'!$AI$5:$AI$1000,$N76),""),IF(INDEX('Cronograma R. Normativo'!$J$5:$J$1000,$N76)="","",INDEX('Cronograma R. Normativo'!$J$5:$J$1000,$N76))))</f>
        <v/>
      </c>
      <c r="H76" s="61">
        <f>IF($N76="","",IF($P76&gt;0,IF(3&lt;=SemanaActual,INDEX('Cronograma R. Normativo'!$AJ$5:$AJ$1000,$N76),""),IF(INDEX('Cronograma R. Normativo'!$K$5:$K$1000,$N76)="","",INDEX('Cronograma R. Normativo'!$K$5:$K$1000,$N76))))</f>
        <v/>
      </c>
      <c r="I76" s="61">
        <f>IF($N76="","",IF($P76&gt;0,IF(4&lt;=SemanaActual,INDEX('Cronograma R. Normativo'!$AK$5:$AK$1000,$N76),""),IF(INDEX('Cronograma R. Normativo'!$L$5:$L$1000,$N76)="","",INDEX('Cronograma R. Normativo'!$L$5:$L$1000,$N76))))</f>
        <v/>
      </c>
      <c r="J76" s="61">
        <f>IF($N76="","",INDEX('Cronograma R. Normativo'!$M$5:$M$1000,$N76))</f>
        <v/>
      </c>
      <c r="K76" s="56">
        <f>IF($N76="","",IF(N($J76)&gt;=1,"Completado",IF(AND(ISNUMBER($D76),$D76&lt;FechaRef),"Vencida",IF(N($J76)&gt;0,"En curso","Pendiente"))))</f>
        <v/>
      </c>
      <c r="L76" s="56">
        <f>IF($N76="","",INDEX('Cronograma R. Normativo'!$O$5:$O$1000,$N76)&amp;"")</f>
        <v/>
      </c>
      <c r="M76" s="62">
        <f>IF($N76="","",INDEX('Cronograma R. Normativo'!$Q$5:$Q$1000,$N76)&amp;"")</f>
        <v/>
      </c>
      <c r="N76">
        <f>IFERROR(MATCH(ROW()-4,rOrden_RN,0),"")</f>
        <v/>
      </c>
      <c r="O76">
        <f>IF($N76="","",INDEX('Cronograma R. Normativo'!$V$5:$V$1000,$N76))</f>
        <v/>
      </c>
      <c r="P76">
        <f>IF($N76="","",N(INDEX('Cronograma R. Normativo'!$W$5:$W$1000,$N76)))</f>
        <v/>
      </c>
      <c r="Q76">
        <f>IF(OR(LEFT($L76,7)="Vencida",LEFT($L76,5)="Vence"),SUMPRODUCT(--(LEFT($L$5:$L76,7)="Vencida"))+SUMPRODUCT(--(LEFT($L$5:$L76,5)="Vence")),"")</f>
        <v/>
      </c>
    </row>
    <row r="77">
      <c r="A77" s="56">
        <f>IF($N77="","",INDEX('Cronograma R. Normativo'!$A$5:$A$1000,$N77))</f>
        <v/>
      </c>
      <c r="B77" s="62">
        <f>IF($N77="","",IF($O77="Sub","      ↳  "&amp;INDEX('Cronograma R. Normativo'!$C$5:$C$1000,$N77),INDEX('Cronograma R. Normativo'!$C$5:$C$1000,$N77)&amp;""))</f>
        <v/>
      </c>
      <c r="C77" s="79">
        <f>IF($N77="","",IF(INDEX('Cronograma R. Normativo'!$AR$5:$AR$1000,$N77)="","",INDEX('Cronograma R. Normativo'!$AR$5:$AR$1000,$N77)))</f>
        <v/>
      </c>
      <c r="D77" s="79">
        <f>IF($N77="","",IF(INDEX('Cronograma R. Normativo'!$AS$5:$AS$1000,$N77)="","",INDEX('Cronograma R. Normativo'!$AS$5:$AS$1000,$N77)))</f>
        <v/>
      </c>
      <c r="E77" s="56">
        <f>IF($N77="","",IF(NOT(ISNUMBER($D77)),"",IF($D77&lt;InicioCiclo,"Antes del ciclo",IF($D77&gt;=InicioCiclo+28,"Después del ciclo","Semana "&amp;(INT(($D77-InicioCiclo)/7)+1)))))</f>
        <v/>
      </c>
      <c r="F77" s="61">
        <f>IF($N77="","",IF($P77&gt;0,IF(1&lt;=SemanaActual,INDEX('Cronograma R. Normativo'!$AH$5:$AH$1000,$N77),""),IF(INDEX('Cronograma R. Normativo'!$I$5:$I$1000,$N77)="","",INDEX('Cronograma R. Normativo'!$I$5:$I$1000,$N77))))</f>
        <v/>
      </c>
      <c r="G77" s="61">
        <f>IF($N77="","",IF($P77&gt;0,IF(2&lt;=SemanaActual,INDEX('Cronograma R. Normativo'!$AI$5:$AI$1000,$N77),""),IF(INDEX('Cronograma R. Normativo'!$J$5:$J$1000,$N77)="","",INDEX('Cronograma R. Normativo'!$J$5:$J$1000,$N77))))</f>
        <v/>
      </c>
      <c r="H77" s="61">
        <f>IF($N77="","",IF($P77&gt;0,IF(3&lt;=SemanaActual,INDEX('Cronograma R. Normativo'!$AJ$5:$AJ$1000,$N77),""),IF(INDEX('Cronograma R. Normativo'!$K$5:$K$1000,$N77)="","",INDEX('Cronograma R. Normativo'!$K$5:$K$1000,$N77))))</f>
        <v/>
      </c>
      <c r="I77" s="61">
        <f>IF($N77="","",IF($P77&gt;0,IF(4&lt;=SemanaActual,INDEX('Cronograma R. Normativo'!$AK$5:$AK$1000,$N77),""),IF(INDEX('Cronograma R. Normativo'!$L$5:$L$1000,$N77)="","",INDEX('Cronograma R. Normativo'!$L$5:$L$1000,$N77))))</f>
        <v/>
      </c>
      <c r="J77" s="61">
        <f>IF($N77="","",INDEX('Cronograma R. Normativo'!$M$5:$M$1000,$N77))</f>
        <v/>
      </c>
      <c r="K77" s="56">
        <f>IF($N77="","",IF(N($J77)&gt;=1,"Completado",IF(AND(ISNUMBER($D77),$D77&lt;FechaRef),"Vencida",IF(N($J77)&gt;0,"En curso","Pendiente"))))</f>
        <v/>
      </c>
      <c r="L77" s="56">
        <f>IF($N77="","",INDEX('Cronograma R. Normativo'!$O$5:$O$1000,$N77)&amp;"")</f>
        <v/>
      </c>
      <c r="M77" s="62">
        <f>IF($N77="","",INDEX('Cronograma R. Normativo'!$Q$5:$Q$1000,$N77)&amp;"")</f>
        <v/>
      </c>
      <c r="N77">
        <f>IFERROR(MATCH(ROW()-4,rOrden_RN,0),"")</f>
        <v/>
      </c>
      <c r="O77">
        <f>IF($N77="","",INDEX('Cronograma R. Normativo'!$V$5:$V$1000,$N77))</f>
        <v/>
      </c>
      <c r="P77">
        <f>IF($N77="","",N(INDEX('Cronograma R. Normativo'!$W$5:$W$1000,$N77)))</f>
        <v/>
      </c>
      <c r="Q77">
        <f>IF(OR(LEFT($L77,7)="Vencida",LEFT($L77,5)="Vence"),SUMPRODUCT(--(LEFT($L$5:$L77,7)="Vencida"))+SUMPRODUCT(--(LEFT($L$5:$L77,5)="Vence")),"")</f>
        <v/>
      </c>
    </row>
    <row r="78">
      <c r="A78" s="56">
        <f>IF($N78="","",INDEX('Cronograma R. Normativo'!$A$5:$A$1000,$N78))</f>
        <v/>
      </c>
      <c r="B78" s="62">
        <f>IF($N78="","",IF($O78="Sub","      ↳  "&amp;INDEX('Cronograma R. Normativo'!$C$5:$C$1000,$N78),INDEX('Cronograma R. Normativo'!$C$5:$C$1000,$N78)&amp;""))</f>
        <v/>
      </c>
      <c r="C78" s="79">
        <f>IF($N78="","",IF(INDEX('Cronograma R. Normativo'!$AR$5:$AR$1000,$N78)="","",INDEX('Cronograma R. Normativo'!$AR$5:$AR$1000,$N78)))</f>
        <v/>
      </c>
      <c r="D78" s="79">
        <f>IF($N78="","",IF(INDEX('Cronograma R. Normativo'!$AS$5:$AS$1000,$N78)="","",INDEX('Cronograma R. Normativo'!$AS$5:$AS$1000,$N78)))</f>
        <v/>
      </c>
      <c r="E78" s="56">
        <f>IF($N78="","",IF(NOT(ISNUMBER($D78)),"",IF($D78&lt;InicioCiclo,"Antes del ciclo",IF($D78&gt;=InicioCiclo+28,"Después del ciclo","Semana "&amp;(INT(($D78-InicioCiclo)/7)+1)))))</f>
        <v/>
      </c>
      <c r="F78" s="61">
        <f>IF($N78="","",IF($P78&gt;0,IF(1&lt;=SemanaActual,INDEX('Cronograma R. Normativo'!$AH$5:$AH$1000,$N78),""),IF(INDEX('Cronograma R. Normativo'!$I$5:$I$1000,$N78)="","",INDEX('Cronograma R. Normativo'!$I$5:$I$1000,$N78))))</f>
        <v/>
      </c>
      <c r="G78" s="61">
        <f>IF($N78="","",IF($P78&gt;0,IF(2&lt;=SemanaActual,INDEX('Cronograma R. Normativo'!$AI$5:$AI$1000,$N78),""),IF(INDEX('Cronograma R. Normativo'!$J$5:$J$1000,$N78)="","",INDEX('Cronograma R. Normativo'!$J$5:$J$1000,$N78))))</f>
        <v/>
      </c>
      <c r="H78" s="61">
        <f>IF($N78="","",IF($P78&gt;0,IF(3&lt;=SemanaActual,INDEX('Cronograma R. Normativo'!$AJ$5:$AJ$1000,$N78),""),IF(INDEX('Cronograma R. Normativo'!$K$5:$K$1000,$N78)="","",INDEX('Cronograma R. Normativo'!$K$5:$K$1000,$N78))))</f>
        <v/>
      </c>
      <c r="I78" s="61">
        <f>IF($N78="","",IF($P78&gt;0,IF(4&lt;=SemanaActual,INDEX('Cronograma R. Normativo'!$AK$5:$AK$1000,$N78),""),IF(INDEX('Cronograma R. Normativo'!$L$5:$L$1000,$N78)="","",INDEX('Cronograma R. Normativo'!$L$5:$L$1000,$N78))))</f>
        <v/>
      </c>
      <c r="J78" s="61">
        <f>IF($N78="","",INDEX('Cronograma R. Normativo'!$M$5:$M$1000,$N78))</f>
        <v/>
      </c>
      <c r="K78" s="56">
        <f>IF($N78="","",IF(N($J78)&gt;=1,"Completado",IF(AND(ISNUMBER($D78),$D78&lt;FechaRef),"Vencida",IF(N($J78)&gt;0,"En curso","Pendiente"))))</f>
        <v/>
      </c>
      <c r="L78" s="56">
        <f>IF($N78="","",INDEX('Cronograma R. Normativo'!$O$5:$O$1000,$N78)&amp;"")</f>
        <v/>
      </c>
      <c r="M78" s="62">
        <f>IF($N78="","",INDEX('Cronograma R. Normativo'!$Q$5:$Q$1000,$N78)&amp;"")</f>
        <v/>
      </c>
      <c r="N78">
        <f>IFERROR(MATCH(ROW()-4,rOrden_RN,0),"")</f>
        <v/>
      </c>
      <c r="O78">
        <f>IF($N78="","",INDEX('Cronograma R. Normativo'!$V$5:$V$1000,$N78))</f>
        <v/>
      </c>
      <c r="P78">
        <f>IF($N78="","",N(INDEX('Cronograma R. Normativo'!$W$5:$W$1000,$N78)))</f>
        <v/>
      </c>
      <c r="Q78">
        <f>IF(OR(LEFT($L78,7)="Vencida",LEFT($L78,5)="Vence"),SUMPRODUCT(--(LEFT($L$5:$L78,7)="Vencida"))+SUMPRODUCT(--(LEFT($L$5:$L78,5)="Vence")),"")</f>
        <v/>
      </c>
    </row>
    <row r="79">
      <c r="A79" s="56">
        <f>IF($N79="","",INDEX('Cronograma R. Normativo'!$A$5:$A$1000,$N79))</f>
        <v/>
      </c>
      <c r="B79" s="62">
        <f>IF($N79="","",IF($O79="Sub","      ↳  "&amp;INDEX('Cronograma R. Normativo'!$C$5:$C$1000,$N79),INDEX('Cronograma R. Normativo'!$C$5:$C$1000,$N79)&amp;""))</f>
        <v/>
      </c>
      <c r="C79" s="79">
        <f>IF($N79="","",IF(INDEX('Cronograma R. Normativo'!$AR$5:$AR$1000,$N79)="","",INDEX('Cronograma R. Normativo'!$AR$5:$AR$1000,$N79)))</f>
        <v/>
      </c>
      <c r="D79" s="79">
        <f>IF($N79="","",IF(INDEX('Cronograma R. Normativo'!$AS$5:$AS$1000,$N79)="","",INDEX('Cronograma R. Normativo'!$AS$5:$AS$1000,$N79)))</f>
        <v/>
      </c>
      <c r="E79" s="56">
        <f>IF($N79="","",IF(NOT(ISNUMBER($D79)),"",IF($D79&lt;InicioCiclo,"Antes del ciclo",IF($D79&gt;=InicioCiclo+28,"Después del ciclo","Semana "&amp;(INT(($D79-InicioCiclo)/7)+1)))))</f>
        <v/>
      </c>
      <c r="F79" s="61">
        <f>IF($N79="","",IF($P79&gt;0,IF(1&lt;=SemanaActual,INDEX('Cronograma R. Normativo'!$AH$5:$AH$1000,$N79),""),IF(INDEX('Cronograma R. Normativo'!$I$5:$I$1000,$N79)="","",INDEX('Cronograma R. Normativo'!$I$5:$I$1000,$N79))))</f>
        <v/>
      </c>
      <c r="G79" s="61">
        <f>IF($N79="","",IF($P79&gt;0,IF(2&lt;=SemanaActual,INDEX('Cronograma R. Normativo'!$AI$5:$AI$1000,$N79),""),IF(INDEX('Cronograma R. Normativo'!$J$5:$J$1000,$N79)="","",INDEX('Cronograma R. Normativo'!$J$5:$J$1000,$N79))))</f>
        <v/>
      </c>
      <c r="H79" s="61">
        <f>IF($N79="","",IF($P79&gt;0,IF(3&lt;=SemanaActual,INDEX('Cronograma R. Normativo'!$AJ$5:$AJ$1000,$N79),""),IF(INDEX('Cronograma R. Normativo'!$K$5:$K$1000,$N79)="","",INDEX('Cronograma R. Normativo'!$K$5:$K$1000,$N79))))</f>
        <v/>
      </c>
      <c r="I79" s="61">
        <f>IF($N79="","",IF($P79&gt;0,IF(4&lt;=SemanaActual,INDEX('Cronograma R. Normativo'!$AK$5:$AK$1000,$N79),""),IF(INDEX('Cronograma R. Normativo'!$L$5:$L$1000,$N79)="","",INDEX('Cronograma R. Normativo'!$L$5:$L$1000,$N79))))</f>
        <v/>
      </c>
      <c r="J79" s="61">
        <f>IF($N79="","",INDEX('Cronograma R. Normativo'!$M$5:$M$1000,$N79))</f>
        <v/>
      </c>
      <c r="K79" s="56">
        <f>IF($N79="","",IF(N($J79)&gt;=1,"Completado",IF(AND(ISNUMBER($D79),$D79&lt;FechaRef),"Vencida",IF(N($J79)&gt;0,"En curso","Pendiente"))))</f>
        <v/>
      </c>
      <c r="L79" s="56">
        <f>IF($N79="","",INDEX('Cronograma R. Normativo'!$O$5:$O$1000,$N79)&amp;"")</f>
        <v/>
      </c>
      <c r="M79" s="62">
        <f>IF($N79="","",INDEX('Cronograma R. Normativo'!$Q$5:$Q$1000,$N79)&amp;"")</f>
        <v/>
      </c>
      <c r="N79">
        <f>IFERROR(MATCH(ROW()-4,rOrden_RN,0),"")</f>
        <v/>
      </c>
      <c r="O79">
        <f>IF($N79="","",INDEX('Cronograma R. Normativo'!$V$5:$V$1000,$N79))</f>
        <v/>
      </c>
      <c r="P79">
        <f>IF($N79="","",N(INDEX('Cronograma R. Normativo'!$W$5:$W$1000,$N79)))</f>
        <v/>
      </c>
      <c r="Q79">
        <f>IF(OR(LEFT($L79,7)="Vencida",LEFT($L79,5)="Vence"),SUMPRODUCT(--(LEFT($L$5:$L79,7)="Vencida"))+SUMPRODUCT(--(LEFT($L$5:$L79,5)="Vence")),"")</f>
        <v/>
      </c>
    </row>
    <row r="80">
      <c r="A80" s="56">
        <f>IF($N80="","",INDEX('Cronograma R. Normativo'!$A$5:$A$1000,$N80))</f>
        <v/>
      </c>
      <c r="B80" s="62">
        <f>IF($N80="","",IF($O80="Sub","      ↳  "&amp;INDEX('Cronograma R. Normativo'!$C$5:$C$1000,$N80),INDEX('Cronograma R. Normativo'!$C$5:$C$1000,$N80)&amp;""))</f>
        <v/>
      </c>
      <c r="C80" s="79">
        <f>IF($N80="","",IF(INDEX('Cronograma R. Normativo'!$AR$5:$AR$1000,$N80)="","",INDEX('Cronograma R. Normativo'!$AR$5:$AR$1000,$N80)))</f>
        <v/>
      </c>
      <c r="D80" s="79">
        <f>IF($N80="","",IF(INDEX('Cronograma R. Normativo'!$AS$5:$AS$1000,$N80)="","",INDEX('Cronograma R. Normativo'!$AS$5:$AS$1000,$N80)))</f>
        <v/>
      </c>
      <c r="E80" s="56">
        <f>IF($N80="","",IF(NOT(ISNUMBER($D80)),"",IF($D80&lt;InicioCiclo,"Antes del ciclo",IF($D80&gt;=InicioCiclo+28,"Después del ciclo","Semana "&amp;(INT(($D80-InicioCiclo)/7)+1)))))</f>
        <v/>
      </c>
      <c r="F80" s="61">
        <f>IF($N80="","",IF($P80&gt;0,IF(1&lt;=SemanaActual,INDEX('Cronograma R. Normativo'!$AH$5:$AH$1000,$N80),""),IF(INDEX('Cronograma R. Normativo'!$I$5:$I$1000,$N80)="","",INDEX('Cronograma R. Normativo'!$I$5:$I$1000,$N80))))</f>
        <v/>
      </c>
      <c r="G80" s="61">
        <f>IF($N80="","",IF($P80&gt;0,IF(2&lt;=SemanaActual,INDEX('Cronograma R. Normativo'!$AI$5:$AI$1000,$N80),""),IF(INDEX('Cronograma R. Normativo'!$J$5:$J$1000,$N80)="","",INDEX('Cronograma R. Normativo'!$J$5:$J$1000,$N80))))</f>
        <v/>
      </c>
      <c r="H80" s="61">
        <f>IF($N80="","",IF($P80&gt;0,IF(3&lt;=SemanaActual,INDEX('Cronograma R. Normativo'!$AJ$5:$AJ$1000,$N80),""),IF(INDEX('Cronograma R. Normativo'!$K$5:$K$1000,$N80)="","",INDEX('Cronograma R. Normativo'!$K$5:$K$1000,$N80))))</f>
        <v/>
      </c>
      <c r="I80" s="61">
        <f>IF($N80="","",IF($P80&gt;0,IF(4&lt;=SemanaActual,INDEX('Cronograma R. Normativo'!$AK$5:$AK$1000,$N80),""),IF(INDEX('Cronograma R. Normativo'!$L$5:$L$1000,$N80)="","",INDEX('Cronograma R. Normativo'!$L$5:$L$1000,$N80))))</f>
        <v/>
      </c>
      <c r="J80" s="61">
        <f>IF($N80="","",INDEX('Cronograma R. Normativo'!$M$5:$M$1000,$N80))</f>
        <v/>
      </c>
      <c r="K80" s="56">
        <f>IF($N80="","",IF(N($J80)&gt;=1,"Completado",IF(AND(ISNUMBER($D80),$D80&lt;FechaRef),"Vencida",IF(N($J80)&gt;0,"En curso","Pendiente"))))</f>
        <v/>
      </c>
      <c r="L80" s="56">
        <f>IF($N80="","",INDEX('Cronograma R. Normativo'!$O$5:$O$1000,$N80)&amp;"")</f>
        <v/>
      </c>
      <c r="M80" s="62">
        <f>IF($N80="","",INDEX('Cronograma R. Normativo'!$Q$5:$Q$1000,$N80)&amp;"")</f>
        <v/>
      </c>
      <c r="N80">
        <f>IFERROR(MATCH(ROW()-4,rOrden_RN,0),"")</f>
        <v/>
      </c>
      <c r="O80">
        <f>IF($N80="","",INDEX('Cronograma R. Normativo'!$V$5:$V$1000,$N80))</f>
        <v/>
      </c>
      <c r="P80">
        <f>IF($N80="","",N(INDEX('Cronograma R. Normativo'!$W$5:$W$1000,$N80)))</f>
        <v/>
      </c>
      <c r="Q80">
        <f>IF(OR(LEFT($L80,7)="Vencida",LEFT($L80,5)="Vence"),SUMPRODUCT(--(LEFT($L$5:$L80,7)="Vencida"))+SUMPRODUCT(--(LEFT($L$5:$L80,5)="Vence")),"")</f>
        <v/>
      </c>
    </row>
    <row r="81">
      <c r="A81" s="56">
        <f>IF($N81="","",INDEX('Cronograma R. Normativo'!$A$5:$A$1000,$N81))</f>
        <v/>
      </c>
      <c r="B81" s="62">
        <f>IF($N81="","",IF($O81="Sub","      ↳  "&amp;INDEX('Cronograma R. Normativo'!$C$5:$C$1000,$N81),INDEX('Cronograma R. Normativo'!$C$5:$C$1000,$N81)&amp;""))</f>
        <v/>
      </c>
      <c r="C81" s="79">
        <f>IF($N81="","",IF(INDEX('Cronograma R. Normativo'!$AR$5:$AR$1000,$N81)="","",INDEX('Cronograma R. Normativo'!$AR$5:$AR$1000,$N81)))</f>
        <v/>
      </c>
      <c r="D81" s="79">
        <f>IF($N81="","",IF(INDEX('Cronograma R. Normativo'!$AS$5:$AS$1000,$N81)="","",INDEX('Cronograma R. Normativo'!$AS$5:$AS$1000,$N81)))</f>
        <v/>
      </c>
      <c r="E81" s="56">
        <f>IF($N81="","",IF(NOT(ISNUMBER($D81)),"",IF($D81&lt;InicioCiclo,"Antes del ciclo",IF($D81&gt;=InicioCiclo+28,"Después del ciclo","Semana "&amp;(INT(($D81-InicioCiclo)/7)+1)))))</f>
        <v/>
      </c>
      <c r="F81" s="61">
        <f>IF($N81="","",IF($P81&gt;0,IF(1&lt;=SemanaActual,INDEX('Cronograma R. Normativo'!$AH$5:$AH$1000,$N81),""),IF(INDEX('Cronograma R. Normativo'!$I$5:$I$1000,$N81)="","",INDEX('Cronograma R. Normativo'!$I$5:$I$1000,$N81))))</f>
        <v/>
      </c>
      <c r="G81" s="61">
        <f>IF($N81="","",IF($P81&gt;0,IF(2&lt;=SemanaActual,INDEX('Cronograma R. Normativo'!$AI$5:$AI$1000,$N81),""),IF(INDEX('Cronograma R. Normativo'!$J$5:$J$1000,$N81)="","",INDEX('Cronograma R. Normativo'!$J$5:$J$1000,$N81))))</f>
        <v/>
      </c>
      <c r="H81" s="61">
        <f>IF($N81="","",IF($P81&gt;0,IF(3&lt;=SemanaActual,INDEX('Cronograma R. Normativo'!$AJ$5:$AJ$1000,$N81),""),IF(INDEX('Cronograma R. Normativo'!$K$5:$K$1000,$N81)="","",INDEX('Cronograma R. Normativo'!$K$5:$K$1000,$N81))))</f>
        <v/>
      </c>
      <c r="I81" s="61">
        <f>IF($N81="","",IF($P81&gt;0,IF(4&lt;=SemanaActual,INDEX('Cronograma R. Normativo'!$AK$5:$AK$1000,$N81),""),IF(INDEX('Cronograma R. Normativo'!$L$5:$L$1000,$N81)="","",INDEX('Cronograma R. Normativo'!$L$5:$L$1000,$N81))))</f>
        <v/>
      </c>
      <c r="J81" s="61">
        <f>IF($N81="","",INDEX('Cronograma R. Normativo'!$M$5:$M$1000,$N81))</f>
        <v/>
      </c>
      <c r="K81" s="56">
        <f>IF($N81="","",IF(N($J81)&gt;=1,"Completado",IF(AND(ISNUMBER($D81),$D81&lt;FechaRef),"Vencida",IF(N($J81)&gt;0,"En curso","Pendiente"))))</f>
        <v/>
      </c>
      <c r="L81" s="56">
        <f>IF($N81="","",INDEX('Cronograma R. Normativo'!$O$5:$O$1000,$N81)&amp;"")</f>
        <v/>
      </c>
      <c r="M81" s="62">
        <f>IF($N81="","",INDEX('Cronograma R. Normativo'!$Q$5:$Q$1000,$N81)&amp;"")</f>
        <v/>
      </c>
      <c r="N81">
        <f>IFERROR(MATCH(ROW()-4,rOrden_RN,0),"")</f>
        <v/>
      </c>
      <c r="O81">
        <f>IF($N81="","",INDEX('Cronograma R. Normativo'!$V$5:$V$1000,$N81))</f>
        <v/>
      </c>
      <c r="P81">
        <f>IF($N81="","",N(INDEX('Cronograma R. Normativo'!$W$5:$W$1000,$N81)))</f>
        <v/>
      </c>
      <c r="Q81">
        <f>IF(OR(LEFT($L81,7)="Vencida",LEFT($L81,5)="Vence"),SUMPRODUCT(--(LEFT($L$5:$L81,7)="Vencida"))+SUMPRODUCT(--(LEFT($L$5:$L81,5)="Vence")),"")</f>
        <v/>
      </c>
    </row>
    <row r="82">
      <c r="A82" s="56">
        <f>IF($N82="","",INDEX('Cronograma R. Normativo'!$A$5:$A$1000,$N82))</f>
        <v/>
      </c>
      <c r="B82" s="62">
        <f>IF($N82="","",IF($O82="Sub","      ↳  "&amp;INDEX('Cronograma R. Normativo'!$C$5:$C$1000,$N82),INDEX('Cronograma R. Normativo'!$C$5:$C$1000,$N82)&amp;""))</f>
        <v/>
      </c>
      <c r="C82" s="79">
        <f>IF($N82="","",IF(INDEX('Cronograma R. Normativo'!$AR$5:$AR$1000,$N82)="","",INDEX('Cronograma R. Normativo'!$AR$5:$AR$1000,$N82)))</f>
        <v/>
      </c>
      <c r="D82" s="79">
        <f>IF($N82="","",IF(INDEX('Cronograma R. Normativo'!$AS$5:$AS$1000,$N82)="","",INDEX('Cronograma R. Normativo'!$AS$5:$AS$1000,$N82)))</f>
        <v/>
      </c>
      <c r="E82" s="56">
        <f>IF($N82="","",IF(NOT(ISNUMBER($D82)),"",IF($D82&lt;InicioCiclo,"Antes del ciclo",IF($D82&gt;=InicioCiclo+28,"Después del ciclo","Semana "&amp;(INT(($D82-InicioCiclo)/7)+1)))))</f>
        <v/>
      </c>
      <c r="F82" s="61">
        <f>IF($N82="","",IF($P82&gt;0,IF(1&lt;=SemanaActual,INDEX('Cronograma R. Normativo'!$AH$5:$AH$1000,$N82),""),IF(INDEX('Cronograma R. Normativo'!$I$5:$I$1000,$N82)="","",INDEX('Cronograma R. Normativo'!$I$5:$I$1000,$N82))))</f>
        <v/>
      </c>
      <c r="G82" s="61">
        <f>IF($N82="","",IF($P82&gt;0,IF(2&lt;=SemanaActual,INDEX('Cronograma R. Normativo'!$AI$5:$AI$1000,$N82),""),IF(INDEX('Cronograma R. Normativo'!$J$5:$J$1000,$N82)="","",INDEX('Cronograma R. Normativo'!$J$5:$J$1000,$N82))))</f>
        <v/>
      </c>
      <c r="H82" s="61">
        <f>IF($N82="","",IF($P82&gt;0,IF(3&lt;=SemanaActual,INDEX('Cronograma R. Normativo'!$AJ$5:$AJ$1000,$N82),""),IF(INDEX('Cronograma R. Normativo'!$K$5:$K$1000,$N82)="","",INDEX('Cronograma R. Normativo'!$K$5:$K$1000,$N82))))</f>
        <v/>
      </c>
      <c r="I82" s="61">
        <f>IF($N82="","",IF($P82&gt;0,IF(4&lt;=SemanaActual,INDEX('Cronograma R. Normativo'!$AK$5:$AK$1000,$N82),""),IF(INDEX('Cronograma R. Normativo'!$L$5:$L$1000,$N82)="","",INDEX('Cronograma R. Normativo'!$L$5:$L$1000,$N82))))</f>
        <v/>
      </c>
      <c r="J82" s="61">
        <f>IF($N82="","",INDEX('Cronograma R. Normativo'!$M$5:$M$1000,$N82))</f>
        <v/>
      </c>
      <c r="K82" s="56">
        <f>IF($N82="","",IF(N($J82)&gt;=1,"Completado",IF(AND(ISNUMBER($D82),$D82&lt;FechaRef),"Vencida",IF(N($J82)&gt;0,"En curso","Pendiente"))))</f>
        <v/>
      </c>
      <c r="L82" s="56">
        <f>IF($N82="","",INDEX('Cronograma R. Normativo'!$O$5:$O$1000,$N82)&amp;"")</f>
        <v/>
      </c>
      <c r="M82" s="62">
        <f>IF($N82="","",INDEX('Cronograma R. Normativo'!$Q$5:$Q$1000,$N82)&amp;"")</f>
        <v/>
      </c>
      <c r="N82">
        <f>IFERROR(MATCH(ROW()-4,rOrden_RN,0),"")</f>
        <v/>
      </c>
      <c r="O82">
        <f>IF($N82="","",INDEX('Cronograma R. Normativo'!$V$5:$V$1000,$N82))</f>
        <v/>
      </c>
      <c r="P82">
        <f>IF($N82="","",N(INDEX('Cronograma R. Normativo'!$W$5:$W$1000,$N82)))</f>
        <v/>
      </c>
      <c r="Q82">
        <f>IF(OR(LEFT($L82,7)="Vencida",LEFT($L82,5)="Vence"),SUMPRODUCT(--(LEFT($L$5:$L82,7)="Vencida"))+SUMPRODUCT(--(LEFT($L$5:$L82,5)="Vence")),"")</f>
        <v/>
      </c>
    </row>
    <row r="83">
      <c r="A83" s="56">
        <f>IF($N83="","",INDEX('Cronograma R. Normativo'!$A$5:$A$1000,$N83))</f>
        <v/>
      </c>
      <c r="B83" s="62">
        <f>IF($N83="","",IF($O83="Sub","      ↳  "&amp;INDEX('Cronograma R. Normativo'!$C$5:$C$1000,$N83),INDEX('Cronograma R. Normativo'!$C$5:$C$1000,$N83)&amp;""))</f>
        <v/>
      </c>
      <c r="C83" s="79">
        <f>IF($N83="","",IF(INDEX('Cronograma R. Normativo'!$AR$5:$AR$1000,$N83)="","",INDEX('Cronograma R. Normativo'!$AR$5:$AR$1000,$N83)))</f>
        <v/>
      </c>
      <c r="D83" s="79">
        <f>IF($N83="","",IF(INDEX('Cronograma R. Normativo'!$AS$5:$AS$1000,$N83)="","",INDEX('Cronograma R. Normativo'!$AS$5:$AS$1000,$N83)))</f>
        <v/>
      </c>
      <c r="E83" s="56">
        <f>IF($N83="","",IF(NOT(ISNUMBER($D83)),"",IF($D83&lt;InicioCiclo,"Antes del ciclo",IF($D83&gt;=InicioCiclo+28,"Después del ciclo","Semana "&amp;(INT(($D83-InicioCiclo)/7)+1)))))</f>
        <v/>
      </c>
      <c r="F83" s="61">
        <f>IF($N83="","",IF($P83&gt;0,IF(1&lt;=SemanaActual,INDEX('Cronograma R. Normativo'!$AH$5:$AH$1000,$N83),""),IF(INDEX('Cronograma R. Normativo'!$I$5:$I$1000,$N83)="","",INDEX('Cronograma R. Normativo'!$I$5:$I$1000,$N83))))</f>
        <v/>
      </c>
      <c r="G83" s="61">
        <f>IF($N83="","",IF($P83&gt;0,IF(2&lt;=SemanaActual,INDEX('Cronograma R. Normativo'!$AI$5:$AI$1000,$N83),""),IF(INDEX('Cronograma R. Normativo'!$J$5:$J$1000,$N83)="","",INDEX('Cronograma R. Normativo'!$J$5:$J$1000,$N83))))</f>
        <v/>
      </c>
      <c r="H83" s="61">
        <f>IF($N83="","",IF($P83&gt;0,IF(3&lt;=SemanaActual,INDEX('Cronograma R. Normativo'!$AJ$5:$AJ$1000,$N83),""),IF(INDEX('Cronograma R. Normativo'!$K$5:$K$1000,$N83)="","",INDEX('Cronograma R. Normativo'!$K$5:$K$1000,$N83))))</f>
        <v/>
      </c>
      <c r="I83" s="61">
        <f>IF($N83="","",IF($P83&gt;0,IF(4&lt;=SemanaActual,INDEX('Cronograma R. Normativo'!$AK$5:$AK$1000,$N83),""),IF(INDEX('Cronograma R. Normativo'!$L$5:$L$1000,$N83)="","",INDEX('Cronograma R. Normativo'!$L$5:$L$1000,$N83))))</f>
        <v/>
      </c>
      <c r="J83" s="61">
        <f>IF($N83="","",INDEX('Cronograma R. Normativo'!$M$5:$M$1000,$N83))</f>
        <v/>
      </c>
      <c r="K83" s="56">
        <f>IF($N83="","",IF(N($J83)&gt;=1,"Completado",IF(AND(ISNUMBER($D83),$D83&lt;FechaRef),"Vencida",IF(N($J83)&gt;0,"En curso","Pendiente"))))</f>
        <v/>
      </c>
      <c r="L83" s="56">
        <f>IF($N83="","",INDEX('Cronograma R. Normativo'!$O$5:$O$1000,$N83)&amp;"")</f>
        <v/>
      </c>
      <c r="M83" s="62">
        <f>IF($N83="","",INDEX('Cronograma R. Normativo'!$Q$5:$Q$1000,$N83)&amp;"")</f>
        <v/>
      </c>
      <c r="N83">
        <f>IFERROR(MATCH(ROW()-4,rOrden_RN,0),"")</f>
        <v/>
      </c>
      <c r="O83">
        <f>IF($N83="","",INDEX('Cronograma R. Normativo'!$V$5:$V$1000,$N83))</f>
        <v/>
      </c>
      <c r="P83">
        <f>IF($N83="","",N(INDEX('Cronograma R. Normativo'!$W$5:$W$1000,$N83)))</f>
        <v/>
      </c>
      <c r="Q83">
        <f>IF(OR(LEFT($L83,7)="Vencida",LEFT($L83,5)="Vence"),SUMPRODUCT(--(LEFT($L$5:$L83,7)="Vencida"))+SUMPRODUCT(--(LEFT($L$5:$L83,5)="Vence")),"")</f>
        <v/>
      </c>
    </row>
    <row r="84">
      <c r="A84" s="56">
        <f>IF($N84="","",INDEX('Cronograma R. Normativo'!$A$5:$A$1000,$N84))</f>
        <v/>
      </c>
      <c r="B84" s="62">
        <f>IF($N84="","",IF($O84="Sub","      ↳  "&amp;INDEX('Cronograma R. Normativo'!$C$5:$C$1000,$N84),INDEX('Cronograma R. Normativo'!$C$5:$C$1000,$N84)&amp;""))</f>
        <v/>
      </c>
      <c r="C84" s="79">
        <f>IF($N84="","",IF(INDEX('Cronograma R. Normativo'!$AR$5:$AR$1000,$N84)="","",INDEX('Cronograma R. Normativo'!$AR$5:$AR$1000,$N84)))</f>
        <v/>
      </c>
      <c r="D84" s="79">
        <f>IF($N84="","",IF(INDEX('Cronograma R. Normativo'!$AS$5:$AS$1000,$N84)="","",INDEX('Cronograma R. Normativo'!$AS$5:$AS$1000,$N84)))</f>
        <v/>
      </c>
      <c r="E84" s="56">
        <f>IF($N84="","",IF(NOT(ISNUMBER($D84)),"",IF($D84&lt;InicioCiclo,"Antes del ciclo",IF($D84&gt;=InicioCiclo+28,"Después del ciclo","Semana "&amp;(INT(($D84-InicioCiclo)/7)+1)))))</f>
        <v/>
      </c>
      <c r="F84" s="61">
        <f>IF($N84="","",IF($P84&gt;0,IF(1&lt;=SemanaActual,INDEX('Cronograma R. Normativo'!$AH$5:$AH$1000,$N84),""),IF(INDEX('Cronograma R. Normativo'!$I$5:$I$1000,$N84)="","",INDEX('Cronograma R. Normativo'!$I$5:$I$1000,$N84))))</f>
        <v/>
      </c>
      <c r="G84" s="61">
        <f>IF($N84="","",IF($P84&gt;0,IF(2&lt;=SemanaActual,INDEX('Cronograma R. Normativo'!$AI$5:$AI$1000,$N84),""),IF(INDEX('Cronograma R. Normativo'!$J$5:$J$1000,$N84)="","",INDEX('Cronograma R. Normativo'!$J$5:$J$1000,$N84))))</f>
        <v/>
      </c>
      <c r="H84" s="61">
        <f>IF($N84="","",IF($P84&gt;0,IF(3&lt;=SemanaActual,INDEX('Cronograma R. Normativo'!$AJ$5:$AJ$1000,$N84),""),IF(INDEX('Cronograma R. Normativo'!$K$5:$K$1000,$N84)="","",INDEX('Cronograma R. Normativo'!$K$5:$K$1000,$N84))))</f>
        <v/>
      </c>
      <c r="I84" s="61">
        <f>IF($N84="","",IF($P84&gt;0,IF(4&lt;=SemanaActual,INDEX('Cronograma R. Normativo'!$AK$5:$AK$1000,$N84),""),IF(INDEX('Cronograma R. Normativo'!$L$5:$L$1000,$N84)="","",INDEX('Cronograma R. Normativo'!$L$5:$L$1000,$N84))))</f>
        <v/>
      </c>
      <c r="J84" s="61">
        <f>IF($N84="","",INDEX('Cronograma R. Normativo'!$M$5:$M$1000,$N84))</f>
        <v/>
      </c>
      <c r="K84" s="56">
        <f>IF($N84="","",IF(N($J84)&gt;=1,"Completado",IF(AND(ISNUMBER($D84),$D84&lt;FechaRef),"Vencida",IF(N($J84)&gt;0,"En curso","Pendiente"))))</f>
        <v/>
      </c>
      <c r="L84" s="56">
        <f>IF($N84="","",INDEX('Cronograma R. Normativo'!$O$5:$O$1000,$N84)&amp;"")</f>
        <v/>
      </c>
      <c r="M84" s="62">
        <f>IF($N84="","",INDEX('Cronograma R. Normativo'!$Q$5:$Q$1000,$N84)&amp;"")</f>
        <v/>
      </c>
      <c r="N84">
        <f>IFERROR(MATCH(ROW()-4,rOrden_RN,0),"")</f>
        <v/>
      </c>
      <c r="O84">
        <f>IF($N84="","",INDEX('Cronograma R. Normativo'!$V$5:$V$1000,$N84))</f>
        <v/>
      </c>
      <c r="P84">
        <f>IF($N84="","",N(INDEX('Cronograma R. Normativo'!$W$5:$W$1000,$N84)))</f>
        <v/>
      </c>
      <c r="Q84">
        <f>IF(OR(LEFT($L84,7)="Vencida",LEFT($L84,5)="Vence"),SUMPRODUCT(--(LEFT($L$5:$L84,7)="Vencida"))+SUMPRODUCT(--(LEFT($L$5:$L84,5)="Vence")),"")</f>
        <v/>
      </c>
    </row>
    <row r="85">
      <c r="A85" s="56">
        <f>IF($N85="","",INDEX('Cronograma R. Normativo'!$A$5:$A$1000,$N85))</f>
        <v/>
      </c>
      <c r="B85" s="62">
        <f>IF($N85="","",IF($O85="Sub","      ↳  "&amp;INDEX('Cronograma R. Normativo'!$C$5:$C$1000,$N85),INDEX('Cronograma R. Normativo'!$C$5:$C$1000,$N85)&amp;""))</f>
        <v/>
      </c>
      <c r="C85" s="79">
        <f>IF($N85="","",IF(INDEX('Cronograma R. Normativo'!$AR$5:$AR$1000,$N85)="","",INDEX('Cronograma R. Normativo'!$AR$5:$AR$1000,$N85)))</f>
        <v/>
      </c>
      <c r="D85" s="79">
        <f>IF($N85="","",IF(INDEX('Cronograma R. Normativo'!$AS$5:$AS$1000,$N85)="","",INDEX('Cronograma R. Normativo'!$AS$5:$AS$1000,$N85)))</f>
        <v/>
      </c>
      <c r="E85" s="56">
        <f>IF($N85="","",IF(NOT(ISNUMBER($D85)),"",IF($D85&lt;InicioCiclo,"Antes del ciclo",IF($D85&gt;=InicioCiclo+28,"Después del ciclo","Semana "&amp;(INT(($D85-InicioCiclo)/7)+1)))))</f>
        <v/>
      </c>
      <c r="F85" s="61">
        <f>IF($N85="","",IF($P85&gt;0,IF(1&lt;=SemanaActual,INDEX('Cronograma R. Normativo'!$AH$5:$AH$1000,$N85),""),IF(INDEX('Cronograma R. Normativo'!$I$5:$I$1000,$N85)="","",INDEX('Cronograma R. Normativo'!$I$5:$I$1000,$N85))))</f>
        <v/>
      </c>
      <c r="G85" s="61">
        <f>IF($N85="","",IF($P85&gt;0,IF(2&lt;=SemanaActual,INDEX('Cronograma R. Normativo'!$AI$5:$AI$1000,$N85),""),IF(INDEX('Cronograma R. Normativo'!$J$5:$J$1000,$N85)="","",INDEX('Cronograma R. Normativo'!$J$5:$J$1000,$N85))))</f>
        <v/>
      </c>
      <c r="H85" s="61">
        <f>IF($N85="","",IF($P85&gt;0,IF(3&lt;=SemanaActual,INDEX('Cronograma R. Normativo'!$AJ$5:$AJ$1000,$N85),""),IF(INDEX('Cronograma R. Normativo'!$K$5:$K$1000,$N85)="","",INDEX('Cronograma R. Normativo'!$K$5:$K$1000,$N85))))</f>
        <v/>
      </c>
      <c r="I85" s="61">
        <f>IF($N85="","",IF($P85&gt;0,IF(4&lt;=SemanaActual,INDEX('Cronograma R. Normativo'!$AK$5:$AK$1000,$N85),""),IF(INDEX('Cronograma R. Normativo'!$L$5:$L$1000,$N85)="","",INDEX('Cronograma R. Normativo'!$L$5:$L$1000,$N85))))</f>
        <v/>
      </c>
      <c r="J85" s="61">
        <f>IF($N85="","",INDEX('Cronograma R. Normativo'!$M$5:$M$1000,$N85))</f>
        <v/>
      </c>
      <c r="K85" s="56">
        <f>IF($N85="","",IF(N($J85)&gt;=1,"Completado",IF(AND(ISNUMBER($D85),$D85&lt;FechaRef),"Vencida",IF(N($J85)&gt;0,"En curso","Pendiente"))))</f>
        <v/>
      </c>
      <c r="L85" s="56">
        <f>IF($N85="","",INDEX('Cronograma R. Normativo'!$O$5:$O$1000,$N85)&amp;"")</f>
        <v/>
      </c>
      <c r="M85" s="62">
        <f>IF($N85="","",INDEX('Cronograma R. Normativo'!$Q$5:$Q$1000,$N85)&amp;"")</f>
        <v/>
      </c>
      <c r="N85">
        <f>IFERROR(MATCH(ROW()-4,rOrden_RN,0),"")</f>
        <v/>
      </c>
      <c r="O85">
        <f>IF($N85="","",INDEX('Cronograma R. Normativo'!$V$5:$V$1000,$N85))</f>
        <v/>
      </c>
      <c r="P85">
        <f>IF($N85="","",N(INDEX('Cronograma R. Normativo'!$W$5:$W$1000,$N85)))</f>
        <v/>
      </c>
      <c r="Q85">
        <f>IF(OR(LEFT($L85,7)="Vencida",LEFT($L85,5)="Vence"),SUMPRODUCT(--(LEFT($L$5:$L85,7)="Vencida"))+SUMPRODUCT(--(LEFT($L$5:$L85,5)="Vence")),"")</f>
        <v/>
      </c>
    </row>
    <row r="86">
      <c r="A86" s="56">
        <f>IF($N86="","",INDEX('Cronograma R. Normativo'!$A$5:$A$1000,$N86))</f>
        <v/>
      </c>
      <c r="B86" s="62">
        <f>IF($N86="","",IF($O86="Sub","      ↳  "&amp;INDEX('Cronograma R. Normativo'!$C$5:$C$1000,$N86),INDEX('Cronograma R. Normativo'!$C$5:$C$1000,$N86)&amp;""))</f>
        <v/>
      </c>
      <c r="C86" s="79">
        <f>IF($N86="","",IF(INDEX('Cronograma R. Normativo'!$AR$5:$AR$1000,$N86)="","",INDEX('Cronograma R. Normativo'!$AR$5:$AR$1000,$N86)))</f>
        <v/>
      </c>
      <c r="D86" s="79">
        <f>IF($N86="","",IF(INDEX('Cronograma R. Normativo'!$AS$5:$AS$1000,$N86)="","",INDEX('Cronograma R. Normativo'!$AS$5:$AS$1000,$N86)))</f>
        <v/>
      </c>
      <c r="E86" s="56">
        <f>IF($N86="","",IF(NOT(ISNUMBER($D86)),"",IF($D86&lt;InicioCiclo,"Antes del ciclo",IF($D86&gt;=InicioCiclo+28,"Después del ciclo","Semana "&amp;(INT(($D86-InicioCiclo)/7)+1)))))</f>
        <v/>
      </c>
      <c r="F86" s="61">
        <f>IF($N86="","",IF($P86&gt;0,IF(1&lt;=SemanaActual,INDEX('Cronograma R. Normativo'!$AH$5:$AH$1000,$N86),""),IF(INDEX('Cronograma R. Normativo'!$I$5:$I$1000,$N86)="","",INDEX('Cronograma R. Normativo'!$I$5:$I$1000,$N86))))</f>
        <v/>
      </c>
      <c r="G86" s="61">
        <f>IF($N86="","",IF($P86&gt;0,IF(2&lt;=SemanaActual,INDEX('Cronograma R. Normativo'!$AI$5:$AI$1000,$N86),""),IF(INDEX('Cronograma R. Normativo'!$J$5:$J$1000,$N86)="","",INDEX('Cronograma R. Normativo'!$J$5:$J$1000,$N86))))</f>
        <v/>
      </c>
      <c r="H86" s="61">
        <f>IF($N86="","",IF($P86&gt;0,IF(3&lt;=SemanaActual,INDEX('Cronograma R. Normativo'!$AJ$5:$AJ$1000,$N86),""),IF(INDEX('Cronograma R. Normativo'!$K$5:$K$1000,$N86)="","",INDEX('Cronograma R. Normativo'!$K$5:$K$1000,$N86))))</f>
        <v/>
      </c>
      <c r="I86" s="61">
        <f>IF($N86="","",IF($P86&gt;0,IF(4&lt;=SemanaActual,INDEX('Cronograma R. Normativo'!$AK$5:$AK$1000,$N86),""),IF(INDEX('Cronograma R. Normativo'!$L$5:$L$1000,$N86)="","",INDEX('Cronograma R. Normativo'!$L$5:$L$1000,$N86))))</f>
        <v/>
      </c>
      <c r="J86" s="61">
        <f>IF($N86="","",INDEX('Cronograma R. Normativo'!$M$5:$M$1000,$N86))</f>
        <v/>
      </c>
      <c r="K86" s="56">
        <f>IF($N86="","",IF(N($J86)&gt;=1,"Completado",IF(AND(ISNUMBER($D86),$D86&lt;FechaRef),"Vencida",IF(N($J86)&gt;0,"En curso","Pendiente"))))</f>
        <v/>
      </c>
      <c r="L86" s="56">
        <f>IF($N86="","",INDEX('Cronograma R. Normativo'!$O$5:$O$1000,$N86)&amp;"")</f>
        <v/>
      </c>
      <c r="M86" s="62">
        <f>IF($N86="","",INDEX('Cronograma R. Normativo'!$Q$5:$Q$1000,$N86)&amp;"")</f>
        <v/>
      </c>
      <c r="N86">
        <f>IFERROR(MATCH(ROW()-4,rOrden_RN,0),"")</f>
        <v/>
      </c>
      <c r="O86">
        <f>IF($N86="","",INDEX('Cronograma R. Normativo'!$V$5:$V$1000,$N86))</f>
        <v/>
      </c>
      <c r="P86">
        <f>IF($N86="","",N(INDEX('Cronograma R. Normativo'!$W$5:$W$1000,$N86)))</f>
        <v/>
      </c>
      <c r="Q86">
        <f>IF(OR(LEFT($L86,7)="Vencida",LEFT($L86,5)="Vence"),SUMPRODUCT(--(LEFT($L$5:$L86,7)="Vencida"))+SUMPRODUCT(--(LEFT($L$5:$L86,5)="Vence")),"")</f>
        <v/>
      </c>
    </row>
    <row r="87">
      <c r="A87" s="56">
        <f>IF($N87="","",INDEX('Cronograma R. Normativo'!$A$5:$A$1000,$N87))</f>
        <v/>
      </c>
      <c r="B87" s="62">
        <f>IF($N87="","",IF($O87="Sub","      ↳  "&amp;INDEX('Cronograma R. Normativo'!$C$5:$C$1000,$N87),INDEX('Cronograma R. Normativo'!$C$5:$C$1000,$N87)&amp;""))</f>
        <v/>
      </c>
      <c r="C87" s="79">
        <f>IF($N87="","",IF(INDEX('Cronograma R. Normativo'!$AR$5:$AR$1000,$N87)="","",INDEX('Cronograma R. Normativo'!$AR$5:$AR$1000,$N87)))</f>
        <v/>
      </c>
      <c r="D87" s="79">
        <f>IF($N87="","",IF(INDEX('Cronograma R. Normativo'!$AS$5:$AS$1000,$N87)="","",INDEX('Cronograma R. Normativo'!$AS$5:$AS$1000,$N87)))</f>
        <v/>
      </c>
      <c r="E87" s="56">
        <f>IF($N87="","",IF(NOT(ISNUMBER($D87)),"",IF($D87&lt;InicioCiclo,"Antes del ciclo",IF($D87&gt;=InicioCiclo+28,"Después del ciclo","Semana "&amp;(INT(($D87-InicioCiclo)/7)+1)))))</f>
        <v/>
      </c>
      <c r="F87" s="61">
        <f>IF($N87="","",IF($P87&gt;0,IF(1&lt;=SemanaActual,INDEX('Cronograma R. Normativo'!$AH$5:$AH$1000,$N87),""),IF(INDEX('Cronograma R. Normativo'!$I$5:$I$1000,$N87)="","",INDEX('Cronograma R. Normativo'!$I$5:$I$1000,$N87))))</f>
        <v/>
      </c>
      <c r="G87" s="61">
        <f>IF($N87="","",IF($P87&gt;0,IF(2&lt;=SemanaActual,INDEX('Cronograma R. Normativo'!$AI$5:$AI$1000,$N87),""),IF(INDEX('Cronograma R. Normativo'!$J$5:$J$1000,$N87)="","",INDEX('Cronograma R. Normativo'!$J$5:$J$1000,$N87))))</f>
        <v/>
      </c>
      <c r="H87" s="61">
        <f>IF($N87="","",IF($P87&gt;0,IF(3&lt;=SemanaActual,INDEX('Cronograma R. Normativo'!$AJ$5:$AJ$1000,$N87),""),IF(INDEX('Cronograma R. Normativo'!$K$5:$K$1000,$N87)="","",INDEX('Cronograma R. Normativo'!$K$5:$K$1000,$N87))))</f>
        <v/>
      </c>
      <c r="I87" s="61">
        <f>IF($N87="","",IF($P87&gt;0,IF(4&lt;=SemanaActual,INDEX('Cronograma R. Normativo'!$AK$5:$AK$1000,$N87),""),IF(INDEX('Cronograma R. Normativo'!$L$5:$L$1000,$N87)="","",INDEX('Cronograma R. Normativo'!$L$5:$L$1000,$N87))))</f>
        <v/>
      </c>
      <c r="J87" s="61">
        <f>IF($N87="","",INDEX('Cronograma R. Normativo'!$M$5:$M$1000,$N87))</f>
        <v/>
      </c>
      <c r="K87" s="56">
        <f>IF($N87="","",IF(N($J87)&gt;=1,"Completado",IF(AND(ISNUMBER($D87),$D87&lt;FechaRef),"Vencida",IF(N($J87)&gt;0,"En curso","Pendiente"))))</f>
        <v/>
      </c>
      <c r="L87" s="56">
        <f>IF($N87="","",INDEX('Cronograma R. Normativo'!$O$5:$O$1000,$N87)&amp;"")</f>
        <v/>
      </c>
      <c r="M87" s="62">
        <f>IF($N87="","",INDEX('Cronograma R. Normativo'!$Q$5:$Q$1000,$N87)&amp;"")</f>
        <v/>
      </c>
      <c r="N87">
        <f>IFERROR(MATCH(ROW()-4,rOrden_RN,0),"")</f>
        <v/>
      </c>
      <c r="O87">
        <f>IF($N87="","",INDEX('Cronograma R. Normativo'!$V$5:$V$1000,$N87))</f>
        <v/>
      </c>
      <c r="P87">
        <f>IF($N87="","",N(INDEX('Cronograma R. Normativo'!$W$5:$W$1000,$N87)))</f>
        <v/>
      </c>
      <c r="Q87">
        <f>IF(OR(LEFT($L87,7)="Vencida",LEFT($L87,5)="Vence"),SUMPRODUCT(--(LEFT($L$5:$L87,7)="Vencida"))+SUMPRODUCT(--(LEFT($L$5:$L87,5)="Vence")),"")</f>
        <v/>
      </c>
    </row>
    <row r="88">
      <c r="A88" s="56">
        <f>IF($N88="","",INDEX('Cronograma R. Normativo'!$A$5:$A$1000,$N88))</f>
        <v/>
      </c>
      <c r="B88" s="62">
        <f>IF($N88="","",IF($O88="Sub","      ↳  "&amp;INDEX('Cronograma R. Normativo'!$C$5:$C$1000,$N88),INDEX('Cronograma R. Normativo'!$C$5:$C$1000,$N88)&amp;""))</f>
        <v/>
      </c>
      <c r="C88" s="79">
        <f>IF($N88="","",IF(INDEX('Cronograma R. Normativo'!$AR$5:$AR$1000,$N88)="","",INDEX('Cronograma R. Normativo'!$AR$5:$AR$1000,$N88)))</f>
        <v/>
      </c>
      <c r="D88" s="79">
        <f>IF($N88="","",IF(INDEX('Cronograma R. Normativo'!$AS$5:$AS$1000,$N88)="","",INDEX('Cronograma R. Normativo'!$AS$5:$AS$1000,$N88)))</f>
        <v/>
      </c>
      <c r="E88" s="56">
        <f>IF($N88="","",IF(NOT(ISNUMBER($D88)),"",IF($D88&lt;InicioCiclo,"Antes del ciclo",IF($D88&gt;=InicioCiclo+28,"Después del ciclo","Semana "&amp;(INT(($D88-InicioCiclo)/7)+1)))))</f>
        <v/>
      </c>
      <c r="F88" s="61">
        <f>IF($N88="","",IF($P88&gt;0,IF(1&lt;=SemanaActual,INDEX('Cronograma R. Normativo'!$AH$5:$AH$1000,$N88),""),IF(INDEX('Cronograma R. Normativo'!$I$5:$I$1000,$N88)="","",INDEX('Cronograma R. Normativo'!$I$5:$I$1000,$N88))))</f>
        <v/>
      </c>
      <c r="G88" s="61">
        <f>IF($N88="","",IF($P88&gt;0,IF(2&lt;=SemanaActual,INDEX('Cronograma R. Normativo'!$AI$5:$AI$1000,$N88),""),IF(INDEX('Cronograma R. Normativo'!$J$5:$J$1000,$N88)="","",INDEX('Cronograma R. Normativo'!$J$5:$J$1000,$N88))))</f>
        <v/>
      </c>
      <c r="H88" s="61">
        <f>IF($N88="","",IF($P88&gt;0,IF(3&lt;=SemanaActual,INDEX('Cronograma R. Normativo'!$AJ$5:$AJ$1000,$N88),""),IF(INDEX('Cronograma R. Normativo'!$K$5:$K$1000,$N88)="","",INDEX('Cronograma R. Normativo'!$K$5:$K$1000,$N88))))</f>
        <v/>
      </c>
      <c r="I88" s="61">
        <f>IF($N88="","",IF($P88&gt;0,IF(4&lt;=SemanaActual,INDEX('Cronograma R. Normativo'!$AK$5:$AK$1000,$N88),""),IF(INDEX('Cronograma R. Normativo'!$L$5:$L$1000,$N88)="","",INDEX('Cronograma R. Normativo'!$L$5:$L$1000,$N88))))</f>
        <v/>
      </c>
      <c r="J88" s="61">
        <f>IF($N88="","",INDEX('Cronograma R. Normativo'!$M$5:$M$1000,$N88))</f>
        <v/>
      </c>
      <c r="K88" s="56">
        <f>IF($N88="","",IF(N($J88)&gt;=1,"Completado",IF(AND(ISNUMBER($D88),$D88&lt;FechaRef),"Vencida",IF(N($J88)&gt;0,"En curso","Pendiente"))))</f>
        <v/>
      </c>
      <c r="L88" s="56">
        <f>IF($N88="","",INDEX('Cronograma R. Normativo'!$O$5:$O$1000,$N88)&amp;"")</f>
        <v/>
      </c>
      <c r="M88" s="62">
        <f>IF($N88="","",INDEX('Cronograma R. Normativo'!$Q$5:$Q$1000,$N88)&amp;"")</f>
        <v/>
      </c>
      <c r="N88">
        <f>IFERROR(MATCH(ROW()-4,rOrden_RN,0),"")</f>
        <v/>
      </c>
      <c r="O88">
        <f>IF($N88="","",INDEX('Cronograma R. Normativo'!$V$5:$V$1000,$N88))</f>
        <v/>
      </c>
      <c r="P88">
        <f>IF($N88="","",N(INDEX('Cronograma R. Normativo'!$W$5:$W$1000,$N88)))</f>
        <v/>
      </c>
      <c r="Q88">
        <f>IF(OR(LEFT($L88,7)="Vencida",LEFT($L88,5)="Vence"),SUMPRODUCT(--(LEFT($L$5:$L88,7)="Vencida"))+SUMPRODUCT(--(LEFT($L$5:$L88,5)="Vence")),"")</f>
        <v/>
      </c>
    </row>
    <row r="89">
      <c r="A89" s="56">
        <f>IF($N89="","",INDEX('Cronograma R. Normativo'!$A$5:$A$1000,$N89))</f>
        <v/>
      </c>
      <c r="B89" s="62">
        <f>IF($N89="","",IF($O89="Sub","      ↳  "&amp;INDEX('Cronograma R. Normativo'!$C$5:$C$1000,$N89),INDEX('Cronograma R. Normativo'!$C$5:$C$1000,$N89)&amp;""))</f>
        <v/>
      </c>
      <c r="C89" s="79">
        <f>IF($N89="","",IF(INDEX('Cronograma R. Normativo'!$AR$5:$AR$1000,$N89)="","",INDEX('Cronograma R. Normativo'!$AR$5:$AR$1000,$N89)))</f>
        <v/>
      </c>
      <c r="D89" s="79">
        <f>IF($N89="","",IF(INDEX('Cronograma R. Normativo'!$AS$5:$AS$1000,$N89)="","",INDEX('Cronograma R. Normativo'!$AS$5:$AS$1000,$N89)))</f>
        <v/>
      </c>
      <c r="E89" s="56">
        <f>IF($N89="","",IF(NOT(ISNUMBER($D89)),"",IF($D89&lt;InicioCiclo,"Antes del ciclo",IF($D89&gt;=InicioCiclo+28,"Después del ciclo","Semana "&amp;(INT(($D89-InicioCiclo)/7)+1)))))</f>
        <v/>
      </c>
      <c r="F89" s="61">
        <f>IF($N89="","",IF($P89&gt;0,IF(1&lt;=SemanaActual,INDEX('Cronograma R. Normativo'!$AH$5:$AH$1000,$N89),""),IF(INDEX('Cronograma R. Normativo'!$I$5:$I$1000,$N89)="","",INDEX('Cronograma R. Normativo'!$I$5:$I$1000,$N89))))</f>
        <v/>
      </c>
      <c r="G89" s="61">
        <f>IF($N89="","",IF($P89&gt;0,IF(2&lt;=SemanaActual,INDEX('Cronograma R. Normativo'!$AI$5:$AI$1000,$N89),""),IF(INDEX('Cronograma R. Normativo'!$J$5:$J$1000,$N89)="","",INDEX('Cronograma R. Normativo'!$J$5:$J$1000,$N89))))</f>
        <v/>
      </c>
      <c r="H89" s="61">
        <f>IF($N89="","",IF($P89&gt;0,IF(3&lt;=SemanaActual,INDEX('Cronograma R. Normativo'!$AJ$5:$AJ$1000,$N89),""),IF(INDEX('Cronograma R. Normativo'!$K$5:$K$1000,$N89)="","",INDEX('Cronograma R. Normativo'!$K$5:$K$1000,$N89))))</f>
        <v/>
      </c>
      <c r="I89" s="61">
        <f>IF($N89="","",IF($P89&gt;0,IF(4&lt;=SemanaActual,INDEX('Cronograma R. Normativo'!$AK$5:$AK$1000,$N89),""),IF(INDEX('Cronograma R. Normativo'!$L$5:$L$1000,$N89)="","",INDEX('Cronograma R. Normativo'!$L$5:$L$1000,$N89))))</f>
        <v/>
      </c>
      <c r="J89" s="61">
        <f>IF($N89="","",INDEX('Cronograma R. Normativo'!$M$5:$M$1000,$N89))</f>
        <v/>
      </c>
      <c r="K89" s="56">
        <f>IF($N89="","",IF(N($J89)&gt;=1,"Completado",IF(AND(ISNUMBER($D89),$D89&lt;FechaRef),"Vencida",IF(N($J89)&gt;0,"En curso","Pendiente"))))</f>
        <v/>
      </c>
      <c r="L89" s="56">
        <f>IF($N89="","",INDEX('Cronograma R. Normativo'!$O$5:$O$1000,$N89)&amp;"")</f>
        <v/>
      </c>
      <c r="M89" s="62">
        <f>IF($N89="","",INDEX('Cronograma R. Normativo'!$Q$5:$Q$1000,$N89)&amp;"")</f>
        <v/>
      </c>
      <c r="N89">
        <f>IFERROR(MATCH(ROW()-4,rOrden_RN,0),"")</f>
        <v/>
      </c>
      <c r="O89">
        <f>IF($N89="","",INDEX('Cronograma R. Normativo'!$V$5:$V$1000,$N89))</f>
        <v/>
      </c>
      <c r="P89">
        <f>IF($N89="","",N(INDEX('Cronograma R. Normativo'!$W$5:$W$1000,$N89)))</f>
        <v/>
      </c>
      <c r="Q89">
        <f>IF(OR(LEFT($L89,7)="Vencida",LEFT($L89,5)="Vence"),SUMPRODUCT(--(LEFT($L$5:$L89,7)="Vencida"))+SUMPRODUCT(--(LEFT($L$5:$L89,5)="Vence")),"")</f>
        <v/>
      </c>
    </row>
    <row r="90">
      <c r="A90" s="56">
        <f>IF($N90="","",INDEX('Cronograma R. Normativo'!$A$5:$A$1000,$N90))</f>
        <v/>
      </c>
      <c r="B90" s="62">
        <f>IF($N90="","",IF($O90="Sub","      ↳  "&amp;INDEX('Cronograma R. Normativo'!$C$5:$C$1000,$N90),INDEX('Cronograma R. Normativo'!$C$5:$C$1000,$N90)&amp;""))</f>
        <v/>
      </c>
      <c r="C90" s="79">
        <f>IF($N90="","",IF(INDEX('Cronograma R. Normativo'!$AR$5:$AR$1000,$N90)="","",INDEX('Cronograma R. Normativo'!$AR$5:$AR$1000,$N90)))</f>
        <v/>
      </c>
      <c r="D90" s="79">
        <f>IF($N90="","",IF(INDEX('Cronograma R. Normativo'!$AS$5:$AS$1000,$N90)="","",INDEX('Cronograma R. Normativo'!$AS$5:$AS$1000,$N90)))</f>
        <v/>
      </c>
      <c r="E90" s="56">
        <f>IF($N90="","",IF(NOT(ISNUMBER($D90)),"",IF($D90&lt;InicioCiclo,"Antes del ciclo",IF($D90&gt;=InicioCiclo+28,"Después del ciclo","Semana "&amp;(INT(($D90-InicioCiclo)/7)+1)))))</f>
        <v/>
      </c>
      <c r="F90" s="61">
        <f>IF($N90="","",IF($P90&gt;0,IF(1&lt;=SemanaActual,INDEX('Cronograma R. Normativo'!$AH$5:$AH$1000,$N90),""),IF(INDEX('Cronograma R. Normativo'!$I$5:$I$1000,$N90)="","",INDEX('Cronograma R. Normativo'!$I$5:$I$1000,$N90))))</f>
        <v/>
      </c>
      <c r="G90" s="61">
        <f>IF($N90="","",IF($P90&gt;0,IF(2&lt;=SemanaActual,INDEX('Cronograma R. Normativo'!$AI$5:$AI$1000,$N90),""),IF(INDEX('Cronograma R. Normativo'!$J$5:$J$1000,$N90)="","",INDEX('Cronograma R. Normativo'!$J$5:$J$1000,$N90))))</f>
        <v/>
      </c>
      <c r="H90" s="61">
        <f>IF($N90="","",IF($P90&gt;0,IF(3&lt;=SemanaActual,INDEX('Cronograma R. Normativo'!$AJ$5:$AJ$1000,$N90),""),IF(INDEX('Cronograma R. Normativo'!$K$5:$K$1000,$N90)="","",INDEX('Cronograma R. Normativo'!$K$5:$K$1000,$N90))))</f>
        <v/>
      </c>
      <c r="I90" s="61">
        <f>IF($N90="","",IF($P90&gt;0,IF(4&lt;=SemanaActual,INDEX('Cronograma R. Normativo'!$AK$5:$AK$1000,$N90),""),IF(INDEX('Cronograma R. Normativo'!$L$5:$L$1000,$N90)="","",INDEX('Cronograma R. Normativo'!$L$5:$L$1000,$N90))))</f>
        <v/>
      </c>
      <c r="J90" s="61">
        <f>IF($N90="","",INDEX('Cronograma R. Normativo'!$M$5:$M$1000,$N90))</f>
        <v/>
      </c>
      <c r="K90" s="56">
        <f>IF($N90="","",IF(N($J90)&gt;=1,"Completado",IF(AND(ISNUMBER($D90),$D90&lt;FechaRef),"Vencida",IF(N($J90)&gt;0,"En curso","Pendiente"))))</f>
        <v/>
      </c>
      <c r="L90" s="56">
        <f>IF($N90="","",INDEX('Cronograma R. Normativo'!$O$5:$O$1000,$N90)&amp;"")</f>
        <v/>
      </c>
      <c r="M90" s="62">
        <f>IF($N90="","",INDEX('Cronograma R. Normativo'!$Q$5:$Q$1000,$N90)&amp;"")</f>
        <v/>
      </c>
      <c r="N90">
        <f>IFERROR(MATCH(ROW()-4,rOrden_RN,0),"")</f>
        <v/>
      </c>
      <c r="O90">
        <f>IF($N90="","",INDEX('Cronograma R. Normativo'!$V$5:$V$1000,$N90))</f>
        <v/>
      </c>
      <c r="P90">
        <f>IF($N90="","",N(INDEX('Cronograma R. Normativo'!$W$5:$W$1000,$N90)))</f>
        <v/>
      </c>
      <c r="Q90">
        <f>IF(OR(LEFT($L90,7)="Vencida",LEFT($L90,5)="Vence"),SUMPRODUCT(--(LEFT($L$5:$L90,7)="Vencida"))+SUMPRODUCT(--(LEFT($L$5:$L90,5)="Vence")),"")</f>
        <v/>
      </c>
    </row>
    <row r="91">
      <c r="A91" s="56">
        <f>IF($N91="","",INDEX('Cronograma R. Normativo'!$A$5:$A$1000,$N91))</f>
        <v/>
      </c>
      <c r="B91" s="62">
        <f>IF($N91="","",IF($O91="Sub","      ↳  "&amp;INDEX('Cronograma R. Normativo'!$C$5:$C$1000,$N91),INDEX('Cronograma R. Normativo'!$C$5:$C$1000,$N91)&amp;""))</f>
        <v/>
      </c>
      <c r="C91" s="79">
        <f>IF($N91="","",IF(INDEX('Cronograma R. Normativo'!$AR$5:$AR$1000,$N91)="","",INDEX('Cronograma R. Normativo'!$AR$5:$AR$1000,$N91)))</f>
        <v/>
      </c>
      <c r="D91" s="79">
        <f>IF($N91="","",IF(INDEX('Cronograma R. Normativo'!$AS$5:$AS$1000,$N91)="","",INDEX('Cronograma R. Normativo'!$AS$5:$AS$1000,$N91)))</f>
        <v/>
      </c>
      <c r="E91" s="56">
        <f>IF($N91="","",IF(NOT(ISNUMBER($D91)),"",IF($D91&lt;InicioCiclo,"Antes del ciclo",IF($D91&gt;=InicioCiclo+28,"Después del ciclo","Semana "&amp;(INT(($D91-InicioCiclo)/7)+1)))))</f>
        <v/>
      </c>
      <c r="F91" s="61">
        <f>IF($N91="","",IF($P91&gt;0,IF(1&lt;=SemanaActual,INDEX('Cronograma R. Normativo'!$AH$5:$AH$1000,$N91),""),IF(INDEX('Cronograma R. Normativo'!$I$5:$I$1000,$N91)="","",INDEX('Cronograma R. Normativo'!$I$5:$I$1000,$N91))))</f>
        <v/>
      </c>
      <c r="G91" s="61">
        <f>IF($N91="","",IF($P91&gt;0,IF(2&lt;=SemanaActual,INDEX('Cronograma R. Normativo'!$AI$5:$AI$1000,$N91),""),IF(INDEX('Cronograma R. Normativo'!$J$5:$J$1000,$N91)="","",INDEX('Cronograma R. Normativo'!$J$5:$J$1000,$N91))))</f>
        <v/>
      </c>
      <c r="H91" s="61">
        <f>IF($N91="","",IF($P91&gt;0,IF(3&lt;=SemanaActual,INDEX('Cronograma R. Normativo'!$AJ$5:$AJ$1000,$N91),""),IF(INDEX('Cronograma R. Normativo'!$K$5:$K$1000,$N91)="","",INDEX('Cronograma R. Normativo'!$K$5:$K$1000,$N91))))</f>
        <v/>
      </c>
      <c r="I91" s="61">
        <f>IF($N91="","",IF($P91&gt;0,IF(4&lt;=SemanaActual,INDEX('Cronograma R. Normativo'!$AK$5:$AK$1000,$N91),""),IF(INDEX('Cronograma R. Normativo'!$L$5:$L$1000,$N91)="","",INDEX('Cronograma R. Normativo'!$L$5:$L$1000,$N91))))</f>
        <v/>
      </c>
      <c r="J91" s="61">
        <f>IF($N91="","",INDEX('Cronograma R. Normativo'!$M$5:$M$1000,$N91))</f>
        <v/>
      </c>
      <c r="K91" s="56">
        <f>IF($N91="","",IF(N($J91)&gt;=1,"Completado",IF(AND(ISNUMBER($D91),$D91&lt;FechaRef),"Vencida",IF(N($J91)&gt;0,"En curso","Pendiente"))))</f>
        <v/>
      </c>
      <c r="L91" s="56">
        <f>IF($N91="","",INDEX('Cronograma R. Normativo'!$O$5:$O$1000,$N91)&amp;"")</f>
        <v/>
      </c>
      <c r="M91" s="62">
        <f>IF($N91="","",INDEX('Cronograma R. Normativo'!$Q$5:$Q$1000,$N91)&amp;"")</f>
        <v/>
      </c>
      <c r="N91">
        <f>IFERROR(MATCH(ROW()-4,rOrden_RN,0),"")</f>
        <v/>
      </c>
      <c r="O91">
        <f>IF($N91="","",INDEX('Cronograma R. Normativo'!$V$5:$V$1000,$N91))</f>
        <v/>
      </c>
      <c r="P91">
        <f>IF($N91="","",N(INDEX('Cronograma R. Normativo'!$W$5:$W$1000,$N91)))</f>
        <v/>
      </c>
      <c r="Q91">
        <f>IF(OR(LEFT($L91,7)="Vencida",LEFT($L91,5)="Vence"),SUMPRODUCT(--(LEFT($L$5:$L91,7)="Vencida"))+SUMPRODUCT(--(LEFT($L$5:$L91,5)="Vence")),"")</f>
        <v/>
      </c>
    </row>
    <row r="92">
      <c r="A92" s="56">
        <f>IF($N92="","",INDEX('Cronograma R. Normativo'!$A$5:$A$1000,$N92))</f>
        <v/>
      </c>
      <c r="B92" s="62">
        <f>IF($N92="","",IF($O92="Sub","      ↳  "&amp;INDEX('Cronograma R. Normativo'!$C$5:$C$1000,$N92),INDEX('Cronograma R. Normativo'!$C$5:$C$1000,$N92)&amp;""))</f>
        <v/>
      </c>
      <c r="C92" s="79">
        <f>IF($N92="","",IF(INDEX('Cronograma R. Normativo'!$AR$5:$AR$1000,$N92)="","",INDEX('Cronograma R. Normativo'!$AR$5:$AR$1000,$N92)))</f>
        <v/>
      </c>
      <c r="D92" s="79">
        <f>IF($N92="","",IF(INDEX('Cronograma R. Normativo'!$AS$5:$AS$1000,$N92)="","",INDEX('Cronograma R. Normativo'!$AS$5:$AS$1000,$N92)))</f>
        <v/>
      </c>
      <c r="E92" s="56">
        <f>IF($N92="","",IF(NOT(ISNUMBER($D92)),"",IF($D92&lt;InicioCiclo,"Antes del ciclo",IF($D92&gt;=InicioCiclo+28,"Después del ciclo","Semana "&amp;(INT(($D92-InicioCiclo)/7)+1)))))</f>
        <v/>
      </c>
      <c r="F92" s="61">
        <f>IF($N92="","",IF($P92&gt;0,IF(1&lt;=SemanaActual,INDEX('Cronograma R. Normativo'!$AH$5:$AH$1000,$N92),""),IF(INDEX('Cronograma R. Normativo'!$I$5:$I$1000,$N92)="","",INDEX('Cronograma R. Normativo'!$I$5:$I$1000,$N92))))</f>
        <v/>
      </c>
      <c r="G92" s="61">
        <f>IF($N92="","",IF($P92&gt;0,IF(2&lt;=SemanaActual,INDEX('Cronograma R. Normativo'!$AI$5:$AI$1000,$N92),""),IF(INDEX('Cronograma R. Normativo'!$J$5:$J$1000,$N92)="","",INDEX('Cronograma R. Normativo'!$J$5:$J$1000,$N92))))</f>
        <v/>
      </c>
      <c r="H92" s="61">
        <f>IF($N92="","",IF($P92&gt;0,IF(3&lt;=SemanaActual,INDEX('Cronograma R. Normativo'!$AJ$5:$AJ$1000,$N92),""),IF(INDEX('Cronograma R. Normativo'!$K$5:$K$1000,$N92)="","",INDEX('Cronograma R. Normativo'!$K$5:$K$1000,$N92))))</f>
        <v/>
      </c>
      <c r="I92" s="61">
        <f>IF($N92="","",IF($P92&gt;0,IF(4&lt;=SemanaActual,INDEX('Cronograma R. Normativo'!$AK$5:$AK$1000,$N92),""),IF(INDEX('Cronograma R. Normativo'!$L$5:$L$1000,$N92)="","",INDEX('Cronograma R. Normativo'!$L$5:$L$1000,$N92))))</f>
        <v/>
      </c>
      <c r="J92" s="61">
        <f>IF($N92="","",INDEX('Cronograma R. Normativo'!$M$5:$M$1000,$N92))</f>
        <v/>
      </c>
      <c r="K92" s="56">
        <f>IF($N92="","",IF(N($J92)&gt;=1,"Completado",IF(AND(ISNUMBER($D92),$D92&lt;FechaRef),"Vencida",IF(N($J92)&gt;0,"En curso","Pendiente"))))</f>
        <v/>
      </c>
      <c r="L92" s="56">
        <f>IF($N92="","",INDEX('Cronograma R. Normativo'!$O$5:$O$1000,$N92)&amp;"")</f>
        <v/>
      </c>
      <c r="M92" s="62">
        <f>IF($N92="","",INDEX('Cronograma R. Normativo'!$Q$5:$Q$1000,$N92)&amp;"")</f>
        <v/>
      </c>
      <c r="N92">
        <f>IFERROR(MATCH(ROW()-4,rOrden_RN,0),"")</f>
        <v/>
      </c>
      <c r="O92">
        <f>IF($N92="","",INDEX('Cronograma R. Normativo'!$V$5:$V$1000,$N92))</f>
        <v/>
      </c>
      <c r="P92">
        <f>IF($N92="","",N(INDEX('Cronograma R. Normativo'!$W$5:$W$1000,$N92)))</f>
        <v/>
      </c>
      <c r="Q92">
        <f>IF(OR(LEFT($L92,7)="Vencida",LEFT($L92,5)="Vence"),SUMPRODUCT(--(LEFT($L$5:$L92,7)="Vencida"))+SUMPRODUCT(--(LEFT($L$5:$L92,5)="Vence")),"")</f>
        <v/>
      </c>
    </row>
    <row r="93">
      <c r="A93" s="56">
        <f>IF($N93="","",INDEX('Cronograma R. Normativo'!$A$5:$A$1000,$N93))</f>
        <v/>
      </c>
      <c r="B93" s="62">
        <f>IF($N93="","",IF($O93="Sub","      ↳  "&amp;INDEX('Cronograma R. Normativo'!$C$5:$C$1000,$N93),INDEX('Cronograma R. Normativo'!$C$5:$C$1000,$N93)&amp;""))</f>
        <v/>
      </c>
      <c r="C93" s="79">
        <f>IF($N93="","",IF(INDEX('Cronograma R. Normativo'!$AR$5:$AR$1000,$N93)="","",INDEX('Cronograma R. Normativo'!$AR$5:$AR$1000,$N93)))</f>
        <v/>
      </c>
      <c r="D93" s="79">
        <f>IF($N93="","",IF(INDEX('Cronograma R. Normativo'!$AS$5:$AS$1000,$N93)="","",INDEX('Cronograma R. Normativo'!$AS$5:$AS$1000,$N93)))</f>
        <v/>
      </c>
      <c r="E93" s="56">
        <f>IF($N93="","",IF(NOT(ISNUMBER($D93)),"",IF($D93&lt;InicioCiclo,"Antes del ciclo",IF($D93&gt;=InicioCiclo+28,"Después del ciclo","Semana "&amp;(INT(($D93-InicioCiclo)/7)+1)))))</f>
        <v/>
      </c>
      <c r="F93" s="61">
        <f>IF($N93="","",IF($P93&gt;0,IF(1&lt;=SemanaActual,INDEX('Cronograma R. Normativo'!$AH$5:$AH$1000,$N93),""),IF(INDEX('Cronograma R. Normativo'!$I$5:$I$1000,$N93)="","",INDEX('Cronograma R. Normativo'!$I$5:$I$1000,$N93))))</f>
        <v/>
      </c>
      <c r="G93" s="61">
        <f>IF($N93="","",IF($P93&gt;0,IF(2&lt;=SemanaActual,INDEX('Cronograma R. Normativo'!$AI$5:$AI$1000,$N93),""),IF(INDEX('Cronograma R. Normativo'!$J$5:$J$1000,$N93)="","",INDEX('Cronograma R. Normativo'!$J$5:$J$1000,$N93))))</f>
        <v/>
      </c>
      <c r="H93" s="61">
        <f>IF($N93="","",IF($P93&gt;0,IF(3&lt;=SemanaActual,INDEX('Cronograma R. Normativo'!$AJ$5:$AJ$1000,$N93),""),IF(INDEX('Cronograma R. Normativo'!$K$5:$K$1000,$N93)="","",INDEX('Cronograma R. Normativo'!$K$5:$K$1000,$N93))))</f>
        <v/>
      </c>
      <c r="I93" s="61">
        <f>IF($N93="","",IF($P93&gt;0,IF(4&lt;=SemanaActual,INDEX('Cronograma R. Normativo'!$AK$5:$AK$1000,$N93),""),IF(INDEX('Cronograma R. Normativo'!$L$5:$L$1000,$N93)="","",INDEX('Cronograma R. Normativo'!$L$5:$L$1000,$N93))))</f>
        <v/>
      </c>
      <c r="J93" s="61">
        <f>IF($N93="","",INDEX('Cronograma R. Normativo'!$M$5:$M$1000,$N93))</f>
        <v/>
      </c>
      <c r="K93" s="56">
        <f>IF($N93="","",IF(N($J93)&gt;=1,"Completado",IF(AND(ISNUMBER($D93),$D93&lt;FechaRef),"Vencida",IF(N($J93)&gt;0,"En curso","Pendiente"))))</f>
        <v/>
      </c>
      <c r="L93" s="56">
        <f>IF($N93="","",INDEX('Cronograma R. Normativo'!$O$5:$O$1000,$N93)&amp;"")</f>
        <v/>
      </c>
      <c r="M93" s="62">
        <f>IF($N93="","",INDEX('Cronograma R. Normativo'!$Q$5:$Q$1000,$N93)&amp;"")</f>
        <v/>
      </c>
      <c r="N93">
        <f>IFERROR(MATCH(ROW()-4,rOrden_RN,0),"")</f>
        <v/>
      </c>
      <c r="O93">
        <f>IF($N93="","",INDEX('Cronograma R. Normativo'!$V$5:$V$1000,$N93))</f>
        <v/>
      </c>
      <c r="P93">
        <f>IF($N93="","",N(INDEX('Cronograma R. Normativo'!$W$5:$W$1000,$N93)))</f>
        <v/>
      </c>
      <c r="Q93">
        <f>IF(OR(LEFT($L93,7)="Vencida",LEFT($L93,5)="Vence"),SUMPRODUCT(--(LEFT($L$5:$L93,7)="Vencida"))+SUMPRODUCT(--(LEFT($L$5:$L93,5)="Vence")),"")</f>
        <v/>
      </c>
    </row>
    <row r="94">
      <c r="A94" s="56">
        <f>IF($N94="","",INDEX('Cronograma R. Normativo'!$A$5:$A$1000,$N94))</f>
        <v/>
      </c>
      <c r="B94" s="62">
        <f>IF($N94="","",IF($O94="Sub","      ↳  "&amp;INDEX('Cronograma R. Normativo'!$C$5:$C$1000,$N94),INDEX('Cronograma R. Normativo'!$C$5:$C$1000,$N94)&amp;""))</f>
        <v/>
      </c>
      <c r="C94" s="79">
        <f>IF($N94="","",IF(INDEX('Cronograma R. Normativo'!$AR$5:$AR$1000,$N94)="","",INDEX('Cronograma R. Normativo'!$AR$5:$AR$1000,$N94)))</f>
        <v/>
      </c>
      <c r="D94" s="79">
        <f>IF($N94="","",IF(INDEX('Cronograma R. Normativo'!$AS$5:$AS$1000,$N94)="","",INDEX('Cronograma R. Normativo'!$AS$5:$AS$1000,$N94)))</f>
        <v/>
      </c>
      <c r="E94" s="56">
        <f>IF($N94="","",IF(NOT(ISNUMBER($D94)),"",IF($D94&lt;InicioCiclo,"Antes del ciclo",IF($D94&gt;=InicioCiclo+28,"Después del ciclo","Semana "&amp;(INT(($D94-InicioCiclo)/7)+1)))))</f>
        <v/>
      </c>
      <c r="F94" s="61">
        <f>IF($N94="","",IF($P94&gt;0,IF(1&lt;=SemanaActual,INDEX('Cronograma R. Normativo'!$AH$5:$AH$1000,$N94),""),IF(INDEX('Cronograma R. Normativo'!$I$5:$I$1000,$N94)="","",INDEX('Cronograma R. Normativo'!$I$5:$I$1000,$N94))))</f>
        <v/>
      </c>
      <c r="G94" s="61">
        <f>IF($N94="","",IF($P94&gt;0,IF(2&lt;=SemanaActual,INDEX('Cronograma R. Normativo'!$AI$5:$AI$1000,$N94),""),IF(INDEX('Cronograma R. Normativo'!$J$5:$J$1000,$N94)="","",INDEX('Cronograma R. Normativo'!$J$5:$J$1000,$N94))))</f>
        <v/>
      </c>
      <c r="H94" s="61">
        <f>IF($N94="","",IF($P94&gt;0,IF(3&lt;=SemanaActual,INDEX('Cronograma R. Normativo'!$AJ$5:$AJ$1000,$N94),""),IF(INDEX('Cronograma R. Normativo'!$K$5:$K$1000,$N94)="","",INDEX('Cronograma R. Normativo'!$K$5:$K$1000,$N94))))</f>
        <v/>
      </c>
      <c r="I94" s="61">
        <f>IF($N94="","",IF($P94&gt;0,IF(4&lt;=SemanaActual,INDEX('Cronograma R. Normativo'!$AK$5:$AK$1000,$N94),""),IF(INDEX('Cronograma R. Normativo'!$L$5:$L$1000,$N94)="","",INDEX('Cronograma R. Normativo'!$L$5:$L$1000,$N94))))</f>
        <v/>
      </c>
      <c r="J94" s="61">
        <f>IF($N94="","",INDEX('Cronograma R. Normativo'!$M$5:$M$1000,$N94))</f>
        <v/>
      </c>
      <c r="K94" s="56">
        <f>IF($N94="","",IF(N($J94)&gt;=1,"Completado",IF(AND(ISNUMBER($D94),$D94&lt;FechaRef),"Vencida",IF(N($J94)&gt;0,"En curso","Pendiente"))))</f>
        <v/>
      </c>
      <c r="L94" s="56">
        <f>IF($N94="","",INDEX('Cronograma R. Normativo'!$O$5:$O$1000,$N94)&amp;"")</f>
        <v/>
      </c>
      <c r="M94" s="62">
        <f>IF($N94="","",INDEX('Cronograma R. Normativo'!$Q$5:$Q$1000,$N94)&amp;"")</f>
        <v/>
      </c>
      <c r="N94">
        <f>IFERROR(MATCH(ROW()-4,rOrden_RN,0),"")</f>
        <v/>
      </c>
      <c r="O94">
        <f>IF($N94="","",INDEX('Cronograma R. Normativo'!$V$5:$V$1000,$N94))</f>
        <v/>
      </c>
      <c r="P94">
        <f>IF($N94="","",N(INDEX('Cronograma R. Normativo'!$W$5:$W$1000,$N94)))</f>
        <v/>
      </c>
      <c r="Q94">
        <f>IF(OR(LEFT($L94,7)="Vencida",LEFT($L94,5)="Vence"),SUMPRODUCT(--(LEFT($L$5:$L94,7)="Vencida"))+SUMPRODUCT(--(LEFT($L$5:$L94,5)="Vence")),"")</f>
        <v/>
      </c>
    </row>
    <row r="95">
      <c r="A95" s="56">
        <f>IF($N95="","",INDEX('Cronograma R. Normativo'!$A$5:$A$1000,$N95))</f>
        <v/>
      </c>
      <c r="B95" s="62">
        <f>IF($N95="","",IF($O95="Sub","      ↳  "&amp;INDEX('Cronograma R. Normativo'!$C$5:$C$1000,$N95),INDEX('Cronograma R. Normativo'!$C$5:$C$1000,$N95)&amp;""))</f>
        <v/>
      </c>
      <c r="C95" s="79">
        <f>IF($N95="","",IF(INDEX('Cronograma R. Normativo'!$AR$5:$AR$1000,$N95)="","",INDEX('Cronograma R. Normativo'!$AR$5:$AR$1000,$N95)))</f>
        <v/>
      </c>
      <c r="D95" s="79">
        <f>IF($N95="","",IF(INDEX('Cronograma R. Normativo'!$AS$5:$AS$1000,$N95)="","",INDEX('Cronograma R. Normativo'!$AS$5:$AS$1000,$N95)))</f>
        <v/>
      </c>
      <c r="E95" s="56">
        <f>IF($N95="","",IF(NOT(ISNUMBER($D95)),"",IF($D95&lt;InicioCiclo,"Antes del ciclo",IF($D95&gt;=InicioCiclo+28,"Después del ciclo","Semana "&amp;(INT(($D95-InicioCiclo)/7)+1)))))</f>
        <v/>
      </c>
      <c r="F95" s="61">
        <f>IF($N95="","",IF($P95&gt;0,IF(1&lt;=SemanaActual,INDEX('Cronograma R. Normativo'!$AH$5:$AH$1000,$N95),""),IF(INDEX('Cronograma R. Normativo'!$I$5:$I$1000,$N95)="","",INDEX('Cronograma R. Normativo'!$I$5:$I$1000,$N95))))</f>
        <v/>
      </c>
      <c r="G95" s="61">
        <f>IF($N95="","",IF($P95&gt;0,IF(2&lt;=SemanaActual,INDEX('Cronograma R. Normativo'!$AI$5:$AI$1000,$N95),""),IF(INDEX('Cronograma R. Normativo'!$J$5:$J$1000,$N95)="","",INDEX('Cronograma R. Normativo'!$J$5:$J$1000,$N95))))</f>
        <v/>
      </c>
      <c r="H95" s="61">
        <f>IF($N95="","",IF($P95&gt;0,IF(3&lt;=SemanaActual,INDEX('Cronograma R. Normativo'!$AJ$5:$AJ$1000,$N95),""),IF(INDEX('Cronograma R. Normativo'!$K$5:$K$1000,$N95)="","",INDEX('Cronograma R. Normativo'!$K$5:$K$1000,$N95))))</f>
        <v/>
      </c>
      <c r="I95" s="61">
        <f>IF($N95="","",IF($P95&gt;0,IF(4&lt;=SemanaActual,INDEX('Cronograma R. Normativo'!$AK$5:$AK$1000,$N95),""),IF(INDEX('Cronograma R. Normativo'!$L$5:$L$1000,$N95)="","",INDEX('Cronograma R. Normativo'!$L$5:$L$1000,$N95))))</f>
        <v/>
      </c>
      <c r="J95" s="61">
        <f>IF($N95="","",INDEX('Cronograma R. Normativo'!$M$5:$M$1000,$N95))</f>
        <v/>
      </c>
      <c r="K95" s="56">
        <f>IF($N95="","",IF(N($J95)&gt;=1,"Completado",IF(AND(ISNUMBER($D95),$D95&lt;FechaRef),"Vencida",IF(N($J95)&gt;0,"En curso","Pendiente"))))</f>
        <v/>
      </c>
      <c r="L95" s="56">
        <f>IF($N95="","",INDEX('Cronograma R. Normativo'!$O$5:$O$1000,$N95)&amp;"")</f>
        <v/>
      </c>
      <c r="M95" s="62">
        <f>IF($N95="","",INDEX('Cronograma R. Normativo'!$Q$5:$Q$1000,$N95)&amp;"")</f>
        <v/>
      </c>
      <c r="N95">
        <f>IFERROR(MATCH(ROW()-4,rOrden_RN,0),"")</f>
        <v/>
      </c>
      <c r="O95">
        <f>IF($N95="","",INDEX('Cronograma R. Normativo'!$V$5:$V$1000,$N95))</f>
        <v/>
      </c>
      <c r="P95">
        <f>IF($N95="","",N(INDEX('Cronograma R. Normativo'!$W$5:$W$1000,$N95)))</f>
        <v/>
      </c>
      <c r="Q95">
        <f>IF(OR(LEFT($L95,7)="Vencida",LEFT($L95,5)="Vence"),SUMPRODUCT(--(LEFT($L$5:$L95,7)="Vencida"))+SUMPRODUCT(--(LEFT($L$5:$L95,5)="Vence")),"")</f>
        <v/>
      </c>
    </row>
    <row r="96">
      <c r="A96" s="56">
        <f>IF($N96="","",INDEX('Cronograma R. Normativo'!$A$5:$A$1000,$N96))</f>
        <v/>
      </c>
      <c r="B96" s="62">
        <f>IF($N96="","",IF($O96="Sub","      ↳  "&amp;INDEX('Cronograma R. Normativo'!$C$5:$C$1000,$N96),INDEX('Cronograma R. Normativo'!$C$5:$C$1000,$N96)&amp;""))</f>
        <v/>
      </c>
      <c r="C96" s="79">
        <f>IF($N96="","",IF(INDEX('Cronograma R. Normativo'!$AR$5:$AR$1000,$N96)="","",INDEX('Cronograma R. Normativo'!$AR$5:$AR$1000,$N96)))</f>
        <v/>
      </c>
      <c r="D96" s="79">
        <f>IF($N96="","",IF(INDEX('Cronograma R. Normativo'!$AS$5:$AS$1000,$N96)="","",INDEX('Cronograma R. Normativo'!$AS$5:$AS$1000,$N96)))</f>
        <v/>
      </c>
      <c r="E96" s="56">
        <f>IF($N96="","",IF(NOT(ISNUMBER($D96)),"",IF($D96&lt;InicioCiclo,"Antes del ciclo",IF($D96&gt;=InicioCiclo+28,"Después del ciclo","Semana "&amp;(INT(($D96-InicioCiclo)/7)+1)))))</f>
        <v/>
      </c>
      <c r="F96" s="61">
        <f>IF($N96="","",IF($P96&gt;0,IF(1&lt;=SemanaActual,INDEX('Cronograma R. Normativo'!$AH$5:$AH$1000,$N96),""),IF(INDEX('Cronograma R. Normativo'!$I$5:$I$1000,$N96)="","",INDEX('Cronograma R. Normativo'!$I$5:$I$1000,$N96))))</f>
        <v/>
      </c>
      <c r="G96" s="61">
        <f>IF($N96="","",IF($P96&gt;0,IF(2&lt;=SemanaActual,INDEX('Cronograma R. Normativo'!$AI$5:$AI$1000,$N96),""),IF(INDEX('Cronograma R. Normativo'!$J$5:$J$1000,$N96)="","",INDEX('Cronograma R. Normativo'!$J$5:$J$1000,$N96))))</f>
        <v/>
      </c>
      <c r="H96" s="61">
        <f>IF($N96="","",IF($P96&gt;0,IF(3&lt;=SemanaActual,INDEX('Cronograma R. Normativo'!$AJ$5:$AJ$1000,$N96),""),IF(INDEX('Cronograma R. Normativo'!$K$5:$K$1000,$N96)="","",INDEX('Cronograma R. Normativo'!$K$5:$K$1000,$N96))))</f>
        <v/>
      </c>
      <c r="I96" s="61">
        <f>IF($N96="","",IF($P96&gt;0,IF(4&lt;=SemanaActual,INDEX('Cronograma R. Normativo'!$AK$5:$AK$1000,$N96),""),IF(INDEX('Cronograma R. Normativo'!$L$5:$L$1000,$N96)="","",INDEX('Cronograma R. Normativo'!$L$5:$L$1000,$N96))))</f>
        <v/>
      </c>
      <c r="J96" s="61">
        <f>IF($N96="","",INDEX('Cronograma R. Normativo'!$M$5:$M$1000,$N96))</f>
        <v/>
      </c>
      <c r="K96" s="56">
        <f>IF($N96="","",IF(N($J96)&gt;=1,"Completado",IF(AND(ISNUMBER($D96),$D96&lt;FechaRef),"Vencida",IF(N($J96)&gt;0,"En curso","Pendiente"))))</f>
        <v/>
      </c>
      <c r="L96" s="56">
        <f>IF($N96="","",INDEX('Cronograma R. Normativo'!$O$5:$O$1000,$N96)&amp;"")</f>
        <v/>
      </c>
      <c r="M96" s="62">
        <f>IF($N96="","",INDEX('Cronograma R. Normativo'!$Q$5:$Q$1000,$N96)&amp;"")</f>
        <v/>
      </c>
      <c r="N96">
        <f>IFERROR(MATCH(ROW()-4,rOrden_RN,0),"")</f>
        <v/>
      </c>
      <c r="O96">
        <f>IF($N96="","",INDEX('Cronograma R. Normativo'!$V$5:$V$1000,$N96))</f>
        <v/>
      </c>
      <c r="P96">
        <f>IF($N96="","",N(INDEX('Cronograma R. Normativo'!$W$5:$W$1000,$N96)))</f>
        <v/>
      </c>
      <c r="Q96">
        <f>IF(OR(LEFT($L96,7)="Vencida",LEFT($L96,5)="Vence"),SUMPRODUCT(--(LEFT($L$5:$L96,7)="Vencida"))+SUMPRODUCT(--(LEFT($L$5:$L96,5)="Vence")),"")</f>
        <v/>
      </c>
    </row>
    <row r="97">
      <c r="A97" s="56">
        <f>IF($N97="","",INDEX('Cronograma R. Normativo'!$A$5:$A$1000,$N97))</f>
        <v/>
      </c>
      <c r="B97" s="62">
        <f>IF($N97="","",IF($O97="Sub","      ↳  "&amp;INDEX('Cronograma R. Normativo'!$C$5:$C$1000,$N97),INDEX('Cronograma R. Normativo'!$C$5:$C$1000,$N97)&amp;""))</f>
        <v/>
      </c>
      <c r="C97" s="79">
        <f>IF($N97="","",IF(INDEX('Cronograma R. Normativo'!$AR$5:$AR$1000,$N97)="","",INDEX('Cronograma R. Normativo'!$AR$5:$AR$1000,$N97)))</f>
        <v/>
      </c>
      <c r="D97" s="79">
        <f>IF($N97="","",IF(INDEX('Cronograma R. Normativo'!$AS$5:$AS$1000,$N97)="","",INDEX('Cronograma R. Normativo'!$AS$5:$AS$1000,$N97)))</f>
        <v/>
      </c>
      <c r="E97" s="56">
        <f>IF($N97="","",IF(NOT(ISNUMBER($D97)),"",IF($D97&lt;InicioCiclo,"Antes del ciclo",IF($D97&gt;=InicioCiclo+28,"Después del ciclo","Semana "&amp;(INT(($D97-InicioCiclo)/7)+1)))))</f>
        <v/>
      </c>
      <c r="F97" s="61">
        <f>IF($N97="","",IF($P97&gt;0,IF(1&lt;=SemanaActual,INDEX('Cronograma R. Normativo'!$AH$5:$AH$1000,$N97),""),IF(INDEX('Cronograma R. Normativo'!$I$5:$I$1000,$N97)="","",INDEX('Cronograma R. Normativo'!$I$5:$I$1000,$N97))))</f>
        <v/>
      </c>
      <c r="G97" s="61">
        <f>IF($N97="","",IF($P97&gt;0,IF(2&lt;=SemanaActual,INDEX('Cronograma R. Normativo'!$AI$5:$AI$1000,$N97),""),IF(INDEX('Cronograma R. Normativo'!$J$5:$J$1000,$N97)="","",INDEX('Cronograma R. Normativo'!$J$5:$J$1000,$N97))))</f>
        <v/>
      </c>
      <c r="H97" s="61">
        <f>IF($N97="","",IF($P97&gt;0,IF(3&lt;=SemanaActual,INDEX('Cronograma R. Normativo'!$AJ$5:$AJ$1000,$N97),""),IF(INDEX('Cronograma R. Normativo'!$K$5:$K$1000,$N97)="","",INDEX('Cronograma R. Normativo'!$K$5:$K$1000,$N97))))</f>
        <v/>
      </c>
      <c r="I97" s="61">
        <f>IF($N97="","",IF($P97&gt;0,IF(4&lt;=SemanaActual,INDEX('Cronograma R. Normativo'!$AK$5:$AK$1000,$N97),""),IF(INDEX('Cronograma R. Normativo'!$L$5:$L$1000,$N97)="","",INDEX('Cronograma R. Normativo'!$L$5:$L$1000,$N97))))</f>
        <v/>
      </c>
      <c r="J97" s="61">
        <f>IF($N97="","",INDEX('Cronograma R. Normativo'!$M$5:$M$1000,$N97))</f>
        <v/>
      </c>
      <c r="K97" s="56">
        <f>IF($N97="","",IF(N($J97)&gt;=1,"Completado",IF(AND(ISNUMBER($D97),$D97&lt;FechaRef),"Vencida",IF(N($J97)&gt;0,"En curso","Pendiente"))))</f>
        <v/>
      </c>
      <c r="L97" s="56">
        <f>IF($N97="","",INDEX('Cronograma R. Normativo'!$O$5:$O$1000,$N97)&amp;"")</f>
        <v/>
      </c>
      <c r="M97" s="62">
        <f>IF($N97="","",INDEX('Cronograma R. Normativo'!$Q$5:$Q$1000,$N97)&amp;"")</f>
        <v/>
      </c>
      <c r="N97">
        <f>IFERROR(MATCH(ROW()-4,rOrden_RN,0),"")</f>
        <v/>
      </c>
      <c r="O97">
        <f>IF($N97="","",INDEX('Cronograma R. Normativo'!$V$5:$V$1000,$N97))</f>
        <v/>
      </c>
      <c r="P97">
        <f>IF($N97="","",N(INDEX('Cronograma R. Normativo'!$W$5:$W$1000,$N97)))</f>
        <v/>
      </c>
      <c r="Q97">
        <f>IF(OR(LEFT($L97,7)="Vencida",LEFT($L97,5)="Vence"),SUMPRODUCT(--(LEFT($L$5:$L97,7)="Vencida"))+SUMPRODUCT(--(LEFT($L$5:$L97,5)="Vence")),"")</f>
        <v/>
      </c>
    </row>
    <row r="98">
      <c r="A98" s="56">
        <f>IF($N98="","",INDEX('Cronograma R. Normativo'!$A$5:$A$1000,$N98))</f>
        <v/>
      </c>
      <c r="B98" s="62">
        <f>IF($N98="","",IF($O98="Sub","      ↳  "&amp;INDEX('Cronograma R. Normativo'!$C$5:$C$1000,$N98),INDEX('Cronograma R. Normativo'!$C$5:$C$1000,$N98)&amp;""))</f>
        <v/>
      </c>
      <c r="C98" s="79">
        <f>IF($N98="","",IF(INDEX('Cronograma R. Normativo'!$AR$5:$AR$1000,$N98)="","",INDEX('Cronograma R. Normativo'!$AR$5:$AR$1000,$N98)))</f>
        <v/>
      </c>
      <c r="D98" s="79">
        <f>IF($N98="","",IF(INDEX('Cronograma R. Normativo'!$AS$5:$AS$1000,$N98)="","",INDEX('Cronograma R. Normativo'!$AS$5:$AS$1000,$N98)))</f>
        <v/>
      </c>
      <c r="E98" s="56">
        <f>IF($N98="","",IF(NOT(ISNUMBER($D98)),"",IF($D98&lt;InicioCiclo,"Antes del ciclo",IF($D98&gt;=InicioCiclo+28,"Después del ciclo","Semana "&amp;(INT(($D98-InicioCiclo)/7)+1)))))</f>
        <v/>
      </c>
      <c r="F98" s="61">
        <f>IF($N98="","",IF($P98&gt;0,IF(1&lt;=SemanaActual,INDEX('Cronograma R. Normativo'!$AH$5:$AH$1000,$N98),""),IF(INDEX('Cronograma R. Normativo'!$I$5:$I$1000,$N98)="","",INDEX('Cronograma R. Normativo'!$I$5:$I$1000,$N98))))</f>
        <v/>
      </c>
      <c r="G98" s="61">
        <f>IF($N98="","",IF($P98&gt;0,IF(2&lt;=SemanaActual,INDEX('Cronograma R. Normativo'!$AI$5:$AI$1000,$N98),""),IF(INDEX('Cronograma R. Normativo'!$J$5:$J$1000,$N98)="","",INDEX('Cronograma R. Normativo'!$J$5:$J$1000,$N98))))</f>
        <v/>
      </c>
      <c r="H98" s="61">
        <f>IF($N98="","",IF($P98&gt;0,IF(3&lt;=SemanaActual,INDEX('Cronograma R. Normativo'!$AJ$5:$AJ$1000,$N98),""),IF(INDEX('Cronograma R. Normativo'!$K$5:$K$1000,$N98)="","",INDEX('Cronograma R. Normativo'!$K$5:$K$1000,$N98))))</f>
        <v/>
      </c>
      <c r="I98" s="61">
        <f>IF($N98="","",IF($P98&gt;0,IF(4&lt;=SemanaActual,INDEX('Cronograma R. Normativo'!$AK$5:$AK$1000,$N98),""),IF(INDEX('Cronograma R. Normativo'!$L$5:$L$1000,$N98)="","",INDEX('Cronograma R. Normativo'!$L$5:$L$1000,$N98))))</f>
        <v/>
      </c>
      <c r="J98" s="61">
        <f>IF($N98="","",INDEX('Cronograma R. Normativo'!$M$5:$M$1000,$N98))</f>
        <v/>
      </c>
      <c r="K98" s="56">
        <f>IF($N98="","",IF(N($J98)&gt;=1,"Completado",IF(AND(ISNUMBER($D98),$D98&lt;FechaRef),"Vencida",IF(N($J98)&gt;0,"En curso","Pendiente"))))</f>
        <v/>
      </c>
      <c r="L98" s="56">
        <f>IF($N98="","",INDEX('Cronograma R. Normativo'!$O$5:$O$1000,$N98)&amp;"")</f>
        <v/>
      </c>
      <c r="M98" s="62">
        <f>IF($N98="","",INDEX('Cronograma R. Normativo'!$Q$5:$Q$1000,$N98)&amp;"")</f>
        <v/>
      </c>
      <c r="N98">
        <f>IFERROR(MATCH(ROW()-4,rOrden_RN,0),"")</f>
        <v/>
      </c>
      <c r="O98">
        <f>IF($N98="","",INDEX('Cronograma R. Normativo'!$V$5:$V$1000,$N98))</f>
        <v/>
      </c>
      <c r="P98">
        <f>IF($N98="","",N(INDEX('Cronograma R. Normativo'!$W$5:$W$1000,$N98)))</f>
        <v/>
      </c>
      <c r="Q98">
        <f>IF(OR(LEFT($L98,7)="Vencida",LEFT($L98,5)="Vence"),SUMPRODUCT(--(LEFT($L$5:$L98,7)="Vencida"))+SUMPRODUCT(--(LEFT($L$5:$L98,5)="Vence")),"")</f>
        <v/>
      </c>
    </row>
    <row r="99">
      <c r="A99" s="56">
        <f>IF($N99="","",INDEX('Cronograma R. Normativo'!$A$5:$A$1000,$N99))</f>
        <v/>
      </c>
      <c r="B99" s="62">
        <f>IF($N99="","",IF($O99="Sub","      ↳  "&amp;INDEX('Cronograma R. Normativo'!$C$5:$C$1000,$N99),INDEX('Cronograma R. Normativo'!$C$5:$C$1000,$N99)&amp;""))</f>
        <v/>
      </c>
      <c r="C99" s="79">
        <f>IF($N99="","",IF(INDEX('Cronograma R. Normativo'!$AR$5:$AR$1000,$N99)="","",INDEX('Cronograma R. Normativo'!$AR$5:$AR$1000,$N99)))</f>
        <v/>
      </c>
      <c r="D99" s="79">
        <f>IF($N99="","",IF(INDEX('Cronograma R. Normativo'!$AS$5:$AS$1000,$N99)="","",INDEX('Cronograma R. Normativo'!$AS$5:$AS$1000,$N99)))</f>
        <v/>
      </c>
      <c r="E99" s="56">
        <f>IF($N99="","",IF(NOT(ISNUMBER($D99)),"",IF($D99&lt;InicioCiclo,"Antes del ciclo",IF($D99&gt;=InicioCiclo+28,"Después del ciclo","Semana "&amp;(INT(($D99-InicioCiclo)/7)+1)))))</f>
        <v/>
      </c>
      <c r="F99" s="61">
        <f>IF($N99="","",IF($P99&gt;0,IF(1&lt;=SemanaActual,INDEX('Cronograma R. Normativo'!$AH$5:$AH$1000,$N99),""),IF(INDEX('Cronograma R. Normativo'!$I$5:$I$1000,$N99)="","",INDEX('Cronograma R. Normativo'!$I$5:$I$1000,$N99))))</f>
        <v/>
      </c>
      <c r="G99" s="61">
        <f>IF($N99="","",IF($P99&gt;0,IF(2&lt;=SemanaActual,INDEX('Cronograma R. Normativo'!$AI$5:$AI$1000,$N99),""),IF(INDEX('Cronograma R. Normativo'!$J$5:$J$1000,$N99)="","",INDEX('Cronograma R. Normativo'!$J$5:$J$1000,$N99))))</f>
        <v/>
      </c>
      <c r="H99" s="61">
        <f>IF($N99="","",IF($P99&gt;0,IF(3&lt;=SemanaActual,INDEX('Cronograma R. Normativo'!$AJ$5:$AJ$1000,$N99),""),IF(INDEX('Cronograma R. Normativo'!$K$5:$K$1000,$N99)="","",INDEX('Cronograma R. Normativo'!$K$5:$K$1000,$N99))))</f>
        <v/>
      </c>
      <c r="I99" s="61">
        <f>IF($N99="","",IF($P99&gt;0,IF(4&lt;=SemanaActual,INDEX('Cronograma R. Normativo'!$AK$5:$AK$1000,$N99),""),IF(INDEX('Cronograma R. Normativo'!$L$5:$L$1000,$N99)="","",INDEX('Cronograma R. Normativo'!$L$5:$L$1000,$N99))))</f>
        <v/>
      </c>
      <c r="J99" s="61">
        <f>IF($N99="","",INDEX('Cronograma R. Normativo'!$M$5:$M$1000,$N99))</f>
        <v/>
      </c>
      <c r="K99" s="56">
        <f>IF($N99="","",IF(N($J99)&gt;=1,"Completado",IF(AND(ISNUMBER($D99),$D99&lt;FechaRef),"Vencida",IF(N($J99)&gt;0,"En curso","Pendiente"))))</f>
        <v/>
      </c>
      <c r="L99" s="56">
        <f>IF($N99="","",INDEX('Cronograma R. Normativo'!$O$5:$O$1000,$N99)&amp;"")</f>
        <v/>
      </c>
      <c r="M99" s="62">
        <f>IF($N99="","",INDEX('Cronograma R. Normativo'!$Q$5:$Q$1000,$N99)&amp;"")</f>
        <v/>
      </c>
      <c r="N99">
        <f>IFERROR(MATCH(ROW()-4,rOrden_RN,0),"")</f>
        <v/>
      </c>
      <c r="O99">
        <f>IF($N99="","",INDEX('Cronograma R. Normativo'!$V$5:$V$1000,$N99))</f>
        <v/>
      </c>
      <c r="P99">
        <f>IF($N99="","",N(INDEX('Cronograma R. Normativo'!$W$5:$W$1000,$N99)))</f>
        <v/>
      </c>
      <c r="Q99">
        <f>IF(OR(LEFT($L99,7)="Vencida",LEFT($L99,5)="Vence"),SUMPRODUCT(--(LEFT($L$5:$L99,7)="Vencida"))+SUMPRODUCT(--(LEFT($L$5:$L99,5)="Vence")),"")</f>
        <v/>
      </c>
    </row>
    <row r="100">
      <c r="A100" s="56">
        <f>IF($N100="","",INDEX('Cronograma R. Normativo'!$A$5:$A$1000,$N100))</f>
        <v/>
      </c>
      <c r="B100" s="62">
        <f>IF($N100="","",IF($O100="Sub","      ↳  "&amp;INDEX('Cronograma R. Normativo'!$C$5:$C$1000,$N100),INDEX('Cronograma R. Normativo'!$C$5:$C$1000,$N100)&amp;""))</f>
        <v/>
      </c>
      <c r="C100" s="79">
        <f>IF($N100="","",IF(INDEX('Cronograma R. Normativo'!$AR$5:$AR$1000,$N100)="","",INDEX('Cronograma R. Normativo'!$AR$5:$AR$1000,$N100)))</f>
        <v/>
      </c>
      <c r="D100" s="79">
        <f>IF($N100="","",IF(INDEX('Cronograma R. Normativo'!$AS$5:$AS$1000,$N100)="","",INDEX('Cronograma R. Normativo'!$AS$5:$AS$1000,$N100)))</f>
        <v/>
      </c>
      <c r="E100" s="56">
        <f>IF($N100="","",IF(NOT(ISNUMBER($D100)),"",IF($D100&lt;InicioCiclo,"Antes del ciclo",IF($D100&gt;=InicioCiclo+28,"Después del ciclo","Semana "&amp;(INT(($D100-InicioCiclo)/7)+1)))))</f>
        <v/>
      </c>
      <c r="F100" s="61">
        <f>IF($N100="","",IF($P100&gt;0,IF(1&lt;=SemanaActual,INDEX('Cronograma R. Normativo'!$AH$5:$AH$1000,$N100),""),IF(INDEX('Cronograma R. Normativo'!$I$5:$I$1000,$N100)="","",INDEX('Cronograma R. Normativo'!$I$5:$I$1000,$N100))))</f>
        <v/>
      </c>
      <c r="G100" s="61">
        <f>IF($N100="","",IF($P100&gt;0,IF(2&lt;=SemanaActual,INDEX('Cronograma R. Normativo'!$AI$5:$AI$1000,$N100),""),IF(INDEX('Cronograma R. Normativo'!$J$5:$J$1000,$N100)="","",INDEX('Cronograma R. Normativo'!$J$5:$J$1000,$N100))))</f>
        <v/>
      </c>
      <c r="H100" s="61">
        <f>IF($N100="","",IF($P100&gt;0,IF(3&lt;=SemanaActual,INDEX('Cronograma R. Normativo'!$AJ$5:$AJ$1000,$N100),""),IF(INDEX('Cronograma R. Normativo'!$K$5:$K$1000,$N100)="","",INDEX('Cronograma R. Normativo'!$K$5:$K$1000,$N100))))</f>
        <v/>
      </c>
      <c r="I100" s="61">
        <f>IF($N100="","",IF($P100&gt;0,IF(4&lt;=SemanaActual,INDEX('Cronograma R. Normativo'!$AK$5:$AK$1000,$N100),""),IF(INDEX('Cronograma R. Normativo'!$L$5:$L$1000,$N100)="","",INDEX('Cronograma R. Normativo'!$L$5:$L$1000,$N100))))</f>
        <v/>
      </c>
      <c r="J100" s="61">
        <f>IF($N100="","",INDEX('Cronograma R. Normativo'!$M$5:$M$1000,$N100))</f>
        <v/>
      </c>
      <c r="K100" s="56">
        <f>IF($N100="","",IF(N($J100)&gt;=1,"Completado",IF(AND(ISNUMBER($D100),$D100&lt;FechaRef),"Vencida",IF(N($J100)&gt;0,"En curso","Pendiente"))))</f>
        <v/>
      </c>
      <c r="L100" s="56">
        <f>IF($N100="","",INDEX('Cronograma R. Normativo'!$O$5:$O$1000,$N100)&amp;"")</f>
        <v/>
      </c>
      <c r="M100" s="62">
        <f>IF($N100="","",INDEX('Cronograma R. Normativo'!$Q$5:$Q$1000,$N100)&amp;"")</f>
        <v/>
      </c>
      <c r="N100">
        <f>IFERROR(MATCH(ROW()-4,rOrden_RN,0),"")</f>
        <v/>
      </c>
      <c r="O100">
        <f>IF($N100="","",INDEX('Cronograma R. Normativo'!$V$5:$V$1000,$N100))</f>
        <v/>
      </c>
      <c r="P100">
        <f>IF($N100="","",N(INDEX('Cronograma R. Normativo'!$W$5:$W$1000,$N100)))</f>
        <v/>
      </c>
      <c r="Q100">
        <f>IF(OR(LEFT($L100,7)="Vencida",LEFT($L100,5)="Vence"),SUMPRODUCT(--(LEFT($L$5:$L100,7)="Vencida"))+SUMPRODUCT(--(LEFT($L$5:$L100,5)="Vence")),"")</f>
        <v/>
      </c>
    </row>
    <row r="101">
      <c r="A101" s="56">
        <f>IF($N101="","",INDEX('Cronograma R. Normativo'!$A$5:$A$1000,$N101))</f>
        <v/>
      </c>
      <c r="B101" s="62">
        <f>IF($N101="","",IF($O101="Sub","      ↳  "&amp;INDEX('Cronograma R. Normativo'!$C$5:$C$1000,$N101),INDEX('Cronograma R. Normativo'!$C$5:$C$1000,$N101)&amp;""))</f>
        <v/>
      </c>
      <c r="C101" s="79">
        <f>IF($N101="","",IF(INDEX('Cronograma R. Normativo'!$AR$5:$AR$1000,$N101)="","",INDEX('Cronograma R. Normativo'!$AR$5:$AR$1000,$N101)))</f>
        <v/>
      </c>
      <c r="D101" s="79">
        <f>IF($N101="","",IF(INDEX('Cronograma R. Normativo'!$AS$5:$AS$1000,$N101)="","",INDEX('Cronograma R. Normativo'!$AS$5:$AS$1000,$N101)))</f>
        <v/>
      </c>
      <c r="E101" s="56">
        <f>IF($N101="","",IF(NOT(ISNUMBER($D101)),"",IF($D101&lt;InicioCiclo,"Antes del ciclo",IF($D101&gt;=InicioCiclo+28,"Después del ciclo","Semana "&amp;(INT(($D101-InicioCiclo)/7)+1)))))</f>
        <v/>
      </c>
      <c r="F101" s="61">
        <f>IF($N101="","",IF($P101&gt;0,IF(1&lt;=SemanaActual,INDEX('Cronograma R. Normativo'!$AH$5:$AH$1000,$N101),""),IF(INDEX('Cronograma R. Normativo'!$I$5:$I$1000,$N101)="","",INDEX('Cronograma R. Normativo'!$I$5:$I$1000,$N101))))</f>
        <v/>
      </c>
      <c r="G101" s="61">
        <f>IF($N101="","",IF($P101&gt;0,IF(2&lt;=SemanaActual,INDEX('Cronograma R. Normativo'!$AI$5:$AI$1000,$N101),""),IF(INDEX('Cronograma R. Normativo'!$J$5:$J$1000,$N101)="","",INDEX('Cronograma R. Normativo'!$J$5:$J$1000,$N101))))</f>
        <v/>
      </c>
      <c r="H101" s="61">
        <f>IF($N101="","",IF($P101&gt;0,IF(3&lt;=SemanaActual,INDEX('Cronograma R. Normativo'!$AJ$5:$AJ$1000,$N101),""),IF(INDEX('Cronograma R. Normativo'!$K$5:$K$1000,$N101)="","",INDEX('Cronograma R. Normativo'!$K$5:$K$1000,$N101))))</f>
        <v/>
      </c>
      <c r="I101" s="61">
        <f>IF($N101="","",IF($P101&gt;0,IF(4&lt;=SemanaActual,INDEX('Cronograma R. Normativo'!$AK$5:$AK$1000,$N101),""),IF(INDEX('Cronograma R. Normativo'!$L$5:$L$1000,$N101)="","",INDEX('Cronograma R. Normativo'!$L$5:$L$1000,$N101))))</f>
        <v/>
      </c>
      <c r="J101" s="61">
        <f>IF($N101="","",INDEX('Cronograma R. Normativo'!$M$5:$M$1000,$N101))</f>
        <v/>
      </c>
      <c r="K101" s="56">
        <f>IF($N101="","",IF(N($J101)&gt;=1,"Completado",IF(AND(ISNUMBER($D101),$D101&lt;FechaRef),"Vencida",IF(N($J101)&gt;0,"En curso","Pendiente"))))</f>
        <v/>
      </c>
      <c r="L101" s="56">
        <f>IF($N101="","",INDEX('Cronograma R. Normativo'!$O$5:$O$1000,$N101)&amp;"")</f>
        <v/>
      </c>
      <c r="M101" s="62">
        <f>IF($N101="","",INDEX('Cronograma R. Normativo'!$Q$5:$Q$1000,$N101)&amp;"")</f>
        <v/>
      </c>
      <c r="N101">
        <f>IFERROR(MATCH(ROW()-4,rOrden_RN,0),"")</f>
        <v/>
      </c>
      <c r="O101">
        <f>IF($N101="","",INDEX('Cronograma R. Normativo'!$V$5:$V$1000,$N101))</f>
        <v/>
      </c>
      <c r="P101">
        <f>IF($N101="","",N(INDEX('Cronograma R. Normativo'!$W$5:$W$1000,$N101)))</f>
        <v/>
      </c>
      <c r="Q101">
        <f>IF(OR(LEFT($L101,7)="Vencida",LEFT($L101,5)="Vence"),SUMPRODUCT(--(LEFT($L$5:$L101,7)="Vencida"))+SUMPRODUCT(--(LEFT($L$5:$L101,5)="Vence")),"")</f>
        <v/>
      </c>
    </row>
    <row r="102">
      <c r="A102" s="56">
        <f>IF($N102="","",INDEX('Cronograma R. Normativo'!$A$5:$A$1000,$N102))</f>
        <v/>
      </c>
      <c r="B102" s="62">
        <f>IF($N102="","",IF($O102="Sub","      ↳  "&amp;INDEX('Cronograma R. Normativo'!$C$5:$C$1000,$N102),INDEX('Cronograma R. Normativo'!$C$5:$C$1000,$N102)&amp;""))</f>
        <v/>
      </c>
      <c r="C102" s="79">
        <f>IF($N102="","",IF(INDEX('Cronograma R. Normativo'!$AR$5:$AR$1000,$N102)="","",INDEX('Cronograma R. Normativo'!$AR$5:$AR$1000,$N102)))</f>
        <v/>
      </c>
      <c r="D102" s="79">
        <f>IF($N102="","",IF(INDEX('Cronograma R. Normativo'!$AS$5:$AS$1000,$N102)="","",INDEX('Cronograma R. Normativo'!$AS$5:$AS$1000,$N102)))</f>
        <v/>
      </c>
      <c r="E102" s="56">
        <f>IF($N102="","",IF(NOT(ISNUMBER($D102)),"",IF($D102&lt;InicioCiclo,"Antes del ciclo",IF($D102&gt;=InicioCiclo+28,"Después del ciclo","Semana "&amp;(INT(($D102-InicioCiclo)/7)+1)))))</f>
        <v/>
      </c>
      <c r="F102" s="61">
        <f>IF($N102="","",IF($P102&gt;0,IF(1&lt;=SemanaActual,INDEX('Cronograma R. Normativo'!$AH$5:$AH$1000,$N102),""),IF(INDEX('Cronograma R. Normativo'!$I$5:$I$1000,$N102)="","",INDEX('Cronograma R. Normativo'!$I$5:$I$1000,$N102))))</f>
        <v/>
      </c>
      <c r="G102" s="61">
        <f>IF($N102="","",IF($P102&gt;0,IF(2&lt;=SemanaActual,INDEX('Cronograma R. Normativo'!$AI$5:$AI$1000,$N102),""),IF(INDEX('Cronograma R. Normativo'!$J$5:$J$1000,$N102)="","",INDEX('Cronograma R. Normativo'!$J$5:$J$1000,$N102))))</f>
        <v/>
      </c>
      <c r="H102" s="61">
        <f>IF($N102="","",IF($P102&gt;0,IF(3&lt;=SemanaActual,INDEX('Cronograma R. Normativo'!$AJ$5:$AJ$1000,$N102),""),IF(INDEX('Cronograma R. Normativo'!$K$5:$K$1000,$N102)="","",INDEX('Cronograma R. Normativo'!$K$5:$K$1000,$N102))))</f>
        <v/>
      </c>
      <c r="I102" s="61">
        <f>IF($N102="","",IF($P102&gt;0,IF(4&lt;=SemanaActual,INDEX('Cronograma R. Normativo'!$AK$5:$AK$1000,$N102),""),IF(INDEX('Cronograma R. Normativo'!$L$5:$L$1000,$N102)="","",INDEX('Cronograma R. Normativo'!$L$5:$L$1000,$N102))))</f>
        <v/>
      </c>
      <c r="J102" s="61">
        <f>IF($N102="","",INDEX('Cronograma R. Normativo'!$M$5:$M$1000,$N102))</f>
        <v/>
      </c>
      <c r="K102" s="56">
        <f>IF($N102="","",IF(N($J102)&gt;=1,"Completado",IF(AND(ISNUMBER($D102),$D102&lt;FechaRef),"Vencida",IF(N($J102)&gt;0,"En curso","Pendiente"))))</f>
        <v/>
      </c>
      <c r="L102" s="56">
        <f>IF($N102="","",INDEX('Cronograma R. Normativo'!$O$5:$O$1000,$N102)&amp;"")</f>
        <v/>
      </c>
      <c r="M102" s="62">
        <f>IF($N102="","",INDEX('Cronograma R. Normativo'!$Q$5:$Q$1000,$N102)&amp;"")</f>
        <v/>
      </c>
      <c r="N102">
        <f>IFERROR(MATCH(ROW()-4,rOrden_RN,0),"")</f>
        <v/>
      </c>
      <c r="O102">
        <f>IF($N102="","",INDEX('Cronograma R. Normativo'!$V$5:$V$1000,$N102))</f>
        <v/>
      </c>
      <c r="P102">
        <f>IF($N102="","",N(INDEX('Cronograma R. Normativo'!$W$5:$W$1000,$N102)))</f>
        <v/>
      </c>
      <c r="Q102">
        <f>IF(OR(LEFT($L102,7)="Vencida",LEFT($L102,5)="Vence"),SUMPRODUCT(--(LEFT($L$5:$L102,7)="Vencida"))+SUMPRODUCT(--(LEFT($L$5:$L102,5)="Vence")),"")</f>
        <v/>
      </c>
    </row>
    <row r="103">
      <c r="A103" s="56">
        <f>IF($N103="","",INDEX('Cronograma R. Normativo'!$A$5:$A$1000,$N103))</f>
        <v/>
      </c>
      <c r="B103" s="62">
        <f>IF($N103="","",IF($O103="Sub","      ↳  "&amp;INDEX('Cronograma R. Normativo'!$C$5:$C$1000,$N103),INDEX('Cronograma R. Normativo'!$C$5:$C$1000,$N103)&amp;""))</f>
        <v/>
      </c>
      <c r="C103" s="79">
        <f>IF($N103="","",IF(INDEX('Cronograma R. Normativo'!$AR$5:$AR$1000,$N103)="","",INDEX('Cronograma R. Normativo'!$AR$5:$AR$1000,$N103)))</f>
        <v/>
      </c>
      <c r="D103" s="79">
        <f>IF($N103="","",IF(INDEX('Cronograma R. Normativo'!$AS$5:$AS$1000,$N103)="","",INDEX('Cronograma R. Normativo'!$AS$5:$AS$1000,$N103)))</f>
        <v/>
      </c>
      <c r="E103" s="56">
        <f>IF($N103="","",IF(NOT(ISNUMBER($D103)),"",IF($D103&lt;InicioCiclo,"Antes del ciclo",IF($D103&gt;=InicioCiclo+28,"Después del ciclo","Semana "&amp;(INT(($D103-InicioCiclo)/7)+1)))))</f>
        <v/>
      </c>
      <c r="F103" s="61">
        <f>IF($N103="","",IF($P103&gt;0,IF(1&lt;=SemanaActual,INDEX('Cronograma R. Normativo'!$AH$5:$AH$1000,$N103),""),IF(INDEX('Cronograma R. Normativo'!$I$5:$I$1000,$N103)="","",INDEX('Cronograma R. Normativo'!$I$5:$I$1000,$N103))))</f>
        <v/>
      </c>
      <c r="G103" s="61">
        <f>IF($N103="","",IF($P103&gt;0,IF(2&lt;=SemanaActual,INDEX('Cronograma R. Normativo'!$AI$5:$AI$1000,$N103),""),IF(INDEX('Cronograma R. Normativo'!$J$5:$J$1000,$N103)="","",INDEX('Cronograma R. Normativo'!$J$5:$J$1000,$N103))))</f>
        <v/>
      </c>
      <c r="H103" s="61">
        <f>IF($N103="","",IF($P103&gt;0,IF(3&lt;=SemanaActual,INDEX('Cronograma R. Normativo'!$AJ$5:$AJ$1000,$N103),""),IF(INDEX('Cronograma R. Normativo'!$K$5:$K$1000,$N103)="","",INDEX('Cronograma R. Normativo'!$K$5:$K$1000,$N103))))</f>
        <v/>
      </c>
      <c r="I103" s="61">
        <f>IF($N103="","",IF($P103&gt;0,IF(4&lt;=SemanaActual,INDEX('Cronograma R. Normativo'!$AK$5:$AK$1000,$N103),""),IF(INDEX('Cronograma R. Normativo'!$L$5:$L$1000,$N103)="","",INDEX('Cronograma R. Normativo'!$L$5:$L$1000,$N103))))</f>
        <v/>
      </c>
      <c r="J103" s="61">
        <f>IF($N103="","",INDEX('Cronograma R. Normativo'!$M$5:$M$1000,$N103))</f>
        <v/>
      </c>
      <c r="K103" s="56">
        <f>IF($N103="","",IF(N($J103)&gt;=1,"Completado",IF(AND(ISNUMBER($D103),$D103&lt;FechaRef),"Vencida",IF(N($J103)&gt;0,"En curso","Pendiente"))))</f>
        <v/>
      </c>
      <c r="L103" s="56">
        <f>IF($N103="","",INDEX('Cronograma R. Normativo'!$O$5:$O$1000,$N103)&amp;"")</f>
        <v/>
      </c>
      <c r="M103" s="62">
        <f>IF($N103="","",INDEX('Cronograma R. Normativo'!$Q$5:$Q$1000,$N103)&amp;"")</f>
        <v/>
      </c>
      <c r="N103">
        <f>IFERROR(MATCH(ROW()-4,rOrden_RN,0),"")</f>
        <v/>
      </c>
      <c r="O103">
        <f>IF($N103="","",INDEX('Cronograma R. Normativo'!$V$5:$V$1000,$N103))</f>
        <v/>
      </c>
      <c r="P103">
        <f>IF($N103="","",N(INDEX('Cronograma R. Normativo'!$W$5:$W$1000,$N103)))</f>
        <v/>
      </c>
      <c r="Q103">
        <f>IF(OR(LEFT($L103,7)="Vencida",LEFT($L103,5)="Vence"),SUMPRODUCT(--(LEFT($L$5:$L103,7)="Vencida"))+SUMPRODUCT(--(LEFT($L$5:$L103,5)="Vence")),"")</f>
        <v/>
      </c>
    </row>
    <row r="104">
      <c r="A104" s="56">
        <f>IF($N104="","",INDEX('Cronograma R. Normativo'!$A$5:$A$1000,$N104))</f>
        <v/>
      </c>
      <c r="B104" s="62">
        <f>IF($N104="","",IF($O104="Sub","      ↳  "&amp;INDEX('Cronograma R. Normativo'!$C$5:$C$1000,$N104),INDEX('Cronograma R. Normativo'!$C$5:$C$1000,$N104)&amp;""))</f>
        <v/>
      </c>
      <c r="C104" s="79">
        <f>IF($N104="","",IF(INDEX('Cronograma R. Normativo'!$AR$5:$AR$1000,$N104)="","",INDEX('Cronograma R. Normativo'!$AR$5:$AR$1000,$N104)))</f>
        <v/>
      </c>
      <c r="D104" s="79">
        <f>IF($N104="","",IF(INDEX('Cronograma R. Normativo'!$AS$5:$AS$1000,$N104)="","",INDEX('Cronograma R. Normativo'!$AS$5:$AS$1000,$N104)))</f>
        <v/>
      </c>
      <c r="E104" s="56">
        <f>IF($N104="","",IF(NOT(ISNUMBER($D104)),"",IF($D104&lt;InicioCiclo,"Antes del ciclo",IF($D104&gt;=InicioCiclo+28,"Después del ciclo","Semana "&amp;(INT(($D104-InicioCiclo)/7)+1)))))</f>
        <v/>
      </c>
      <c r="F104" s="61">
        <f>IF($N104="","",IF($P104&gt;0,IF(1&lt;=SemanaActual,INDEX('Cronograma R. Normativo'!$AH$5:$AH$1000,$N104),""),IF(INDEX('Cronograma R. Normativo'!$I$5:$I$1000,$N104)="","",INDEX('Cronograma R. Normativo'!$I$5:$I$1000,$N104))))</f>
        <v/>
      </c>
      <c r="G104" s="61">
        <f>IF($N104="","",IF($P104&gt;0,IF(2&lt;=SemanaActual,INDEX('Cronograma R. Normativo'!$AI$5:$AI$1000,$N104),""),IF(INDEX('Cronograma R. Normativo'!$J$5:$J$1000,$N104)="","",INDEX('Cronograma R. Normativo'!$J$5:$J$1000,$N104))))</f>
        <v/>
      </c>
      <c r="H104" s="61">
        <f>IF($N104="","",IF($P104&gt;0,IF(3&lt;=SemanaActual,INDEX('Cronograma R. Normativo'!$AJ$5:$AJ$1000,$N104),""),IF(INDEX('Cronograma R. Normativo'!$K$5:$K$1000,$N104)="","",INDEX('Cronograma R. Normativo'!$K$5:$K$1000,$N104))))</f>
        <v/>
      </c>
      <c r="I104" s="61">
        <f>IF($N104="","",IF($P104&gt;0,IF(4&lt;=SemanaActual,INDEX('Cronograma R. Normativo'!$AK$5:$AK$1000,$N104),""),IF(INDEX('Cronograma R. Normativo'!$L$5:$L$1000,$N104)="","",INDEX('Cronograma R. Normativo'!$L$5:$L$1000,$N104))))</f>
        <v/>
      </c>
      <c r="J104" s="61">
        <f>IF($N104="","",INDEX('Cronograma R. Normativo'!$M$5:$M$1000,$N104))</f>
        <v/>
      </c>
      <c r="K104" s="56">
        <f>IF($N104="","",IF(N($J104)&gt;=1,"Completado",IF(AND(ISNUMBER($D104),$D104&lt;FechaRef),"Vencida",IF(N($J104)&gt;0,"En curso","Pendiente"))))</f>
        <v/>
      </c>
      <c r="L104" s="56">
        <f>IF($N104="","",INDEX('Cronograma R. Normativo'!$O$5:$O$1000,$N104)&amp;"")</f>
        <v/>
      </c>
      <c r="M104" s="62">
        <f>IF($N104="","",INDEX('Cronograma R. Normativo'!$Q$5:$Q$1000,$N104)&amp;"")</f>
        <v/>
      </c>
      <c r="N104">
        <f>IFERROR(MATCH(ROW()-4,rOrden_RN,0),"")</f>
        <v/>
      </c>
      <c r="O104">
        <f>IF($N104="","",INDEX('Cronograma R. Normativo'!$V$5:$V$1000,$N104))</f>
        <v/>
      </c>
      <c r="P104">
        <f>IF($N104="","",N(INDEX('Cronograma R. Normativo'!$W$5:$W$1000,$N104)))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2">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548235"/>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2" t="inlineStr">
        <is>
          <t>Cronograma – Riesgo Financiero</t>
        </is>
      </c>
      <c r="B1" s="82" t="n"/>
      <c r="C1" s="82" t="n"/>
      <c r="D1" s="82" t="n"/>
      <c r="E1" s="82" t="n"/>
      <c r="F1" s="82" t="n"/>
      <c r="G1" s="82" t="n"/>
      <c r="H1" s="82" t="n"/>
      <c r="I1" s="82" t="n"/>
      <c r="J1" s="82" t="n"/>
      <c r="K1" s="82" t="n"/>
      <c r="L1" s="82" t="n"/>
      <c r="M1" s="82" t="n"/>
      <c r="N1" s="82" t="n"/>
      <c r="O1" s="82" t="n"/>
      <c r="P1" s="82" t="n"/>
      <c r="Q1" s="82" t="n"/>
      <c r="R1" s="82" t="n"/>
      <c r="S1" s="82"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Financiero",'Administración'!$S$5:$S$1000,MesCiclo,'Administración'!$V$5:$V$1000,"Macro")=0,"Sin actividades delegadas por la jefatura este mes","★ La jefatura le delegó "&amp;COUNTIFS('Administración'!$D$5:$D$1000,"Riesgo Financiero",'Administración'!$S$5:$S$1000,MesCiclo,'Administración'!$V$5:$V$1000,"Macro")&amp;" actividad(es) este mes · "&amp;(COUNTIFS('Administración'!$D$5:$D$1000,"Riesgo Financiero",'Administración'!$S$5:$S$1000,MesCiclo,'Administración'!$V$5:$V$1000,"Macro")-COUNTIFS('Administración'!$D$5:$D$1000,"Riesgo Financiero",'Administración'!$S$5:$S$1000,MesCiclo,'Administración'!$V$5:$V$1000,"Macro",'Administración'!$AM$5:$AM$1000,"&gt;0"))&amp;" pendiente(s) de agregar (elíjalas en la lista de «Actividad»). Cuentan en su avance del mes.")</f>
        <v/>
      </c>
      <c r="R3" s="45" t="n"/>
      <c r="S3" s="45" t="n"/>
    </row>
    <row r="4" ht="42" customHeight="1">
      <c r="A4" s="54" t="inlineStr">
        <is>
          <t>N°</t>
        </is>
      </c>
      <c r="B4" s="69" t="inlineStr">
        <is>
          <t>Tipo</t>
        </is>
      </c>
      <c r="C4" s="69" t="inlineStr">
        <is>
          <t>Actividad</t>
        </is>
      </c>
      <c r="D4" s="69" t="inlineStr">
        <is>
          <t>Delegar a</t>
        </is>
      </c>
      <c r="E4" s="69" t="inlineStr">
        <is>
          <t>Fecha de inicio</t>
        </is>
      </c>
      <c r="F4" s="69" t="inlineStr">
        <is>
          <t>Fecha límite</t>
        </is>
      </c>
      <c r="G4" s="69" t="inlineStr">
        <is>
          <t>Fecha de cumplimiento</t>
        </is>
      </c>
      <c r="H4" s="69" t="inlineStr">
        <is>
          <t>Peso / % de la subactividad</t>
        </is>
      </c>
      <c r="I4" s="69" t="inlineStr">
        <is>
          <t>Avance Semana 1 (%)</t>
        </is>
      </c>
      <c r="J4" s="69" t="inlineStr">
        <is>
          <t>Avance Semana 2 (%)</t>
        </is>
      </c>
      <c r="K4" s="69" t="inlineStr">
        <is>
          <t>Avance Semana 3 (%)</t>
        </is>
      </c>
      <c r="L4" s="69" t="inlineStr">
        <is>
          <t>Avance Semana 4 (%)</t>
        </is>
      </c>
      <c r="M4" s="54" t="inlineStr">
        <is>
          <t>% de Avance Total Actual</t>
        </is>
      </c>
      <c r="N4" s="54" t="inlineStr">
        <is>
          <t>Estado</t>
        </is>
      </c>
      <c r="O4" s="54" t="inlineStr">
        <is>
          <t>Alerta de plazo</t>
        </is>
      </c>
      <c r="P4" s="54" t="inlineStr">
        <is>
          <t>Seguimiento de la delegación</t>
        </is>
      </c>
      <c r="Q4" s="69"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Financiero|"&amp;MID($C5,12,500),rDname_ADM,0),0),"")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Financiero|"&amp;MID($C6,12,500),rDname_ADM,0),0),"")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Financiero|"&amp;MID($C7,12,500),rDname_ADM,0),0),"")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Financiero|"&amp;MID($C8,12,500),rDname_ADM,0),0),"")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Financiero|"&amp;MID($C9,12,500),rDname_ADM,0),0),"")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Financiero|"&amp;MID($C10,12,500),rDname_ADM,0),0),"")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Financiero|"&amp;MID($C11,12,500),rDname_ADM,0),0),"")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Financiero|"&amp;MID($C12,12,500),rDname_ADM,0),0),"")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Financiero|"&amp;MID($C13,12,500),rDname_ADM,0),0),"")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Financiero|"&amp;MID($C14,12,500),rDname_ADM,0),0),"")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Financiero|"&amp;MID($C15,12,500),rDname_ADM,0),0),"")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Financiero|"&amp;MID($C16,12,500),rDname_ADM,0),0),"")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Financiero|"&amp;MID($C17,12,500),rDname_ADM,0),0),"")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Financiero|"&amp;MID($C18,12,500),rDname_ADM,0),0),"")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Financiero|"&amp;MID($C19,12,500),rDname_ADM,0),0),"")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Financiero|"&amp;MID($C20,12,500),rDname_ADM,0),0),"")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Financiero|"&amp;MID($C21,12,500),rDname_ADM,0),0),"")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Financiero|"&amp;MID($C22,12,500),rDname_ADM,0),0),"")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Financiero|"&amp;MID($C23,12,500),rDname_ADM,0),0),"")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Financiero|"&amp;MID($C24,12,500),rDname_ADM,0),0),"")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Financiero|"&amp;MID($C25,12,500),rDname_ADM,0),0),"")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Financiero|"&amp;MID($C26,12,500),rDname_ADM,0),0),"")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Financiero|"&amp;MID($C27,12,500),rDname_ADM,0),0),"")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Financiero|"&amp;MID($C28,12,500),rDname_ADM,0),0),"")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Financiero|"&amp;MID($C29,12,500),rDname_ADM,0),0),"")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Financiero|"&amp;MID($C30,12,500),rDname_ADM,0),0),"")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Financiero|"&amp;MID($C31,12,500),rDname_ADM,0),0),"")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Financiero|"&amp;MID($C32,12,500),rDname_ADM,0),0),"")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Financiero|"&amp;MID($C33,12,500),rDname_ADM,0),0),"")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Financiero|"&amp;MID($C34,12,500),rDname_ADM,0),0),"")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Financiero|"&amp;MID($C35,12,500),rDname_ADM,0),0),"")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Financiero|"&amp;MID($C36,12,500),rDname_ADM,0),0),"")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Financiero|"&amp;MID($C37,12,500),rDname_ADM,0),0),"")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Financiero|"&amp;MID($C38,12,500),rDname_ADM,0),0),"")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Financiero|"&amp;MID($C39,12,500),rDname_ADM,0),0),"")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Financiero|"&amp;MID($C40,12,500),rDname_ADM,0),0),"")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Financiero|"&amp;MID($C41,12,500),rDname_ADM,0),0),"")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Financiero|"&amp;MID($C42,12,500),rDname_ADM,0),0),"")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Financiero|"&amp;MID($C43,12,500),rDname_ADM,0),0),"")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Financiero|"&amp;MID($C44,12,500),rDname_ADM,0),0),"")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Financiero|"&amp;MID($C45,12,500),rDname_ADM,0),0),"")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Financiero|"&amp;MID($C46,12,500),rDname_ADM,0),0),"")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Financiero|"&amp;MID($C47,12,500),rDname_ADM,0),0),"")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Financiero|"&amp;MID($C48,12,500),rDname_ADM,0),0),"")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Financiero|"&amp;MID($C49,12,500),rDname_ADM,0),0),"")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Financiero|"&amp;MID($C50,12,500),rDname_ADM,0),0),"")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Financiero|"&amp;MID($C51,12,500),rDname_ADM,0),0),"")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Financiero|"&amp;MID($C52,12,500),rDname_ADM,0),0),"")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Financiero|"&amp;MID($C53,12,500),rDname_ADM,0),0),"")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Financiero|"&amp;MID($C54,12,500),rDname_ADM,0),0),"")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Financiero|"&amp;MID($C55,12,500),rDname_ADM,0),0),"")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Financiero|"&amp;MID($C56,12,500),rDname_ADM,0),0),"")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Financiero|"&amp;MID($C57,12,500),rDname_ADM,0),0),"")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Financiero|"&amp;MID($C58,12,500),rDname_ADM,0),0),"")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Financiero|"&amp;MID($C59,12,500),rDname_ADM,0),0),"")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Financiero|"&amp;MID($C60,12,500),rDname_ADM,0),0),"")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Financiero|"&amp;MID($C61,12,500),rDname_ADM,0),0),"")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Financiero|"&amp;MID($C62,12,500),rDname_ADM,0),0),"")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Financiero|"&amp;MID($C63,12,500),rDname_ADM,0),0),"")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Financiero|"&amp;MID($C64,12,500),rDname_ADM,0),0),"")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Financiero|"&amp;MID($C65,12,500),rDname_ADM,0),0),"")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Financiero|"&amp;MID($C66,12,500),rDname_ADM,0),0),"")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Financiero|"&amp;MID($C67,12,500),rDname_ADM,0),0),"")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Financiero|"&amp;MID($C68,12,500),rDname_ADM,0),0),"")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Financiero|"&amp;MID($C69,12,500),rDname_ADM,0),0),"")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Financiero|"&amp;MID($C70,12,500),rDname_ADM,0),0),"")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Financiero|"&amp;MID($C71,12,500),rDname_ADM,0),0),"")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Financiero|"&amp;MID($C72,12,500),rDname_ADM,0),0),"")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Financiero|"&amp;MID($C73,12,500),rDname_ADM,0),0),"")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Financiero|"&amp;MID($C74,12,500),rDname_ADM,0),0),"")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Financiero|"&amp;MID($C75,12,500),rDname_ADM,0),0),"")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Financiero|"&amp;MID($C76,12,500),rDname_ADM,0),0),"")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Financiero|"&amp;MID($C77,12,500),rDname_ADM,0),0),"")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Financiero|"&amp;MID($C78,12,500),rDname_ADM,0),0),"")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Financiero|"&amp;MID($C79,12,500),rDname_ADM,0),0),"")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Financiero|"&amp;MID($C80,12,500),rDname_ADM,0),0),"")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Financiero|"&amp;MID($C81,12,500),rDname_ADM,0),0),"")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Financiero|"&amp;MID($C82,12,500),rDname_ADM,0),0),"")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Financiero|"&amp;MID($C83,12,500),rDname_ADM,0),0),"")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Financiero|"&amp;MID($C84,12,500),rDname_ADM,0),0),"")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Financiero|"&amp;MID($C85,12,500),rDname_ADM,0),0),"")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Financiero|"&amp;MID($C86,12,500),rDname_ADM,0),0),"")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Financiero|"&amp;MID($C87,12,500),rDname_ADM,0),0),"")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Financiero|"&amp;MID($C88,12,500),rDname_ADM,0),0),"")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Financiero|"&amp;MID($C89,12,500),rDname_ADM,0),0),"")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Financiero|"&amp;MID($C90,12,500),rDname_ADM,0),0),"")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Financiero|"&amp;MID($C91,12,500),rDname_ADM,0),0),"")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Financiero|"&amp;MID($C92,12,500),rDname_ADM,0),0),"")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Financiero|"&amp;MID($C93,12,500),rDname_ADM,0),0),"")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Financiero|"&amp;MID($C94,12,500),rDname_ADM,0),0),"")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Financiero|"&amp;MID($C95,12,500),rDname_ADM,0),0),"")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Financiero|"&amp;MID($C96,12,500),rDname_ADM,0),0),"")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Financiero|"&amp;MID($C97,12,500),rDname_ADM,0),0),"")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Financiero|"&amp;MID($C98,12,500),rDname_ADM,0),0),"")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Financiero|"&amp;MID($C99,12,500),rDname_ADM,0),0),"")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Financiero|"&amp;MID($C100,12,500),rDname_ADM,0),0),"")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Financiero|"&amp;MID($C101,12,500),rDname_ADM,0),0),"")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Financiero|"&amp;MID($C102,12,500),rDname_ADM,0),0),"")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Financiero|"&amp;MID($C103,12,500),rDname_ADM,0),0),"")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Financiero|"&amp;MID($C104,12,500),rDname_ADM,0),0),"")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Financiero|"&amp;MID($C105,12,500),rDname_ADM,0),0),"")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Financiero|"&amp;MID($C106,12,500),rDname_ADM,0),0),"")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Financiero|"&amp;MID($C107,12,500),rDname_ADM,0),0),"")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Financiero|"&amp;MID($C108,12,500),rDname_ADM,0),0),"")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Financiero|"&amp;MID($C109,12,500),rDname_ADM,0),0),"")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Financiero|"&amp;MID($C110,12,500),rDname_ADM,0),0),"")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Financiero|"&amp;MID($C111,12,500),rDname_ADM,0),0),"")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Financiero|"&amp;MID($C112,12,500),rDname_ADM,0),0),"")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Financiero|"&amp;MID($C113,12,500),rDname_ADM,0),0),"")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Financiero|"&amp;MID($C114,12,500),rDname_ADM,0),0),"")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Financiero|"&amp;MID($C115,12,500),rDname_ADM,0),0),"")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Financiero|"&amp;MID($C116,12,500),rDname_ADM,0),0),"")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Financiero|"&amp;MID($C117,12,500),rDname_ADM,0),0),"")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Financiero|"&amp;MID($C118,12,500),rDname_ADM,0),0),"")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Financiero|"&amp;MID($C119,12,500),rDname_ADM,0),0),"")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Financiero|"&amp;MID($C120,12,500),rDname_ADM,0),0),"")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Financiero|"&amp;MID($C121,12,500),rDname_ADM,0),0),"")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Financiero|"&amp;MID($C122,12,500),rDname_ADM,0),0),"")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Financiero|"&amp;MID($C123,12,500),rDname_ADM,0),0),"")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Financiero|"&amp;MID($C124,12,500),rDname_ADM,0),0),"")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Financiero|"&amp;MID($C125,12,500),rDname_ADM,0),0),"")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Financiero|"&amp;MID($C126,12,500),rDname_ADM,0),0),"")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Financiero|"&amp;MID($C127,12,500),rDname_ADM,0),0),"")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Financiero|"&amp;MID($C128,12,500),rDname_ADM,0),0),"")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Financiero|"&amp;MID($C129,12,500),rDname_ADM,0),0),"")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Financiero|"&amp;MID($C130,12,500),rDname_ADM,0),0),"")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Financiero|"&amp;MID($C131,12,500),rDname_ADM,0),0),"")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Financiero|"&amp;MID($C132,12,500),rDname_ADM,0),0),"")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Financiero|"&amp;MID($C133,12,500),rDname_ADM,0),0),"")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Financiero|"&amp;MID($C134,12,500),rDname_ADM,0),0),"")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Financiero|"&amp;MID($C135,12,500),rDname_ADM,0),0),"")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Financiero|"&amp;MID($C136,12,500),rDname_ADM,0),0),"")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Financiero|"&amp;MID($C137,12,500),rDname_ADM,0),0),"")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Financiero|"&amp;MID($C138,12,500),rDname_ADM,0),0),"")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Financiero|"&amp;MID($C139,12,500),rDname_ADM,0),0),"")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Financiero|"&amp;MID($C140,12,500),rDname_ADM,0),0),"")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Financiero|"&amp;MID($C141,12,500),rDname_ADM,0),0),"")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Financiero|"&amp;MID($C142,12,500),rDname_ADM,0),0),"")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Financiero|"&amp;MID($C143,12,500),rDname_ADM,0),0),"")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Financiero|"&amp;MID($C144,12,500),rDname_ADM,0),0),"")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Financiero|"&amp;MID($C145,12,500),rDname_ADM,0),0),"")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Financiero|"&amp;MID($C146,12,500),rDname_ADM,0),0),"")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Financiero|"&amp;MID($C147,12,500),rDname_ADM,0),0),"")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Financiero|"&amp;MID($C148,12,500),rDname_ADM,0),0),"")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Financiero|"&amp;MID($C149,12,500),rDname_ADM,0),0),"")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Financiero|"&amp;MID($C150,12,500),rDname_ADM,0),0),"")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Financiero|"&amp;MID($C151,12,500),rDname_ADM,0),0),"")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Financiero|"&amp;MID($C152,12,500),rDname_ADM,0),0),"")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Financiero|"&amp;MID($C153,12,500),rDname_ADM,0),0),"")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Financiero|"&amp;MID($C154,12,500),rDname_ADM,0),0),"")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Financiero|"&amp;MID($C155,12,500),rDname_ADM,0),0),"")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Financiero|"&amp;MID($C156,12,500),rDname_ADM,0),0),"")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Financiero|"&amp;MID($C157,12,500),rDname_ADM,0),0),"")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Financiero|"&amp;MID($C158,12,500),rDname_ADM,0),0),"")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Financiero|"&amp;MID($C159,12,500),rDname_ADM,0),0),"")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Financiero|"&amp;MID($C160,12,500),rDname_ADM,0),0),"")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Financiero|"&amp;MID($C161,12,500),rDname_ADM,0),0),"")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Financiero|"&amp;MID($C162,12,500),rDname_ADM,0),0),"")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Financiero|"&amp;MID($C163,12,500),rDname_ADM,0),0),"")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Financiero|"&amp;MID($C164,12,500),rDname_ADM,0),0),"")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Financiero|"&amp;MID($C165,12,500),rDname_ADM,0),0),"")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Financiero|"&amp;MID($C166,12,500),rDname_ADM,0),0),"")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Financiero|"&amp;MID($C167,12,500),rDname_ADM,0),0),"")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Financiero|"&amp;MID($C168,12,500),rDname_ADM,0),0),"")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Financiero|"&amp;MID($C169,12,500),rDname_ADM,0),0),"")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Financiero|"&amp;MID($C170,12,500),rDname_ADM,0),0),"")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Financiero|"&amp;MID($C171,12,500),rDname_ADM,0),0),"")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Financiero|"&amp;MID($C172,12,500),rDname_ADM,0),0),"")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Financiero|"&amp;MID($C173,12,500),rDname_ADM,0),0),"")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Financiero|"&amp;MID($C174,12,500),rDname_ADM,0),0),"")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Financiero|"&amp;MID($C175,12,500),rDname_ADM,0),0),"")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Financiero|"&amp;MID($C176,12,500),rDname_ADM,0),0),"")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Financiero|"&amp;MID($C177,12,500),rDname_ADM,0),0),"")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Financiero|"&amp;MID($C178,12,500),rDname_ADM,0),0),"")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Financiero|"&amp;MID($C179,12,500),rDname_ADM,0),0),"")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Financiero|"&amp;MID($C180,12,500),rDname_ADM,0),0),"")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Financiero|"&amp;MID($C181,12,500),rDname_ADM,0),0),"")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Financiero|"&amp;MID($C182,12,500),rDname_ADM,0),0),"")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Financiero|"&amp;MID($C183,12,500),rDname_ADM,0),0),"")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Financiero|"&amp;MID($C184,12,500),rDname_ADM,0),0),"")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Financiero|"&amp;MID($C185,12,500),rDname_ADM,0),0),"")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Financiero|"&amp;MID($C186,12,500),rDname_ADM,0),0),"")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Financiero|"&amp;MID($C187,12,500),rDname_ADM,0),0),"")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Financiero|"&amp;MID($C188,12,500),rDname_ADM,0),0),"")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Financiero|"&amp;MID($C189,12,500),rDname_ADM,0),0),"")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Financiero|"&amp;MID($C190,12,500),rDname_ADM,0),0),"")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Financiero|"&amp;MID($C191,12,500),rDname_ADM,0),0),"")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Financiero|"&amp;MID($C192,12,500),rDname_ADM,0),0),"")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Financiero|"&amp;MID($C193,12,500),rDname_ADM,0),0),"")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Financiero|"&amp;MID($C194,12,500),rDname_ADM,0),0),"")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Financiero|"&amp;MID($C195,12,500),rDname_ADM,0),0),"")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Financiero|"&amp;MID($C196,12,500),rDname_ADM,0),0),"")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Financiero|"&amp;MID($C197,12,500),rDname_ADM,0),0),"")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Financiero|"&amp;MID($C198,12,500),rDname_ADM,0),0),"")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Financiero|"&amp;MID($C199,12,500),rDname_ADM,0),0),"")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Financiero|"&amp;MID($C200,12,500),rDname_ADM,0),0),"")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Financiero|"&amp;MID($C201,12,500),rDname_ADM,0),0),"")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Financiero|"&amp;MID($C202,12,500),rDname_ADM,0),0),"")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Financiero|"&amp;MID($C203,12,500),rDname_ADM,0),0),"")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Financiero|"&amp;MID($C204,12,500),rDname_ADM,0),0),"")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Financiero|"&amp;MID($C205,12,500),rDname_ADM,0),0),"")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Financiero|"&amp;MID($C206,12,500),rDname_ADM,0),0),"")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Financiero|"&amp;MID($C207,12,500),rDname_ADM,0),0),"")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Financiero|"&amp;MID($C208,12,500),rDname_ADM,0),0),"")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Financiero|"&amp;MID($C209,12,500),rDname_ADM,0),0),"")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Financiero|"&amp;MID($C210,12,500),rDname_ADM,0),0),"")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Financiero|"&amp;MID($C211,12,500),rDname_ADM,0),0),"")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Financiero|"&amp;MID($C212,12,500),rDname_ADM,0),0),"")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Financiero|"&amp;MID($C213,12,500),rDname_ADM,0),0),"")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Financiero|"&amp;MID($C214,12,500),rDname_ADM,0),0),"")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Financiero|"&amp;MID($C215,12,500),rDname_ADM,0),0),"")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Financiero|"&amp;MID($C216,12,500),rDname_ADM,0),0),"")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Financiero|"&amp;MID($C217,12,500),rDname_ADM,0),0),"")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Financiero|"&amp;MID($C218,12,500),rDname_ADM,0),0),"")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Financiero|"&amp;MID($C219,12,500),rDname_ADM,0),0),"")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Financiero|"&amp;MID($C220,12,500),rDname_ADM,0),0),"")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Financiero|"&amp;MID($C221,12,500),rDname_ADM,0),0),"")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Financiero|"&amp;MID($C222,12,500),rDname_ADM,0),0),"")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Financiero|"&amp;MID($C223,12,500),rDname_ADM,0),0),"")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Financiero|"&amp;MID($C224,12,500),rDname_ADM,0),0),"")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Financiero|"&amp;MID($C225,12,500),rDname_ADM,0),0),"")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Financiero|"&amp;MID($C226,12,500),rDname_ADM,0),0),"")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Financiero|"&amp;MID($C227,12,500),rDname_ADM,0),0),"")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Financiero|"&amp;MID($C228,12,500),rDname_ADM,0),0),"")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Financiero|"&amp;MID($C229,12,500),rDname_ADM,0),0),"")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Financiero|"&amp;MID($C230,12,500),rDname_ADM,0),0),"")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Financiero|"&amp;MID($C231,12,500),rDname_ADM,0),0),"")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Financiero|"&amp;MID($C232,12,500),rDname_ADM,0),0),"")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Financiero|"&amp;MID($C233,12,500),rDname_ADM,0),0),"")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Financiero|"&amp;MID($C234,12,500),rDname_ADM,0),0),"")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Financiero|"&amp;MID($C235,12,500),rDname_ADM,0),0),"")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Financiero|"&amp;MID($C236,12,500),rDname_ADM,0),0),"")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Financiero|"&amp;MID($C237,12,500),rDname_ADM,0),0),"")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Financiero|"&amp;MID($C238,12,500),rDname_ADM,0),0),"")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Financiero|"&amp;MID($C239,12,500),rDname_ADM,0),0),"")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Financiero|"&amp;MID($C240,12,500),rDname_ADM,0),0),"")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Financiero|"&amp;MID($C241,12,500),rDname_ADM,0),0),"")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Financiero|"&amp;MID($C242,12,500),rDname_ADM,0),0),"")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Financiero|"&amp;MID($C243,12,500),rDname_ADM,0),0),"")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Financiero|"&amp;MID($C244,12,500),rDname_ADM,0),0),"")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Financiero|"&amp;MID($C245,12,500),rDname_ADM,0),0),"")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Financiero|"&amp;MID($C246,12,500),rDname_ADM,0),0),"")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Financiero|"&amp;MID($C247,12,500),rDname_ADM,0),0),"")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Financiero|"&amp;MID($C248,12,500),rDname_ADM,0),0),"")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Financiero|"&amp;MID($C249,12,500),rDname_ADM,0),0),"")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Financiero|"&amp;MID($C250,12,500),rDname_ADM,0),0),"")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Financiero|"&amp;MID($C251,12,500),rDname_ADM,0),0),"")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Financiero|"&amp;MID($C252,12,500),rDname_ADM,0),0),"")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Financiero|"&amp;MID($C253,12,500),rDname_ADM,0),0),"")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Financiero|"&amp;MID($C254,12,500),rDname_ADM,0),0),"")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Financiero|"&amp;MID($C255,12,500),rDname_ADM,0),0),"")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Financiero|"&amp;MID($C256,12,500),rDname_ADM,0),0),"")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Financiero|"&amp;MID($C257,12,500),rDname_ADM,0),0),"")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Financiero|"&amp;MID($C258,12,500),rDname_ADM,0),0),"")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Financiero|"&amp;MID($C259,12,500),rDname_ADM,0),0),"")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Financiero|"&amp;MID($C260,12,500),rDname_ADM,0),0),"")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Financiero|"&amp;MID($C261,12,500),rDname_ADM,0),0),"")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Financiero|"&amp;MID($C262,12,500),rDname_ADM,0),0),"")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Financiero|"&amp;MID($C263,12,500),rDname_ADM,0),0),"")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Financiero|"&amp;MID($C264,12,500),rDname_ADM,0),0),"")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Financiero|"&amp;MID($C265,12,500),rDname_ADM,0),0),"")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Financiero|"&amp;MID($C266,12,500),rDname_ADM,0),0),"")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Financiero|"&amp;MID($C267,12,500),rDname_ADM,0),0),"")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Financiero|"&amp;MID($C268,12,500),rDname_ADM,0),0),"")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Financiero|"&amp;MID($C269,12,500),rDname_ADM,0),0),"")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Financiero|"&amp;MID($C270,12,500),rDname_ADM,0),0),"")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Financiero|"&amp;MID($C271,12,500),rDname_ADM,0),0),"")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Financiero|"&amp;MID($C272,12,500),rDname_ADM,0),0),"")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Financiero|"&amp;MID($C273,12,500),rDname_ADM,0),0),"")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Financiero|"&amp;MID($C274,12,500),rDname_ADM,0),0),"")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Financiero|"&amp;MID($C275,12,500),rDname_ADM,0),0),"")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Financiero|"&amp;MID($C276,12,500),rDname_ADM,0),0),"")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Financiero|"&amp;MID($C277,12,500),rDname_ADM,0),0),"")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Financiero|"&amp;MID($C278,12,500),rDname_ADM,0),0),"")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Financiero|"&amp;MID($C279,12,500),rDname_ADM,0),0),"")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Financiero|"&amp;MID($C280,12,500),rDname_ADM,0),0),"")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Financiero|"&amp;MID($C281,12,500),rDname_ADM,0),0),"")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Financiero|"&amp;MID($C282,12,500),rDname_ADM,0),0),"")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Financiero|"&amp;MID($C283,12,500),rDname_ADM,0),0),"")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Financiero|"&amp;MID($C284,12,500),rDname_ADM,0),0),"")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Financiero|"&amp;MID($C285,12,500),rDname_ADM,0),0),"")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Financiero|"&amp;MID($C286,12,500),rDname_ADM,0),0),"")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Financiero|"&amp;MID($C287,12,500),rDname_ADM,0),0),"")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Financiero|"&amp;MID($C288,12,500),rDname_ADM,0),0),"")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Financiero|"&amp;MID($C289,12,500),rDname_ADM,0),0),"")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Financiero|"&amp;MID($C290,12,500),rDname_ADM,0),0),"")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Financiero|"&amp;MID($C291,12,500),rDname_ADM,0),0),"")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Financiero|"&amp;MID($C292,12,500),rDname_ADM,0),0),"")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Financiero|"&amp;MID($C293,12,500),rDname_ADM,0),0),"")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Financiero|"&amp;MID($C294,12,500),rDname_ADM,0),0),"")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Financiero|"&amp;MID($C295,12,500),rDname_ADM,0),0),"")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Financiero|"&amp;MID($C296,12,500),rDname_ADM,0),0),"")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Financiero|"&amp;MID($C297,12,500),rDname_ADM,0),0),"")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Financiero|"&amp;MID($C298,12,500),rDname_ADM,0),0),"")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Financiero|"&amp;MID($C299,12,500),rDname_ADM,0),0),"")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Financiero|"&amp;MID($C300,12,500),rDname_ADM,0),0),"")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Financiero|"&amp;MID($C301,12,500),rDname_ADM,0),0),"")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Financiero|"&amp;MID($C302,12,500),rDname_ADM,0),0),"")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Financiero|"&amp;MID($C303,12,500),rDname_ADM,0),0),"")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Financiero|"&amp;MID($C304,12,500),rDname_ADM,0),0),"")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Financiero",'Administración'!$S$5:$S$1000,MesCiclo,'Administración'!$V$5:$V$1000,"Macro")-COUNTIFS('Administración'!$D$5:$D$1000,"Riesgo Financiero",'Administración'!$S$5:$S$1000,MesCiclo,'Administración'!$V$5:$V$1000,"Macro",'Administración'!$AM$5:$AM$1000,"&gt;0"))&gt;0</formula>
    </cfRule>
    <cfRule type="expression" priority="5" dxfId="0">
      <formula>COUNTIFS('Administración'!$D$5:$D$1000,"Riesgo Financiero",'Administración'!$S$5:$S$1000,MesCiclo,'Administración'!$V$5:$V$1000,"Macro")&gt;0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3">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ListaDeleg_RF</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00548235"/>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2" t="inlineStr">
        <is>
          <t>Actividades del mes por semana – Riesgo Financiero</t>
        </is>
      </c>
      <c r="B1" s="82" t="n"/>
      <c r="C1" s="82" t="n"/>
      <c r="D1" s="82" t="n"/>
      <c r="E1" s="82" t="n"/>
      <c r="F1" s="82" t="n"/>
      <c r="G1" s="82" t="n"/>
      <c r="H1" s="82" t="n"/>
      <c r="I1" s="82" t="n"/>
      <c r="J1" s="82" t="n"/>
      <c r="K1" s="82" t="n"/>
      <c r="L1" s="82" t="n"/>
      <c r="M1" s="82" t="n"/>
    </row>
    <row r="2" ht="34" customHeight="1">
      <c r="A2" s="74" t="inlineStr">
        <is>
          <t>HOJA AUTOMÁTICA Y BLOQUEADA: muestra solo las actividades del mes indicado abajo, tomadas de «Cronograma R. Financiero».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9" t="inlineStr">
        <is>
          <t>Semana 1</t>
        </is>
      </c>
      <c r="G4" s="69" t="inlineStr">
        <is>
          <t>Semana 2</t>
        </is>
      </c>
      <c r="H4" s="69" t="inlineStr">
        <is>
          <t>Semana 3</t>
        </is>
      </c>
      <c r="I4" s="69"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Financiero'!$A$5:$A$1000,$N5))</f>
        <v/>
      </c>
      <c r="B5" s="62">
        <f>IF($N5="","",IF($O5="Sub","      ↳  "&amp;INDEX('Cronograma R. Financiero'!$C$5:$C$1000,$N5),INDEX('Cronograma R. Financiero'!$C$5:$C$1000,$N5)&amp;""))</f>
        <v/>
      </c>
      <c r="C5" s="79">
        <f>IF($N5="","",IF(INDEX('Cronograma R. Financiero'!$AR$5:$AR$1000,$N5)="","",INDEX('Cronograma R. Financiero'!$AR$5:$AR$1000,$N5)))</f>
        <v/>
      </c>
      <c r="D5" s="79">
        <f>IF($N5="","",IF(INDEX('Cronograma R. Financiero'!$AS$5:$AS$1000,$N5)="","",INDEX('Cronograma R. Financiero'!$AS$5:$AS$1000,$N5)))</f>
        <v/>
      </c>
      <c r="E5" s="56">
        <f>IF($N5="","",IF(NOT(ISNUMBER($D5)),"",IF($D5&lt;InicioCiclo,"Antes del ciclo",IF($D5&gt;=InicioCiclo+28,"Después del ciclo","Semana "&amp;(INT(($D5-InicioCiclo)/7)+1)))))</f>
        <v/>
      </c>
      <c r="F5" s="61">
        <f>IF($N5="","",IF($P5&gt;0,IF(1&lt;=SemanaActual,INDEX('Cronograma R. Financiero'!$AH$5:$AH$1000,$N5),""),IF(INDEX('Cronograma R. Financiero'!$I$5:$I$1000,$N5)="","",INDEX('Cronograma R. Financiero'!$I$5:$I$1000,$N5))))</f>
        <v/>
      </c>
      <c r="G5" s="61">
        <f>IF($N5="","",IF($P5&gt;0,IF(2&lt;=SemanaActual,INDEX('Cronograma R. Financiero'!$AI$5:$AI$1000,$N5),""),IF(INDEX('Cronograma R. Financiero'!$J$5:$J$1000,$N5)="","",INDEX('Cronograma R. Financiero'!$J$5:$J$1000,$N5))))</f>
        <v/>
      </c>
      <c r="H5" s="61">
        <f>IF($N5="","",IF($P5&gt;0,IF(3&lt;=SemanaActual,INDEX('Cronograma R. Financiero'!$AJ$5:$AJ$1000,$N5),""),IF(INDEX('Cronograma R. Financiero'!$K$5:$K$1000,$N5)="","",INDEX('Cronograma R. Financiero'!$K$5:$K$1000,$N5))))</f>
        <v/>
      </c>
      <c r="I5" s="61">
        <f>IF($N5="","",IF($P5&gt;0,IF(4&lt;=SemanaActual,INDEX('Cronograma R. Financiero'!$AK$5:$AK$1000,$N5),""),IF(INDEX('Cronograma R. Financiero'!$L$5:$L$1000,$N5)="","",INDEX('Cronograma R. Financiero'!$L$5:$L$1000,$N5))))</f>
        <v/>
      </c>
      <c r="J5" s="61">
        <f>IF($N5="","",INDEX('Cronograma R. Financiero'!$M$5:$M$1000,$N5))</f>
        <v/>
      </c>
      <c r="K5" s="56">
        <f>IF($N5="","",IF(N($J5)&gt;=1,"Completado",IF(AND(ISNUMBER($D5),$D5&lt;FechaRef),"Vencida",IF(N($J5)&gt;0,"En curso","Pendiente"))))</f>
        <v/>
      </c>
      <c r="L5" s="56">
        <f>IF($N5="","",INDEX('Cronograma R. Financiero'!$O$5:$O$1000,$N5)&amp;"")</f>
        <v/>
      </c>
      <c r="M5" s="62">
        <f>IF($N5="","",INDEX('Cronograma R. Financiero'!$Q$5:$Q$1000,$N5)&amp;"")</f>
        <v/>
      </c>
      <c r="N5">
        <f>IFERROR(MATCH(ROW()-4,rOrden_RF,0),"")</f>
        <v/>
      </c>
      <c r="O5">
        <f>IF($N5="","",INDEX('Cronograma R. Financiero'!$V$5:$V$1000,$N5))</f>
        <v/>
      </c>
      <c r="P5">
        <f>IF($N5="","",N(INDEX('Cronograma R. Financiero'!$W$5:$W$1000,$N5)))</f>
        <v/>
      </c>
      <c r="Q5">
        <f>IF(OR(LEFT($L5,7)="Vencida",LEFT($L5,5)="Vence"),SUMPRODUCT(--(LEFT($L$5:$L5,7)="Vencida"))+SUMPRODUCT(--(LEFT($L$5:$L5,5)="Vence")),"")</f>
        <v/>
      </c>
    </row>
    <row r="6">
      <c r="A6" s="56">
        <f>IF($N6="","",INDEX('Cronograma R. Financiero'!$A$5:$A$1000,$N6))</f>
        <v/>
      </c>
      <c r="B6" s="62">
        <f>IF($N6="","",IF($O6="Sub","      ↳  "&amp;INDEX('Cronograma R. Financiero'!$C$5:$C$1000,$N6),INDEX('Cronograma R. Financiero'!$C$5:$C$1000,$N6)&amp;""))</f>
        <v/>
      </c>
      <c r="C6" s="79">
        <f>IF($N6="","",IF(INDEX('Cronograma R. Financiero'!$AR$5:$AR$1000,$N6)="","",INDEX('Cronograma R. Financiero'!$AR$5:$AR$1000,$N6)))</f>
        <v/>
      </c>
      <c r="D6" s="79">
        <f>IF($N6="","",IF(INDEX('Cronograma R. Financiero'!$AS$5:$AS$1000,$N6)="","",INDEX('Cronograma R. Financiero'!$AS$5:$AS$1000,$N6)))</f>
        <v/>
      </c>
      <c r="E6" s="56">
        <f>IF($N6="","",IF(NOT(ISNUMBER($D6)),"",IF($D6&lt;InicioCiclo,"Antes del ciclo",IF($D6&gt;=InicioCiclo+28,"Después del ciclo","Semana "&amp;(INT(($D6-InicioCiclo)/7)+1)))))</f>
        <v/>
      </c>
      <c r="F6" s="61">
        <f>IF($N6="","",IF($P6&gt;0,IF(1&lt;=SemanaActual,INDEX('Cronograma R. Financiero'!$AH$5:$AH$1000,$N6),""),IF(INDEX('Cronograma R. Financiero'!$I$5:$I$1000,$N6)="","",INDEX('Cronograma R. Financiero'!$I$5:$I$1000,$N6))))</f>
        <v/>
      </c>
      <c r="G6" s="61">
        <f>IF($N6="","",IF($P6&gt;0,IF(2&lt;=SemanaActual,INDEX('Cronograma R. Financiero'!$AI$5:$AI$1000,$N6),""),IF(INDEX('Cronograma R. Financiero'!$J$5:$J$1000,$N6)="","",INDEX('Cronograma R. Financiero'!$J$5:$J$1000,$N6))))</f>
        <v/>
      </c>
      <c r="H6" s="61">
        <f>IF($N6="","",IF($P6&gt;0,IF(3&lt;=SemanaActual,INDEX('Cronograma R. Financiero'!$AJ$5:$AJ$1000,$N6),""),IF(INDEX('Cronograma R. Financiero'!$K$5:$K$1000,$N6)="","",INDEX('Cronograma R. Financiero'!$K$5:$K$1000,$N6))))</f>
        <v/>
      </c>
      <c r="I6" s="61">
        <f>IF($N6="","",IF($P6&gt;0,IF(4&lt;=SemanaActual,INDEX('Cronograma R. Financiero'!$AK$5:$AK$1000,$N6),""),IF(INDEX('Cronograma R. Financiero'!$L$5:$L$1000,$N6)="","",INDEX('Cronograma R. Financiero'!$L$5:$L$1000,$N6))))</f>
        <v/>
      </c>
      <c r="J6" s="61">
        <f>IF($N6="","",INDEX('Cronograma R. Financiero'!$M$5:$M$1000,$N6))</f>
        <v/>
      </c>
      <c r="K6" s="56">
        <f>IF($N6="","",IF(N($J6)&gt;=1,"Completado",IF(AND(ISNUMBER($D6),$D6&lt;FechaRef),"Vencida",IF(N($J6)&gt;0,"En curso","Pendiente"))))</f>
        <v/>
      </c>
      <c r="L6" s="56">
        <f>IF($N6="","",INDEX('Cronograma R. Financiero'!$O$5:$O$1000,$N6)&amp;"")</f>
        <v/>
      </c>
      <c r="M6" s="62">
        <f>IF($N6="","",INDEX('Cronograma R. Financiero'!$Q$5:$Q$1000,$N6)&amp;"")</f>
        <v/>
      </c>
      <c r="N6">
        <f>IFERROR(MATCH(ROW()-4,rOrden_RF,0),"")</f>
        <v/>
      </c>
      <c r="O6">
        <f>IF($N6="","",INDEX('Cronograma R. Financiero'!$V$5:$V$1000,$N6))</f>
        <v/>
      </c>
      <c r="P6">
        <f>IF($N6="","",N(INDEX('Cronograma R. Financiero'!$W$5:$W$1000,$N6)))</f>
        <v/>
      </c>
      <c r="Q6">
        <f>IF(OR(LEFT($L6,7)="Vencida",LEFT($L6,5)="Vence"),SUMPRODUCT(--(LEFT($L$5:$L6,7)="Vencida"))+SUMPRODUCT(--(LEFT($L$5:$L6,5)="Vence")),"")</f>
        <v/>
      </c>
    </row>
    <row r="7">
      <c r="A7" s="56">
        <f>IF($N7="","",INDEX('Cronograma R. Financiero'!$A$5:$A$1000,$N7))</f>
        <v/>
      </c>
      <c r="B7" s="62">
        <f>IF($N7="","",IF($O7="Sub","      ↳  "&amp;INDEX('Cronograma R. Financiero'!$C$5:$C$1000,$N7),INDEX('Cronograma R. Financiero'!$C$5:$C$1000,$N7)&amp;""))</f>
        <v/>
      </c>
      <c r="C7" s="79">
        <f>IF($N7="","",IF(INDEX('Cronograma R. Financiero'!$AR$5:$AR$1000,$N7)="","",INDEX('Cronograma R. Financiero'!$AR$5:$AR$1000,$N7)))</f>
        <v/>
      </c>
      <c r="D7" s="79">
        <f>IF($N7="","",IF(INDEX('Cronograma R. Financiero'!$AS$5:$AS$1000,$N7)="","",INDEX('Cronograma R. Financiero'!$AS$5:$AS$1000,$N7)))</f>
        <v/>
      </c>
      <c r="E7" s="56">
        <f>IF($N7="","",IF(NOT(ISNUMBER($D7)),"",IF($D7&lt;InicioCiclo,"Antes del ciclo",IF($D7&gt;=InicioCiclo+28,"Después del ciclo","Semana "&amp;(INT(($D7-InicioCiclo)/7)+1)))))</f>
        <v/>
      </c>
      <c r="F7" s="61">
        <f>IF($N7="","",IF($P7&gt;0,IF(1&lt;=SemanaActual,INDEX('Cronograma R. Financiero'!$AH$5:$AH$1000,$N7),""),IF(INDEX('Cronograma R. Financiero'!$I$5:$I$1000,$N7)="","",INDEX('Cronograma R. Financiero'!$I$5:$I$1000,$N7))))</f>
        <v/>
      </c>
      <c r="G7" s="61">
        <f>IF($N7="","",IF($P7&gt;0,IF(2&lt;=SemanaActual,INDEX('Cronograma R. Financiero'!$AI$5:$AI$1000,$N7),""),IF(INDEX('Cronograma R. Financiero'!$J$5:$J$1000,$N7)="","",INDEX('Cronograma R. Financiero'!$J$5:$J$1000,$N7))))</f>
        <v/>
      </c>
      <c r="H7" s="61">
        <f>IF($N7="","",IF($P7&gt;0,IF(3&lt;=SemanaActual,INDEX('Cronograma R. Financiero'!$AJ$5:$AJ$1000,$N7),""),IF(INDEX('Cronograma R. Financiero'!$K$5:$K$1000,$N7)="","",INDEX('Cronograma R. Financiero'!$K$5:$K$1000,$N7))))</f>
        <v/>
      </c>
      <c r="I7" s="61">
        <f>IF($N7="","",IF($P7&gt;0,IF(4&lt;=SemanaActual,INDEX('Cronograma R. Financiero'!$AK$5:$AK$1000,$N7),""),IF(INDEX('Cronograma R. Financiero'!$L$5:$L$1000,$N7)="","",INDEX('Cronograma R. Financiero'!$L$5:$L$1000,$N7))))</f>
        <v/>
      </c>
      <c r="J7" s="61">
        <f>IF($N7="","",INDEX('Cronograma R. Financiero'!$M$5:$M$1000,$N7))</f>
        <v/>
      </c>
      <c r="K7" s="56">
        <f>IF($N7="","",IF(N($J7)&gt;=1,"Completado",IF(AND(ISNUMBER($D7),$D7&lt;FechaRef),"Vencida",IF(N($J7)&gt;0,"En curso","Pendiente"))))</f>
        <v/>
      </c>
      <c r="L7" s="56">
        <f>IF($N7="","",INDEX('Cronograma R. Financiero'!$O$5:$O$1000,$N7)&amp;"")</f>
        <v/>
      </c>
      <c r="M7" s="62">
        <f>IF($N7="","",INDEX('Cronograma R. Financiero'!$Q$5:$Q$1000,$N7)&amp;"")</f>
        <v/>
      </c>
      <c r="N7">
        <f>IFERROR(MATCH(ROW()-4,rOrden_RF,0),"")</f>
        <v/>
      </c>
      <c r="O7">
        <f>IF($N7="","",INDEX('Cronograma R. Financiero'!$V$5:$V$1000,$N7))</f>
        <v/>
      </c>
      <c r="P7">
        <f>IF($N7="","",N(INDEX('Cronograma R. Financiero'!$W$5:$W$1000,$N7)))</f>
        <v/>
      </c>
      <c r="Q7">
        <f>IF(OR(LEFT($L7,7)="Vencida",LEFT($L7,5)="Vence"),SUMPRODUCT(--(LEFT($L$5:$L7,7)="Vencida"))+SUMPRODUCT(--(LEFT($L$5:$L7,5)="Vence")),"")</f>
        <v/>
      </c>
    </row>
    <row r="8">
      <c r="A8" s="56">
        <f>IF($N8="","",INDEX('Cronograma R. Financiero'!$A$5:$A$1000,$N8))</f>
        <v/>
      </c>
      <c r="B8" s="62">
        <f>IF($N8="","",IF($O8="Sub","      ↳  "&amp;INDEX('Cronograma R. Financiero'!$C$5:$C$1000,$N8),INDEX('Cronograma R. Financiero'!$C$5:$C$1000,$N8)&amp;""))</f>
        <v/>
      </c>
      <c r="C8" s="79">
        <f>IF($N8="","",IF(INDEX('Cronograma R. Financiero'!$AR$5:$AR$1000,$N8)="","",INDEX('Cronograma R. Financiero'!$AR$5:$AR$1000,$N8)))</f>
        <v/>
      </c>
      <c r="D8" s="79">
        <f>IF($N8="","",IF(INDEX('Cronograma R. Financiero'!$AS$5:$AS$1000,$N8)="","",INDEX('Cronograma R. Financiero'!$AS$5:$AS$1000,$N8)))</f>
        <v/>
      </c>
      <c r="E8" s="56">
        <f>IF($N8="","",IF(NOT(ISNUMBER($D8)),"",IF($D8&lt;InicioCiclo,"Antes del ciclo",IF($D8&gt;=InicioCiclo+28,"Después del ciclo","Semana "&amp;(INT(($D8-InicioCiclo)/7)+1)))))</f>
        <v/>
      </c>
      <c r="F8" s="61">
        <f>IF($N8="","",IF($P8&gt;0,IF(1&lt;=SemanaActual,INDEX('Cronograma R. Financiero'!$AH$5:$AH$1000,$N8),""),IF(INDEX('Cronograma R. Financiero'!$I$5:$I$1000,$N8)="","",INDEX('Cronograma R. Financiero'!$I$5:$I$1000,$N8))))</f>
        <v/>
      </c>
      <c r="G8" s="61">
        <f>IF($N8="","",IF($P8&gt;0,IF(2&lt;=SemanaActual,INDEX('Cronograma R. Financiero'!$AI$5:$AI$1000,$N8),""),IF(INDEX('Cronograma R. Financiero'!$J$5:$J$1000,$N8)="","",INDEX('Cronograma R. Financiero'!$J$5:$J$1000,$N8))))</f>
        <v/>
      </c>
      <c r="H8" s="61">
        <f>IF($N8="","",IF($P8&gt;0,IF(3&lt;=SemanaActual,INDEX('Cronograma R. Financiero'!$AJ$5:$AJ$1000,$N8),""),IF(INDEX('Cronograma R. Financiero'!$K$5:$K$1000,$N8)="","",INDEX('Cronograma R. Financiero'!$K$5:$K$1000,$N8))))</f>
        <v/>
      </c>
      <c r="I8" s="61">
        <f>IF($N8="","",IF($P8&gt;0,IF(4&lt;=SemanaActual,INDEX('Cronograma R. Financiero'!$AK$5:$AK$1000,$N8),""),IF(INDEX('Cronograma R. Financiero'!$L$5:$L$1000,$N8)="","",INDEX('Cronograma R. Financiero'!$L$5:$L$1000,$N8))))</f>
        <v/>
      </c>
      <c r="J8" s="61">
        <f>IF($N8="","",INDEX('Cronograma R. Financiero'!$M$5:$M$1000,$N8))</f>
        <v/>
      </c>
      <c r="K8" s="56">
        <f>IF($N8="","",IF(N($J8)&gt;=1,"Completado",IF(AND(ISNUMBER($D8),$D8&lt;FechaRef),"Vencida",IF(N($J8)&gt;0,"En curso","Pendiente"))))</f>
        <v/>
      </c>
      <c r="L8" s="56">
        <f>IF($N8="","",INDEX('Cronograma R. Financiero'!$O$5:$O$1000,$N8)&amp;"")</f>
        <v/>
      </c>
      <c r="M8" s="62">
        <f>IF($N8="","",INDEX('Cronograma R. Financiero'!$Q$5:$Q$1000,$N8)&amp;"")</f>
        <v/>
      </c>
      <c r="N8">
        <f>IFERROR(MATCH(ROW()-4,rOrden_RF,0),"")</f>
        <v/>
      </c>
      <c r="O8">
        <f>IF($N8="","",INDEX('Cronograma R. Financiero'!$V$5:$V$1000,$N8))</f>
        <v/>
      </c>
      <c r="P8">
        <f>IF($N8="","",N(INDEX('Cronograma R. Financiero'!$W$5:$W$1000,$N8)))</f>
        <v/>
      </c>
      <c r="Q8">
        <f>IF(OR(LEFT($L8,7)="Vencida",LEFT($L8,5)="Vence"),SUMPRODUCT(--(LEFT($L$5:$L8,7)="Vencida"))+SUMPRODUCT(--(LEFT($L$5:$L8,5)="Vence")),"")</f>
        <v/>
      </c>
    </row>
    <row r="9">
      <c r="A9" s="56">
        <f>IF($N9="","",INDEX('Cronograma R. Financiero'!$A$5:$A$1000,$N9))</f>
        <v/>
      </c>
      <c r="B9" s="62">
        <f>IF($N9="","",IF($O9="Sub","      ↳  "&amp;INDEX('Cronograma R. Financiero'!$C$5:$C$1000,$N9),INDEX('Cronograma R. Financiero'!$C$5:$C$1000,$N9)&amp;""))</f>
        <v/>
      </c>
      <c r="C9" s="79">
        <f>IF($N9="","",IF(INDEX('Cronograma R. Financiero'!$AR$5:$AR$1000,$N9)="","",INDEX('Cronograma R. Financiero'!$AR$5:$AR$1000,$N9)))</f>
        <v/>
      </c>
      <c r="D9" s="79">
        <f>IF($N9="","",IF(INDEX('Cronograma R. Financiero'!$AS$5:$AS$1000,$N9)="","",INDEX('Cronograma R. Financiero'!$AS$5:$AS$1000,$N9)))</f>
        <v/>
      </c>
      <c r="E9" s="56">
        <f>IF($N9="","",IF(NOT(ISNUMBER($D9)),"",IF($D9&lt;InicioCiclo,"Antes del ciclo",IF($D9&gt;=InicioCiclo+28,"Después del ciclo","Semana "&amp;(INT(($D9-InicioCiclo)/7)+1)))))</f>
        <v/>
      </c>
      <c r="F9" s="61">
        <f>IF($N9="","",IF($P9&gt;0,IF(1&lt;=SemanaActual,INDEX('Cronograma R. Financiero'!$AH$5:$AH$1000,$N9),""),IF(INDEX('Cronograma R. Financiero'!$I$5:$I$1000,$N9)="","",INDEX('Cronograma R. Financiero'!$I$5:$I$1000,$N9))))</f>
        <v/>
      </c>
      <c r="G9" s="61">
        <f>IF($N9="","",IF($P9&gt;0,IF(2&lt;=SemanaActual,INDEX('Cronograma R. Financiero'!$AI$5:$AI$1000,$N9),""),IF(INDEX('Cronograma R. Financiero'!$J$5:$J$1000,$N9)="","",INDEX('Cronograma R. Financiero'!$J$5:$J$1000,$N9))))</f>
        <v/>
      </c>
      <c r="H9" s="61">
        <f>IF($N9="","",IF($P9&gt;0,IF(3&lt;=SemanaActual,INDEX('Cronograma R. Financiero'!$AJ$5:$AJ$1000,$N9),""),IF(INDEX('Cronograma R. Financiero'!$K$5:$K$1000,$N9)="","",INDEX('Cronograma R. Financiero'!$K$5:$K$1000,$N9))))</f>
        <v/>
      </c>
      <c r="I9" s="61">
        <f>IF($N9="","",IF($P9&gt;0,IF(4&lt;=SemanaActual,INDEX('Cronograma R. Financiero'!$AK$5:$AK$1000,$N9),""),IF(INDEX('Cronograma R. Financiero'!$L$5:$L$1000,$N9)="","",INDEX('Cronograma R. Financiero'!$L$5:$L$1000,$N9))))</f>
        <v/>
      </c>
      <c r="J9" s="61">
        <f>IF($N9="","",INDEX('Cronograma R. Financiero'!$M$5:$M$1000,$N9))</f>
        <v/>
      </c>
      <c r="K9" s="56">
        <f>IF($N9="","",IF(N($J9)&gt;=1,"Completado",IF(AND(ISNUMBER($D9),$D9&lt;FechaRef),"Vencida",IF(N($J9)&gt;0,"En curso","Pendiente"))))</f>
        <v/>
      </c>
      <c r="L9" s="56">
        <f>IF($N9="","",INDEX('Cronograma R. Financiero'!$O$5:$O$1000,$N9)&amp;"")</f>
        <v/>
      </c>
      <c r="M9" s="62">
        <f>IF($N9="","",INDEX('Cronograma R. Financiero'!$Q$5:$Q$1000,$N9)&amp;"")</f>
        <v/>
      </c>
      <c r="N9">
        <f>IFERROR(MATCH(ROW()-4,rOrden_RF,0),"")</f>
        <v/>
      </c>
      <c r="O9">
        <f>IF($N9="","",INDEX('Cronograma R. Financiero'!$V$5:$V$1000,$N9))</f>
        <v/>
      </c>
      <c r="P9">
        <f>IF($N9="","",N(INDEX('Cronograma R. Financiero'!$W$5:$W$1000,$N9)))</f>
        <v/>
      </c>
      <c r="Q9">
        <f>IF(OR(LEFT($L9,7)="Vencida",LEFT($L9,5)="Vence"),SUMPRODUCT(--(LEFT($L$5:$L9,7)="Vencida"))+SUMPRODUCT(--(LEFT($L$5:$L9,5)="Vence")),"")</f>
        <v/>
      </c>
    </row>
    <row r="10">
      <c r="A10" s="56">
        <f>IF($N10="","",INDEX('Cronograma R. Financiero'!$A$5:$A$1000,$N10))</f>
        <v/>
      </c>
      <c r="B10" s="62">
        <f>IF($N10="","",IF($O10="Sub","      ↳  "&amp;INDEX('Cronograma R. Financiero'!$C$5:$C$1000,$N10),INDEX('Cronograma R. Financiero'!$C$5:$C$1000,$N10)&amp;""))</f>
        <v/>
      </c>
      <c r="C10" s="79">
        <f>IF($N10="","",IF(INDEX('Cronograma R. Financiero'!$AR$5:$AR$1000,$N10)="","",INDEX('Cronograma R. Financiero'!$AR$5:$AR$1000,$N10)))</f>
        <v/>
      </c>
      <c r="D10" s="79">
        <f>IF($N10="","",IF(INDEX('Cronograma R. Financiero'!$AS$5:$AS$1000,$N10)="","",INDEX('Cronograma R. Financiero'!$AS$5:$AS$1000,$N10)))</f>
        <v/>
      </c>
      <c r="E10" s="56">
        <f>IF($N10="","",IF(NOT(ISNUMBER($D10)),"",IF($D10&lt;InicioCiclo,"Antes del ciclo",IF($D10&gt;=InicioCiclo+28,"Después del ciclo","Semana "&amp;(INT(($D10-InicioCiclo)/7)+1)))))</f>
        <v/>
      </c>
      <c r="F10" s="61">
        <f>IF($N10="","",IF($P10&gt;0,IF(1&lt;=SemanaActual,INDEX('Cronograma R. Financiero'!$AH$5:$AH$1000,$N10),""),IF(INDEX('Cronograma R. Financiero'!$I$5:$I$1000,$N10)="","",INDEX('Cronograma R. Financiero'!$I$5:$I$1000,$N10))))</f>
        <v/>
      </c>
      <c r="G10" s="61">
        <f>IF($N10="","",IF($P10&gt;0,IF(2&lt;=SemanaActual,INDEX('Cronograma R. Financiero'!$AI$5:$AI$1000,$N10),""),IF(INDEX('Cronograma R. Financiero'!$J$5:$J$1000,$N10)="","",INDEX('Cronograma R. Financiero'!$J$5:$J$1000,$N10))))</f>
        <v/>
      </c>
      <c r="H10" s="61">
        <f>IF($N10="","",IF($P10&gt;0,IF(3&lt;=SemanaActual,INDEX('Cronograma R. Financiero'!$AJ$5:$AJ$1000,$N10),""),IF(INDEX('Cronograma R. Financiero'!$K$5:$K$1000,$N10)="","",INDEX('Cronograma R. Financiero'!$K$5:$K$1000,$N10))))</f>
        <v/>
      </c>
      <c r="I10" s="61">
        <f>IF($N10="","",IF($P10&gt;0,IF(4&lt;=SemanaActual,INDEX('Cronograma R. Financiero'!$AK$5:$AK$1000,$N10),""),IF(INDEX('Cronograma R. Financiero'!$L$5:$L$1000,$N10)="","",INDEX('Cronograma R. Financiero'!$L$5:$L$1000,$N10))))</f>
        <v/>
      </c>
      <c r="J10" s="61">
        <f>IF($N10="","",INDEX('Cronograma R. Financiero'!$M$5:$M$1000,$N10))</f>
        <v/>
      </c>
      <c r="K10" s="56">
        <f>IF($N10="","",IF(N($J10)&gt;=1,"Completado",IF(AND(ISNUMBER($D10),$D10&lt;FechaRef),"Vencida",IF(N($J10)&gt;0,"En curso","Pendiente"))))</f>
        <v/>
      </c>
      <c r="L10" s="56">
        <f>IF($N10="","",INDEX('Cronograma R. Financiero'!$O$5:$O$1000,$N10)&amp;"")</f>
        <v/>
      </c>
      <c r="M10" s="62">
        <f>IF($N10="","",INDEX('Cronograma R. Financiero'!$Q$5:$Q$1000,$N10)&amp;"")</f>
        <v/>
      </c>
      <c r="N10">
        <f>IFERROR(MATCH(ROW()-4,rOrden_RF,0),"")</f>
        <v/>
      </c>
      <c r="O10">
        <f>IF($N10="","",INDEX('Cronograma R. Financiero'!$V$5:$V$1000,$N10))</f>
        <v/>
      </c>
      <c r="P10">
        <f>IF($N10="","",N(INDEX('Cronograma R. Financiero'!$W$5:$W$1000,$N10)))</f>
        <v/>
      </c>
      <c r="Q10">
        <f>IF(OR(LEFT($L10,7)="Vencida",LEFT($L10,5)="Vence"),SUMPRODUCT(--(LEFT($L$5:$L10,7)="Vencida"))+SUMPRODUCT(--(LEFT($L$5:$L10,5)="Vence")),"")</f>
        <v/>
      </c>
    </row>
    <row r="11">
      <c r="A11" s="56">
        <f>IF($N11="","",INDEX('Cronograma R. Financiero'!$A$5:$A$1000,$N11))</f>
        <v/>
      </c>
      <c r="B11" s="62">
        <f>IF($N11="","",IF($O11="Sub","      ↳  "&amp;INDEX('Cronograma R. Financiero'!$C$5:$C$1000,$N11),INDEX('Cronograma R. Financiero'!$C$5:$C$1000,$N11)&amp;""))</f>
        <v/>
      </c>
      <c r="C11" s="79">
        <f>IF($N11="","",IF(INDEX('Cronograma R. Financiero'!$AR$5:$AR$1000,$N11)="","",INDEX('Cronograma R. Financiero'!$AR$5:$AR$1000,$N11)))</f>
        <v/>
      </c>
      <c r="D11" s="79">
        <f>IF($N11="","",IF(INDEX('Cronograma R. Financiero'!$AS$5:$AS$1000,$N11)="","",INDEX('Cronograma R. Financiero'!$AS$5:$AS$1000,$N11)))</f>
        <v/>
      </c>
      <c r="E11" s="56">
        <f>IF($N11="","",IF(NOT(ISNUMBER($D11)),"",IF($D11&lt;InicioCiclo,"Antes del ciclo",IF($D11&gt;=InicioCiclo+28,"Después del ciclo","Semana "&amp;(INT(($D11-InicioCiclo)/7)+1)))))</f>
        <v/>
      </c>
      <c r="F11" s="61">
        <f>IF($N11="","",IF($P11&gt;0,IF(1&lt;=SemanaActual,INDEX('Cronograma R. Financiero'!$AH$5:$AH$1000,$N11),""),IF(INDEX('Cronograma R. Financiero'!$I$5:$I$1000,$N11)="","",INDEX('Cronograma R. Financiero'!$I$5:$I$1000,$N11))))</f>
        <v/>
      </c>
      <c r="G11" s="61">
        <f>IF($N11="","",IF($P11&gt;0,IF(2&lt;=SemanaActual,INDEX('Cronograma R. Financiero'!$AI$5:$AI$1000,$N11),""),IF(INDEX('Cronograma R. Financiero'!$J$5:$J$1000,$N11)="","",INDEX('Cronograma R. Financiero'!$J$5:$J$1000,$N11))))</f>
        <v/>
      </c>
      <c r="H11" s="61">
        <f>IF($N11="","",IF($P11&gt;0,IF(3&lt;=SemanaActual,INDEX('Cronograma R. Financiero'!$AJ$5:$AJ$1000,$N11),""),IF(INDEX('Cronograma R. Financiero'!$K$5:$K$1000,$N11)="","",INDEX('Cronograma R. Financiero'!$K$5:$K$1000,$N11))))</f>
        <v/>
      </c>
      <c r="I11" s="61">
        <f>IF($N11="","",IF($P11&gt;0,IF(4&lt;=SemanaActual,INDEX('Cronograma R. Financiero'!$AK$5:$AK$1000,$N11),""),IF(INDEX('Cronograma R. Financiero'!$L$5:$L$1000,$N11)="","",INDEX('Cronograma R. Financiero'!$L$5:$L$1000,$N11))))</f>
        <v/>
      </c>
      <c r="J11" s="61">
        <f>IF($N11="","",INDEX('Cronograma R. Financiero'!$M$5:$M$1000,$N11))</f>
        <v/>
      </c>
      <c r="K11" s="56">
        <f>IF($N11="","",IF(N($J11)&gt;=1,"Completado",IF(AND(ISNUMBER($D11),$D11&lt;FechaRef),"Vencida",IF(N($J11)&gt;0,"En curso","Pendiente"))))</f>
        <v/>
      </c>
      <c r="L11" s="56">
        <f>IF($N11="","",INDEX('Cronograma R. Financiero'!$O$5:$O$1000,$N11)&amp;"")</f>
        <v/>
      </c>
      <c r="M11" s="62">
        <f>IF($N11="","",INDEX('Cronograma R. Financiero'!$Q$5:$Q$1000,$N11)&amp;"")</f>
        <v/>
      </c>
      <c r="N11">
        <f>IFERROR(MATCH(ROW()-4,rOrden_RF,0),"")</f>
        <v/>
      </c>
      <c r="O11">
        <f>IF($N11="","",INDEX('Cronograma R. Financiero'!$V$5:$V$1000,$N11))</f>
        <v/>
      </c>
      <c r="P11">
        <f>IF($N11="","",N(INDEX('Cronograma R. Financiero'!$W$5:$W$1000,$N11)))</f>
        <v/>
      </c>
      <c r="Q11">
        <f>IF(OR(LEFT($L11,7)="Vencida",LEFT($L11,5)="Vence"),SUMPRODUCT(--(LEFT($L$5:$L11,7)="Vencida"))+SUMPRODUCT(--(LEFT($L$5:$L11,5)="Vence")),"")</f>
        <v/>
      </c>
    </row>
    <row r="12">
      <c r="A12" s="56">
        <f>IF($N12="","",INDEX('Cronograma R. Financiero'!$A$5:$A$1000,$N12))</f>
        <v/>
      </c>
      <c r="B12" s="62">
        <f>IF($N12="","",IF($O12="Sub","      ↳  "&amp;INDEX('Cronograma R. Financiero'!$C$5:$C$1000,$N12),INDEX('Cronograma R. Financiero'!$C$5:$C$1000,$N12)&amp;""))</f>
        <v/>
      </c>
      <c r="C12" s="79">
        <f>IF($N12="","",IF(INDEX('Cronograma R. Financiero'!$AR$5:$AR$1000,$N12)="","",INDEX('Cronograma R. Financiero'!$AR$5:$AR$1000,$N12)))</f>
        <v/>
      </c>
      <c r="D12" s="79">
        <f>IF($N12="","",IF(INDEX('Cronograma R. Financiero'!$AS$5:$AS$1000,$N12)="","",INDEX('Cronograma R. Financiero'!$AS$5:$AS$1000,$N12)))</f>
        <v/>
      </c>
      <c r="E12" s="56">
        <f>IF($N12="","",IF(NOT(ISNUMBER($D12)),"",IF($D12&lt;InicioCiclo,"Antes del ciclo",IF($D12&gt;=InicioCiclo+28,"Después del ciclo","Semana "&amp;(INT(($D12-InicioCiclo)/7)+1)))))</f>
        <v/>
      </c>
      <c r="F12" s="61">
        <f>IF($N12="","",IF($P12&gt;0,IF(1&lt;=SemanaActual,INDEX('Cronograma R. Financiero'!$AH$5:$AH$1000,$N12),""),IF(INDEX('Cronograma R. Financiero'!$I$5:$I$1000,$N12)="","",INDEX('Cronograma R. Financiero'!$I$5:$I$1000,$N12))))</f>
        <v/>
      </c>
      <c r="G12" s="61">
        <f>IF($N12="","",IF($P12&gt;0,IF(2&lt;=SemanaActual,INDEX('Cronograma R. Financiero'!$AI$5:$AI$1000,$N12),""),IF(INDEX('Cronograma R. Financiero'!$J$5:$J$1000,$N12)="","",INDEX('Cronograma R. Financiero'!$J$5:$J$1000,$N12))))</f>
        <v/>
      </c>
      <c r="H12" s="61">
        <f>IF($N12="","",IF($P12&gt;0,IF(3&lt;=SemanaActual,INDEX('Cronograma R. Financiero'!$AJ$5:$AJ$1000,$N12),""),IF(INDEX('Cronograma R. Financiero'!$K$5:$K$1000,$N12)="","",INDEX('Cronograma R. Financiero'!$K$5:$K$1000,$N12))))</f>
        <v/>
      </c>
      <c r="I12" s="61">
        <f>IF($N12="","",IF($P12&gt;0,IF(4&lt;=SemanaActual,INDEX('Cronograma R. Financiero'!$AK$5:$AK$1000,$N12),""),IF(INDEX('Cronograma R. Financiero'!$L$5:$L$1000,$N12)="","",INDEX('Cronograma R. Financiero'!$L$5:$L$1000,$N12))))</f>
        <v/>
      </c>
      <c r="J12" s="61">
        <f>IF($N12="","",INDEX('Cronograma R. Financiero'!$M$5:$M$1000,$N12))</f>
        <v/>
      </c>
      <c r="K12" s="56">
        <f>IF($N12="","",IF(N($J12)&gt;=1,"Completado",IF(AND(ISNUMBER($D12),$D12&lt;FechaRef),"Vencida",IF(N($J12)&gt;0,"En curso","Pendiente"))))</f>
        <v/>
      </c>
      <c r="L12" s="56">
        <f>IF($N12="","",INDEX('Cronograma R. Financiero'!$O$5:$O$1000,$N12)&amp;"")</f>
        <v/>
      </c>
      <c r="M12" s="62">
        <f>IF($N12="","",INDEX('Cronograma R. Financiero'!$Q$5:$Q$1000,$N12)&amp;"")</f>
        <v/>
      </c>
      <c r="N12">
        <f>IFERROR(MATCH(ROW()-4,rOrden_RF,0),"")</f>
        <v/>
      </c>
      <c r="O12">
        <f>IF($N12="","",INDEX('Cronograma R. Financiero'!$V$5:$V$1000,$N12))</f>
        <v/>
      </c>
      <c r="P12">
        <f>IF($N12="","",N(INDEX('Cronograma R. Financiero'!$W$5:$W$1000,$N12)))</f>
        <v/>
      </c>
      <c r="Q12">
        <f>IF(OR(LEFT($L12,7)="Vencida",LEFT($L12,5)="Vence"),SUMPRODUCT(--(LEFT($L$5:$L12,7)="Vencida"))+SUMPRODUCT(--(LEFT($L$5:$L12,5)="Vence")),"")</f>
        <v/>
      </c>
    </row>
    <row r="13">
      <c r="A13" s="56">
        <f>IF($N13="","",INDEX('Cronograma R. Financiero'!$A$5:$A$1000,$N13))</f>
        <v/>
      </c>
      <c r="B13" s="62">
        <f>IF($N13="","",IF($O13="Sub","      ↳  "&amp;INDEX('Cronograma R. Financiero'!$C$5:$C$1000,$N13),INDEX('Cronograma R. Financiero'!$C$5:$C$1000,$N13)&amp;""))</f>
        <v/>
      </c>
      <c r="C13" s="79">
        <f>IF($N13="","",IF(INDEX('Cronograma R. Financiero'!$AR$5:$AR$1000,$N13)="","",INDEX('Cronograma R. Financiero'!$AR$5:$AR$1000,$N13)))</f>
        <v/>
      </c>
      <c r="D13" s="79">
        <f>IF($N13="","",IF(INDEX('Cronograma R. Financiero'!$AS$5:$AS$1000,$N13)="","",INDEX('Cronograma R. Financiero'!$AS$5:$AS$1000,$N13)))</f>
        <v/>
      </c>
      <c r="E13" s="56">
        <f>IF($N13="","",IF(NOT(ISNUMBER($D13)),"",IF($D13&lt;InicioCiclo,"Antes del ciclo",IF($D13&gt;=InicioCiclo+28,"Después del ciclo","Semana "&amp;(INT(($D13-InicioCiclo)/7)+1)))))</f>
        <v/>
      </c>
      <c r="F13" s="61">
        <f>IF($N13="","",IF($P13&gt;0,IF(1&lt;=SemanaActual,INDEX('Cronograma R. Financiero'!$AH$5:$AH$1000,$N13),""),IF(INDEX('Cronograma R. Financiero'!$I$5:$I$1000,$N13)="","",INDEX('Cronograma R. Financiero'!$I$5:$I$1000,$N13))))</f>
        <v/>
      </c>
      <c r="G13" s="61">
        <f>IF($N13="","",IF($P13&gt;0,IF(2&lt;=SemanaActual,INDEX('Cronograma R. Financiero'!$AI$5:$AI$1000,$N13),""),IF(INDEX('Cronograma R. Financiero'!$J$5:$J$1000,$N13)="","",INDEX('Cronograma R. Financiero'!$J$5:$J$1000,$N13))))</f>
        <v/>
      </c>
      <c r="H13" s="61">
        <f>IF($N13="","",IF($P13&gt;0,IF(3&lt;=SemanaActual,INDEX('Cronograma R. Financiero'!$AJ$5:$AJ$1000,$N13),""),IF(INDEX('Cronograma R. Financiero'!$K$5:$K$1000,$N13)="","",INDEX('Cronograma R. Financiero'!$K$5:$K$1000,$N13))))</f>
        <v/>
      </c>
      <c r="I13" s="61">
        <f>IF($N13="","",IF($P13&gt;0,IF(4&lt;=SemanaActual,INDEX('Cronograma R. Financiero'!$AK$5:$AK$1000,$N13),""),IF(INDEX('Cronograma R. Financiero'!$L$5:$L$1000,$N13)="","",INDEX('Cronograma R. Financiero'!$L$5:$L$1000,$N13))))</f>
        <v/>
      </c>
      <c r="J13" s="61">
        <f>IF($N13="","",INDEX('Cronograma R. Financiero'!$M$5:$M$1000,$N13))</f>
        <v/>
      </c>
      <c r="K13" s="56">
        <f>IF($N13="","",IF(N($J13)&gt;=1,"Completado",IF(AND(ISNUMBER($D13),$D13&lt;FechaRef),"Vencida",IF(N($J13)&gt;0,"En curso","Pendiente"))))</f>
        <v/>
      </c>
      <c r="L13" s="56">
        <f>IF($N13="","",INDEX('Cronograma R. Financiero'!$O$5:$O$1000,$N13)&amp;"")</f>
        <v/>
      </c>
      <c r="M13" s="62">
        <f>IF($N13="","",INDEX('Cronograma R. Financiero'!$Q$5:$Q$1000,$N13)&amp;"")</f>
        <v/>
      </c>
      <c r="N13">
        <f>IFERROR(MATCH(ROW()-4,rOrden_RF,0),"")</f>
        <v/>
      </c>
      <c r="O13">
        <f>IF($N13="","",INDEX('Cronograma R. Financiero'!$V$5:$V$1000,$N13))</f>
        <v/>
      </c>
      <c r="P13">
        <f>IF($N13="","",N(INDEX('Cronograma R. Financiero'!$W$5:$W$1000,$N13)))</f>
        <v/>
      </c>
      <c r="Q13">
        <f>IF(OR(LEFT($L13,7)="Vencida",LEFT($L13,5)="Vence"),SUMPRODUCT(--(LEFT($L$5:$L13,7)="Vencida"))+SUMPRODUCT(--(LEFT($L$5:$L13,5)="Vence")),"")</f>
        <v/>
      </c>
    </row>
    <row r="14">
      <c r="A14" s="56">
        <f>IF($N14="","",INDEX('Cronograma R. Financiero'!$A$5:$A$1000,$N14))</f>
        <v/>
      </c>
      <c r="B14" s="62">
        <f>IF($N14="","",IF($O14="Sub","      ↳  "&amp;INDEX('Cronograma R. Financiero'!$C$5:$C$1000,$N14),INDEX('Cronograma R. Financiero'!$C$5:$C$1000,$N14)&amp;""))</f>
        <v/>
      </c>
      <c r="C14" s="79">
        <f>IF($N14="","",IF(INDEX('Cronograma R. Financiero'!$AR$5:$AR$1000,$N14)="","",INDEX('Cronograma R. Financiero'!$AR$5:$AR$1000,$N14)))</f>
        <v/>
      </c>
      <c r="D14" s="79">
        <f>IF($N14="","",IF(INDEX('Cronograma R. Financiero'!$AS$5:$AS$1000,$N14)="","",INDEX('Cronograma R. Financiero'!$AS$5:$AS$1000,$N14)))</f>
        <v/>
      </c>
      <c r="E14" s="56">
        <f>IF($N14="","",IF(NOT(ISNUMBER($D14)),"",IF($D14&lt;InicioCiclo,"Antes del ciclo",IF($D14&gt;=InicioCiclo+28,"Después del ciclo","Semana "&amp;(INT(($D14-InicioCiclo)/7)+1)))))</f>
        <v/>
      </c>
      <c r="F14" s="61">
        <f>IF($N14="","",IF($P14&gt;0,IF(1&lt;=SemanaActual,INDEX('Cronograma R. Financiero'!$AH$5:$AH$1000,$N14),""),IF(INDEX('Cronograma R. Financiero'!$I$5:$I$1000,$N14)="","",INDEX('Cronograma R. Financiero'!$I$5:$I$1000,$N14))))</f>
        <v/>
      </c>
      <c r="G14" s="61">
        <f>IF($N14="","",IF($P14&gt;0,IF(2&lt;=SemanaActual,INDEX('Cronograma R. Financiero'!$AI$5:$AI$1000,$N14),""),IF(INDEX('Cronograma R. Financiero'!$J$5:$J$1000,$N14)="","",INDEX('Cronograma R. Financiero'!$J$5:$J$1000,$N14))))</f>
        <v/>
      </c>
      <c r="H14" s="61">
        <f>IF($N14="","",IF($P14&gt;0,IF(3&lt;=SemanaActual,INDEX('Cronograma R. Financiero'!$AJ$5:$AJ$1000,$N14),""),IF(INDEX('Cronograma R. Financiero'!$K$5:$K$1000,$N14)="","",INDEX('Cronograma R. Financiero'!$K$5:$K$1000,$N14))))</f>
        <v/>
      </c>
      <c r="I14" s="61">
        <f>IF($N14="","",IF($P14&gt;0,IF(4&lt;=SemanaActual,INDEX('Cronograma R. Financiero'!$AK$5:$AK$1000,$N14),""),IF(INDEX('Cronograma R. Financiero'!$L$5:$L$1000,$N14)="","",INDEX('Cronograma R. Financiero'!$L$5:$L$1000,$N14))))</f>
        <v/>
      </c>
      <c r="J14" s="61">
        <f>IF($N14="","",INDEX('Cronograma R. Financiero'!$M$5:$M$1000,$N14))</f>
        <v/>
      </c>
      <c r="K14" s="56">
        <f>IF($N14="","",IF(N($J14)&gt;=1,"Completado",IF(AND(ISNUMBER($D14),$D14&lt;FechaRef),"Vencida",IF(N($J14)&gt;0,"En curso","Pendiente"))))</f>
        <v/>
      </c>
      <c r="L14" s="56">
        <f>IF($N14="","",INDEX('Cronograma R. Financiero'!$O$5:$O$1000,$N14)&amp;"")</f>
        <v/>
      </c>
      <c r="M14" s="62">
        <f>IF($N14="","",INDEX('Cronograma R. Financiero'!$Q$5:$Q$1000,$N14)&amp;"")</f>
        <v/>
      </c>
      <c r="N14">
        <f>IFERROR(MATCH(ROW()-4,rOrden_RF,0),"")</f>
        <v/>
      </c>
      <c r="O14">
        <f>IF($N14="","",INDEX('Cronograma R. Financiero'!$V$5:$V$1000,$N14))</f>
        <v/>
      </c>
      <c r="P14">
        <f>IF($N14="","",N(INDEX('Cronograma R. Financiero'!$W$5:$W$1000,$N14)))</f>
        <v/>
      </c>
      <c r="Q14">
        <f>IF(OR(LEFT($L14,7)="Vencida",LEFT($L14,5)="Vence"),SUMPRODUCT(--(LEFT($L$5:$L14,7)="Vencida"))+SUMPRODUCT(--(LEFT($L$5:$L14,5)="Vence")),"")</f>
        <v/>
      </c>
    </row>
    <row r="15">
      <c r="A15" s="56">
        <f>IF($N15="","",INDEX('Cronograma R. Financiero'!$A$5:$A$1000,$N15))</f>
        <v/>
      </c>
      <c r="B15" s="62">
        <f>IF($N15="","",IF($O15="Sub","      ↳  "&amp;INDEX('Cronograma R. Financiero'!$C$5:$C$1000,$N15),INDEX('Cronograma R. Financiero'!$C$5:$C$1000,$N15)&amp;""))</f>
        <v/>
      </c>
      <c r="C15" s="79">
        <f>IF($N15="","",IF(INDEX('Cronograma R. Financiero'!$AR$5:$AR$1000,$N15)="","",INDEX('Cronograma R. Financiero'!$AR$5:$AR$1000,$N15)))</f>
        <v/>
      </c>
      <c r="D15" s="79">
        <f>IF($N15="","",IF(INDEX('Cronograma R. Financiero'!$AS$5:$AS$1000,$N15)="","",INDEX('Cronograma R. Financiero'!$AS$5:$AS$1000,$N15)))</f>
        <v/>
      </c>
      <c r="E15" s="56">
        <f>IF($N15="","",IF(NOT(ISNUMBER($D15)),"",IF($D15&lt;InicioCiclo,"Antes del ciclo",IF($D15&gt;=InicioCiclo+28,"Después del ciclo","Semana "&amp;(INT(($D15-InicioCiclo)/7)+1)))))</f>
        <v/>
      </c>
      <c r="F15" s="61">
        <f>IF($N15="","",IF($P15&gt;0,IF(1&lt;=SemanaActual,INDEX('Cronograma R. Financiero'!$AH$5:$AH$1000,$N15),""),IF(INDEX('Cronograma R. Financiero'!$I$5:$I$1000,$N15)="","",INDEX('Cronograma R. Financiero'!$I$5:$I$1000,$N15))))</f>
        <v/>
      </c>
      <c r="G15" s="61">
        <f>IF($N15="","",IF($P15&gt;0,IF(2&lt;=SemanaActual,INDEX('Cronograma R. Financiero'!$AI$5:$AI$1000,$N15),""),IF(INDEX('Cronograma R. Financiero'!$J$5:$J$1000,$N15)="","",INDEX('Cronograma R. Financiero'!$J$5:$J$1000,$N15))))</f>
        <v/>
      </c>
      <c r="H15" s="61">
        <f>IF($N15="","",IF($P15&gt;0,IF(3&lt;=SemanaActual,INDEX('Cronograma R. Financiero'!$AJ$5:$AJ$1000,$N15),""),IF(INDEX('Cronograma R. Financiero'!$K$5:$K$1000,$N15)="","",INDEX('Cronograma R. Financiero'!$K$5:$K$1000,$N15))))</f>
        <v/>
      </c>
      <c r="I15" s="61">
        <f>IF($N15="","",IF($P15&gt;0,IF(4&lt;=SemanaActual,INDEX('Cronograma R. Financiero'!$AK$5:$AK$1000,$N15),""),IF(INDEX('Cronograma R. Financiero'!$L$5:$L$1000,$N15)="","",INDEX('Cronograma R. Financiero'!$L$5:$L$1000,$N15))))</f>
        <v/>
      </c>
      <c r="J15" s="61">
        <f>IF($N15="","",INDEX('Cronograma R. Financiero'!$M$5:$M$1000,$N15))</f>
        <v/>
      </c>
      <c r="K15" s="56">
        <f>IF($N15="","",IF(N($J15)&gt;=1,"Completado",IF(AND(ISNUMBER($D15),$D15&lt;FechaRef),"Vencida",IF(N($J15)&gt;0,"En curso","Pendiente"))))</f>
        <v/>
      </c>
      <c r="L15" s="56">
        <f>IF($N15="","",INDEX('Cronograma R. Financiero'!$O$5:$O$1000,$N15)&amp;"")</f>
        <v/>
      </c>
      <c r="M15" s="62">
        <f>IF($N15="","",INDEX('Cronograma R. Financiero'!$Q$5:$Q$1000,$N15)&amp;"")</f>
        <v/>
      </c>
      <c r="N15">
        <f>IFERROR(MATCH(ROW()-4,rOrden_RF,0),"")</f>
        <v/>
      </c>
      <c r="O15">
        <f>IF($N15="","",INDEX('Cronograma R. Financiero'!$V$5:$V$1000,$N15))</f>
        <v/>
      </c>
      <c r="P15">
        <f>IF($N15="","",N(INDEX('Cronograma R. Financiero'!$W$5:$W$1000,$N15)))</f>
        <v/>
      </c>
      <c r="Q15">
        <f>IF(OR(LEFT($L15,7)="Vencida",LEFT($L15,5)="Vence"),SUMPRODUCT(--(LEFT($L$5:$L15,7)="Vencida"))+SUMPRODUCT(--(LEFT($L$5:$L15,5)="Vence")),"")</f>
        <v/>
      </c>
    </row>
    <row r="16">
      <c r="A16" s="56">
        <f>IF($N16="","",INDEX('Cronograma R. Financiero'!$A$5:$A$1000,$N16))</f>
        <v/>
      </c>
      <c r="B16" s="62">
        <f>IF($N16="","",IF($O16="Sub","      ↳  "&amp;INDEX('Cronograma R. Financiero'!$C$5:$C$1000,$N16),INDEX('Cronograma R. Financiero'!$C$5:$C$1000,$N16)&amp;""))</f>
        <v/>
      </c>
      <c r="C16" s="79">
        <f>IF($N16="","",IF(INDEX('Cronograma R. Financiero'!$AR$5:$AR$1000,$N16)="","",INDEX('Cronograma R. Financiero'!$AR$5:$AR$1000,$N16)))</f>
        <v/>
      </c>
      <c r="D16" s="79">
        <f>IF($N16="","",IF(INDEX('Cronograma R. Financiero'!$AS$5:$AS$1000,$N16)="","",INDEX('Cronograma R. Financiero'!$AS$5:$AS$1000,$N16)))</f>
        <v/>
      </c>
      <c r="E16" s="56">
        <f>IF($N16="","",IF(NOT(ISNUMBER($D16)),"",IF($D16&lt;InicioCiclo,"Antes del ciclo",IF($D16&gt;=InicioCiclo+28,"Después del ciclo","Semana "&amp;(INT(($D16-InicioCiclo)/7)+1)))))</f>
        <v/>
      </c>
      <c r="F16" s="61">
        <f>IF($N16="","",IF($P16&gt;0,IF(1&lt;=SemanaActual,INDEX('Cronograma R. Financiero'!$AH$5:$AH$1000,$N16),""),IF(INDEX('Cronograma R. Financiero'!$I$5:$I$1000,$N16)="","",INDEX('Cronograma R. Financiero'!$I$5:$I$1000,$N16))))</f>
        <v/>
      </c>
      <c r="G16" s="61">
        <f>IF($N16="","",IF($P16&gt;0,IF(2&lt;=SemanaActual,INDEX('Cronograma R. Financiero'!$AI$5:$AI$1000,$N16),""),IF(INDEX('Cronograma R. Financiero'!$J$5:$J$1000,$N16)="","",INDEX('Cronograma R. Financiero'!$J$5:$J$1000,$N16))))</f>
        <v/>
      </c>
      <c r="H16" s="61">
        <f>IF($N16="","",IF($P16&gt;0,IF(3&lt;=SemanaActual,INDEX('Cronograma R. Financiero'!$AJ$5:$AJ$1000,$N16),""),IF(INDEX('Cronograma R. Financiero'!$K$5:$K$1000,$N16)="","",INDEX('Cronograma R. Financiero'!$K$5:$K$1000,$N16))))</f>
        <v/>
      </c>
      <c r="I16" s="61">
        <f>IF($N16="","",IF($P16&gt;0,IF(4&lt;=SemanaActual,INDEX('Cronograma R. Financiero'!$AK$5:$AK$1000,$N16),""),IF(INDEX('Cronograma R. Financiero'!$L$5:$L$1000,$N16)="","",INDEX('Cronograma R. Financiero'!$L$5:$L$1000,$N16))))</f>
        <v/>
      </c>
      <c r="J16" s="61">
        <f>IF($N16="","",INDEX('Cronograma R. Financiero'!$M$5:$M$1000,$N16))</f>
        <v/>
      </c>
      <c r="K16" s="56">
        <f>IF($N16="","",IF(N($J16)&gt;=1,"Completado",IF(AND(ISNUMBER($D16),$D16&lt;FechaRef),"Vencida",IF(N($J16)&gt;0,"En curso","Pendiente"))))</f>
        <v/>
      </c>
      <c r="L16" s="56">
        <f>IF($N16="","",INDEX('Cronograma R. Financiero'!$O$5:$O$1000,$N16)&amp;"")</f>
        <v/>
      </c>
      <c r="M16" s="62">
        <f>IF($N16="","",INDEX('Cronograma R. Financiero'!$Q$5:$Q$1000,$N16)&amp;"")</f>
        <v/>
      </c>
      <c r="N16">
        <f>IFERROR(MATCH(ROW()-4,rOrden_RF,0),"")</f>
        <v/>
      </c>
      <c r="O16">
        <f>IF($N16="","",INDEX('Cronograma R. Financiero'!$V$5:$V$1000,$N16))</f>
        <v/>
      </c>
      <c r="P16">
        <f>IF($N16="","",N(INDEX('Cronograma R. Financiero'!$W$5:$W$1000,$N16)))</f>
        <v/>
      </c>
      <c r="Q16">
        <f>IF(OR(LEFT($L16,7)="Vencida",LEFT($L16,5)="Vence"),SUMPRODUCT(--(LEFT($L$5:$L16,7)="Vencida"))+SUMPRODUCT(--(LEFT($L$5:$L16,5)="Vence")),"")</f>
        <v/>
      </c>
    </row>
    <row r="17">
      <c r="A17" s="56">
        <f>IF($N17="","",INDEX('Cronograma R. Financiero'!$A$5:$A$1000,$N17))</f>
        <v/>
      </c>
      <c r="B17" s="62">
        <f>IF($N17="","",IF($O17="Sub","      ↳  "&amp;INDEX('Cronograma R. Financiero'!$C$5:$C$1000,$N17),INDEX('Cronograma R. Financiero'!$C$5:$C$1000,$N17)&amp;""))</f>
        <v/>
      </c>
      <c r="C17" s="79">
        <f>IF($N17="","",IF(INDEX('Cronograma R. Financiero'!$AR$5:$AR$1000,$N17)="","",INDEX('Cronograma R. Financiero'!$AR$5:$AR$1000,$N17)))</f>
        <v/>
      </c>
      <c r="D17" s="79">
        <f>IF($N17="","",IF(INDEX('Cronograma R. Financiero'!$AS$5:$AS$1000,$N17)="","",INDEX('Cronograma R. Financiero'!$AS$5:$AS$1000,$N17)))</f>
        <v/>
      </c>
      <c r="E17" s="56">
        <f>IF($N17="","",IF(NOT(ISNUMBER($D17)),"",IF($D17&lt;InicioCiclo,"Antes del ciclo",IF($D17&gt;=InicioCiclo+28,"Después del ciclo","Semana "&amp;(INT(($D17-InicioCiclo)/7)+1)))))</f>
        <v/>
      </c>
      <c r="F17" s="61">
        <f>IF($N17="","",IF($P17&gt;0,IF(1&lt;=SemanaActual,INDEX('Cronograma R. Financiero'!$AH$5:$AH$1000,$N17),""),IF(INDEX('Cronograma R. Financiero'!$I$5:$I$1000,$N17)="","",INDEX('Cronograma R. Financiero'!$I$5:$I$1000,$N17))))</f>
        <v/>
      </c>
      <c r="G17" s="61">
        <f>IF($N17="","",IF($P17&gt;0,IF(2&lt;=SemanaActual,INDEX('Cronograma R. Financiero'!$AI$5:$AI$1000,$N17),""),IF(INDEX('Cronograma R. Financiero'!$J$5:$J$1000,$N17)="","",INDEX('Cronograma R. Financiero'!$J$5:$J$1000,$N17))))</f>
        <v/>
      </c>
      <c r="H17" s="61">
        <f>IF($N17="","",IF($P17&gt;0,IF(3&lt;=SemanaActual,INDEX('Cronograma R. Financiero'!$AJ$5:$AJ$1000,$N17),""),IF(INDEX('Cronograma R. Financiero'!$K$5:$K$1000,$N17)="","",INDEX('Cronograma R. Financiero'!$K$5:$K$1000,$N17))))</f>
        <v/>
      </c>
      <c r="I17" s="61">
        <f>IF($N17="","",IF($P17&gt;0,IF(4&lt;=SemanaActual,INDEX('Cronograma R. Financiero'!$AK$5:$AK$1000,$N17),""),IF(INDEX('Cronograma R. Financiero'!$L$5:$L$1000,$N17)="","",INDEX('Cronograma R. Financiero'!$L$5:$L$1000,$N17))))</f>
        <v/>
      </c>
      <c r="J17" s="61">
        <f>IF($N17="","",INDEX('Cronograma R. Financiero'!$M$5:$M$1000,$N17))</f>
        <v/>
      </c>
      <c r="K17" s="56">
        <f>IF($N17="","",IF(N($J17)&gt;=1,"Completado",IF(AND(ISNUMBER($D17),$D17&lt;FechaRef),"Vencida",IF(N($J17)&gt;0,"En curso","Pendiente"))))</f>
        <v/>
      </c>
      <c r="L17" s="56">
        <f>IF($N17="","",INDEX('Cronograma R. Financiero'!$O$5:$O$1000,$N17)&amp;"")</f>
        <v/>
      </c>
      <c r="M17" s="62">
        <f>IF($N17="","",INDEX('Cronograma R. Financiero'!$Q$5:$Q$1000,$N17)&amp;"")</f>
        <v/>
      </c>
      <c r="N17">
        <f>IFERROR(MATCH(ROW()-4,rOrden_RF,0),"")</f>
        <v/>
      </c>
      <c r="O17">
        <f>IF($N17="","",INDEX('Cronograma R. Financiero'!$V$5:$V$1000,$N17))</f>
        <v/>
      </c>
      <c r="P17">
        <f>IF($N17="","",N(INDEX('Cronograma R. Financiero'!$W$5:$W$1000,$N17)))</f>
        <v/>
      </c>
      <c r="Q17">
        <f>IF(OR(LEFT($L17,7)="Vencida",LEFT($L17,5)="Vence"),SUMPRODUCT(--(LEFT($L$5:$L17,7)="Vencida"))+SUMPRODUCT(--(LEFT($L$5:$L17,5)="Vence")),"")</f>
        <v/>
      </c>
    </row>
    <row r="18">
      <c r="A18" s="56">
        <f>IF($N18="","",INDEX('Cronograma R. Financiero'!$A$5:$A$1000,$N18))</f>
        <v/>
      </c>
      <c r="B18" s="62">
        <f>IF($N18="","",IF($O18="Sub","      ↳  "&amp;INDEX('Cronograma R. Financiero'!$C$5:$C$1000,$N18),INDEX('Cronograma R. Financiero'!$C$5:$C$1000,$N18)&amp;""))</f>
        <v/>
      </c>
      <c r="C18" s="79">
        <f>IF($N18="","",IF(INDEX('Cronograma R. Financiero'!$AR$5:$AR$1000,$N18)="","",INDEX('Cronograma R. Financiero'!$AR$5:$AR$1000,$N18)))</f>
        <v/>
      </c>
      <c r="D18" s="79">
        <f>IF($N18="","",IF(INDEX('Cronograma R. Financiero'!$AS$5:$AS$1000,$N18)="","",INDEX('Cronograma R. Financiero'!$AS$5:$AS$1000,$N18)))</f>
        <v/>
      </c>
      <c r="E18" s="56">
        <f>IF($N18="","",IF(NOT(ISNUMBER($D18)),"",IF($D18&lt;InicioCiclo,"Antes del ciclo",IF($D18&gt;=InicioCiclo+28,"Después del ciclo","Semana "&amp;(INT(($D18-InicioCiclo)/7)+1)))))</f>
        <v/>
      </c>
      <c r="F18" s="61">
        <f>IF($N18="","",IF($P18&gt;0,IF(1&lt;=SemanaActual,INDEX('Cronograma R. Financiero'!$AH$5:$AH$1000,$N18),""),IF(INDEX('Cronograma R. Financiero'!$I$5:$I$1000,$N18)="","",INDEX('Cronograma R. Financiero'!$I$5:$I$1000,$N18))))</f>
        <v/>
      </c>
      <c r="G18" s="61">
        <f>IF($N18="","",IF($P18&gt;0,IF(2&lt;=SemanaActual,INDEX('Cronograma R. Financiero'!$AI$5:$AI$1000,$N18),""),IF(INDEX('Cronograma R. Financiero'!$J$5:$J$1000,$N18)="","",INDEX('Cronograma R. Financiero'!$J$5:$J$1000,$N18))))</f>
        <v/>
      </c>
      <c r="H18" s="61">
        <f>IF($N18="","",IF($P18&gt;0,IF(3&lt;=SemanaActual,INDEX('Cronograma R. Financiero'!$AJ$5:$AJ$1000,$N18),""),IF(INDEX('Cronograma R. Financiero'!$K$5:$K$1000,$N18)="","",INDEX('Cronograma R. Financiero'!$K$5:$K$1000,$N18))))</f>
        <v/>
      </c>
      <c r="I18" s="61">
        <f>IF($N18="","",IF($P18&gt;0,IF(4&lt;=SemanaActual,INDEX('Cronograma R. Financiero'!$AK$5:$AK$1000,$N18),""),IF(INDEX('Cronograma R. Financiero'!$L$5:$L$1000,$N18)="","",INDEX('Cronograma R. Financiero'!$L$5:$L$1000,$N18))))</f>
        <v/>
      </c>
      <c r="J18" s="61">
        <f>IF($N18="","",INDEX('Cronograma R. Financiero'!$M$5:$M$1000,$N18))</f>
        <v/>
      </c>
      <c r="K18" s="56">
        <f>IF($N18="","",IF(N($J18)&gt;=1,"Completado",IF(AND(ISNUMBER($D18),$D18&lt;FechaRef),"Vencida",IF(N($J18)&gt;0,"En curso","Pendiente"))))</f>
        <v/>
      </c>
      <c r="L18" s="56">
        <f>IF($N18="","",INDEX('Cronograma R. Financiero'!$O$5:$O$1000,$N18)&amp;"")</f>
        <v/>
      </c>
      <c r="M18" s="62">
        <f>IF($N18="","",INDEX('Cronograma R. Financiero'!$Q$5:$Q$1000,$N18)&amp;"")</f>
        <v/>
      </c>
      <c r="N18">
        <f>IFERROR(MATCH(ROW()-4,rOrden_RF,0),"")</f>
        <v/>
      </c>
      <c r="O18">
        <f>IF($N18="","",INDEX('Cronograma R. Financiero'!$V$5:$V$1000,$N18))</f>
        <v/>
      </c>
      <c r="P18">
        <f>IF($N18="","",N(INDEX('Cronograma R. Financiero'!$W$5:$W$1000,$N18)))</f>
        <v/>
      </c>
      <c r="Q18">
        <f>IF(OR(LEFT($L18,7)="Vencida",LEFT($L18,5)="Vence"),SUMPRODUCT(--(LEFT($L$5:$L18,7)="Vencida"))+SUMPRODUCT(--(LEFT($L$5:$L18,5)="Vence")),"")</f>
        <v/>
      </c>
    </row>
    <row r="19">
      <c r="A19" s="56">
        <f>IF($N19="","",INDEX('Cronograma R. Financiero'!$A$5:$A$1000,$N19))</f>
        <v/>
      </c>
      <c r="B19" s="62">
        <f>IF($N19="","",IF($O19="Sub","      ↳  "&amp;INDEX('Cronograma R. Financiero'!$C$5:$C$1000,$N19),INDEX('Cronograma R. Financiero'!$C$5:$C$1000,$N19)&amp;""))</f>
        <v/>
      </c>
      <c r="C19" s="79">
        <f>IF($N19="","",IF(INDEX('Cronograma R. Financiero'!$AR$5:$AR$1000,$N19)="","",INDEX('Cronograma R. Financiero'!$AR$5:$AR$1000,$N19)))</f>
        <v/>
      </c>
      <c r="D19" s="79">
        <f>IF($N19="","",IF(INDEX('Cronograma R. Financiero'!$AS$5:$AS$1000,$N19)="","",INDEX('Cronograma R. Financiero'!$AS$5:$AS$1000,$N19)))</f>
        <v/>
      </c>
      <c r="E19" s="56">
        <f>IF($N19="","",IF(NOT(ISNUMBER($D19)),"",IF($D19&lt;InicioCiclo,"Antes del ciclo",IF($D19&gt;=InicioCiclo+28,"Después del ciclo","Semana "&amp;(INT(($D19-InicioCiclo)/7)+1)))))</f>
        <v/>
      </c>
      <c r="F19" s="61">
        <f>IF($N19="","",IF($P19&gt;0,IF(1&lt;=SemanaActual,INDEX('Cronograma R. Financiero'!$AH$5:$AH$1000,$N19),""),IF(INDEX('Cronograma R. Financiero'!$I$5:$I$1000,$N19)="","",INDEX('Cronograma R. Financiero'!$I$5:$I$1000,$N19))))</f>
        <v/>
      </c>
      <c r="G19" s="61">
        <f>IF($N19="","",IF($P19&gt;0,IF(2&lt;=SemanaActual,INDEX('Cronograma R. Financiero'!$AI$5:$AI$1000,$N19),""),IF(INDEX('Cronograma R. Financiero'!$J$5:$J$1000,$N19)="","",INDEX('Cronograma R. Financiero'!$J$5:$J$1000,$N19))))</f>
        <v/>
      </c>
      <c r="H19" s="61">
        <f>IF($N19="","",IF($P19&gt;0,IF(3&lt;=SemanaActual,INDEX('Cronograma R. Financiero'!$AJ$5:$AJ$1000,$N19),""),IF(INDEX('Cronograma R. Financiero'!$K$5:$K$1000,$N19)="","",INDEX('Cronograma R. Financiero'!$K$5:$K$1000,$N19))))</f>
        <v/>
      </c>
      <c r="I19" s="61">
        <f>IF($N19="","",IF($P19&gt;0,IF(4&lt;=SemanaActual,INDEX('Cronograma R. Financiero'!$AK$5:$AK$1000,$N19),""),IF(INDEX('Cronograma R. Financiero'!$L$5:$L$1000,$N19)="","",INDEX('Cronograma R. Financiero'!$L$5:$L$1000,$N19))))</f>
        <v/>
      </c>
      <c r="J19" s="61">
        <f>IF($N19="","",INDEX('Cronograma R. Financiero'!$M$5:$M$1000,$N19))</f>
        <v/>
      </c>
      <c r="K19" s="56">
        <f>IF($N19="","",IF(N($J19)&gt;=1,"Completado",IF(AND(ISNUMBER($D19),$D19&lt;FechaRef),"Vencida",IF(N($J19)&gt;0,"En curso","Pendiente"))))</f>
        <v/>
      </c>
      <c r="L19" s="56">
        <f>IF($N19="","",INDEX('Cronograma R. Financiero'!$O$5:$O$1000,$N19)&amp;"")</f>
        <v/>
      </c>
      <c r="M19" s="62">
        <f>IF($N19="","",INDEX('Cronograma R. Financiero'!$Q$5:$Q$1000,$N19)&amp;"")</f>
        <v/>
      </c>
      <c r="N19">
        <f>IFERROR(MATCH(ROW()-4,rOrden_RF,0),"")</f>
        <v/>
      </c>
      <c r="O19">
        <f>IF($N19="","",INDEX('Cronograma R. Financiero'!$V$5:$V$1000,$N19))</f>
        <v/>
      </c>
      <c r="P19">
        <f>IF($N19="","",N(INDEX('Cronograma R. Financiero'!$W$5:$W$1000,$N19)))</f>
        <v/>
      </c>
      <c r="Q19">
        <f>IF(OR(LEFT($L19,7)="Vencida",LEFT($L19,5)="Vence"),SUMPRODUCT(--(LEFT($L$5:$L19,7)="Vencida"))+SUMPRODUCT(--(LEFT($L$5:$L19,5)="Vence")),"")</f>
        <v/>
      </c>
    </row>
    <row r="20">
      <c r="A20" s="56">
        <f>IF($N20="","",INDEX('Cronograma R. Financiero'!$A$5:$A$1000,$N20))</f>
        <v/>
      </c>
      <c r="B20" s="62">
        <f>IF($N20="","",IF($O20="Sub","      ↳  "&amp;INDEX('Cronograma R. Financiero'!$C$5:$C$1000,$N20),INDEX('Cronograma R. Financiero'!$C$5:$C$1000,$N20)&amp;""))</f>
        <v/>
      </c>
      <c r="C20" s="79">
        <f>IF($N20="","",IF(INDEX('Cronograma R. Financiero'!$AR$5:$AR$1000,$N20)="","",INDEX('Cronograma R. Financiero'!$AR$5:$AR$1000,$N20)))</f>
        <v/>
      </c>
      <c r="D20" s="79">
        <f>IF($N20="","",IF(INDEX('Cronograma R. Financiero'!$AS$5:$AS$1000,$N20)="","",INDEX('Cronograma R. Financiero'!$AS$5:$AS$1000,$N20)))</f>
        <v/>
      </c>
      <c r="E20" s="56">
        <f>IF($N20="","",IF(NOT(ISNUMBER($D20)),"",IF($D20&lt;InicioCiclo,"Antes del ciclo",IF($D20&gt;=InicioCiclo+28,"Después del ciclo","Semana "&amp;(INT(($D20-InicioCiclo)/7)+1)))))</f>
        <v/>
      </c>
      <c r="F20" s="61">
        <f>IF($N20="","",IF($P20&gt;0,IF(1&lt;=SemanaActual,INDEX('Cronograma R. Financiero'!$AH$5:$AH$1000,$N20),""),IF(INDEX('Cronograma R. Financiero'!$I$5:$I$1000,$N20)="","",INDEX('Cronograma R. Financiero'!$I$5:$I$1000,$N20))))</f>
        <v/>
      </c>
      <c r="G20" s="61">
        <f>IF($N20="","",IF($P20&gt;0,IF(2&lt;=SemanaActual,INDEX('Cronograma R. Financiero'!$AI$5:$AI$1000,$N20),""),IF(INDEX('Cronograma R. Financiero'!$J$5:$J$1000,$N20)="","",INDEX('Cronograma R. Financiero'!$J$5:$J$1000,$N20))))</f>
        <v/>
      </c>
      <c r="H20" s="61">
        <f>IF($N20="","",IF($P20&gt;0,IF(3&lt;=SemanaActual,INDEX('Cronograma R. Financiero'!$AJ$5:$AJ$1000,$N20),""),IF(INDEX('Cronograma R. Financiero'!$K$5:$K$1000,$N20)="","",INDEX('Cronograma R. Financiero'!$K$5:$K$1000,$N20))))</f>
        <v/>
      </c>
      <c r="I20" s="61">
        <f>IF($N20="","",IF($P20&gt;0,IF(4&lt;=SemanaActual,INDEX('Cronograma R. Financiero'!$AK$5:$AK$1000,$N20),""),IF(INDEX('Cronograma R. Financiero'!$L$5:$L$1000,$N20)="","",INDEX('Cronograma R. Financiero'!$L$5:$L$1000,$N20))))</f>
        <v/>
      </c>
      <c r="J20" s="61">
        <f>IF($N20="","",INDEX('Cronograma R. Financiero'!$M$5:$M$1000,$N20))</f>
        <v/>
      </c>
      <c r="K20" s="56">
        <f>IF($N20="","",IF(N($J20)&gt;=1,"Completado",IF(AND(ISNUMBER($D20),$D20&lt;FechaRef),"Vencida",IF(N($J20)&gt;0,"En curso","Pendiente"))))</f>
        <v/>
      </c>
      <c r="L20" s="56">
        <f>IF($N20="","",INDEX('Cronograma R. Financiero'!$O$5:$O$1000,$N20)&amp;"")</f>
        <v/>
      </c>
      <c r="M20" s="62">
        <f>IF($N20="","",INDEX('Cronograma R. Financiero'!$Q$5:$Q$1000,$N20)&amp;"")</f>
        <v/>
      </c>
      <c r="N20">
        <f>IFERROR(MATCH(ROW()-4,rOrden_RF,0),"")</f>
        <v/>
      </c>
      <c r="O20">
        <f>IF($N20="","",INDEX('Cronograma R. Financiero'!$V$5:$V$1000,$N20))</f>
        <v/>
      </c>
      <c r="P20">
        <f>IF($N20="","",N(INDEX('Cronograma R. Financiero'!$W$5:$W$1000,$N20)))</f>
        <v/>
      </c>
      <c r="Q20">
        <f>IF(OR(LEFT($L20,7)="Vencida",LEFT($L20,5)="Vence"),SUMPRODUCT(--(LEFT($L$5:$L20,7)="Vencida"))+SUMPRODUCT(--(LEFT($L$5:$L20,5)="Vence")),"")</f>
        <v/>
      </c>
    </row>
    <row r="21">
      <c r="A21" s="56">
        <f>IF($N21="","",INDEX('Cronograma R. Financiero'!$A$5:$A$1000,$N21))</f>
        <v/>
      </c>
      <c r="B21" s="62">
        <f>IF($N21="","",IF($O21="Sub","      ↳  "&amp;INDEX('Cronograma R. Financiero'!$C$5:$C$1000,$N21),INDEX('Cronograma R. Financiero'!$C$5:$C$1000,$N21)&amp;""))</f>
        <v/>
      </c>
      <c r="C21" s="79">
        <f>IF($N21="","",IF(INDEX('Cronograma R. Financiero'!$AR$5:$AR$1000,$N21)="","",INDEX('Cronograma R. Financiero'!$AR$5:$AR$1000,$N21)))</f>
        <v/>
      </c>
      <c r="D21" s="79">
        <f>IF($N21="","",IF(INDEX('Cronograma R. Financiero'!$AS$5:$AS$1000,$N21)="","",INDEX('Cronograma R. Financiero'!$AS$5:$AS$1000,$N21)))</f>
        <v/>
      </c>
      <c r="E21" s="56">
        <f>IF($N21="","",IF(NOT(ISNUMBER($D21)),"",IF($D21&lt;InicioCiclo,"Antes del ciclo",IF($D21&gt;=InicioCiclo+28,"Después del ciclo","Semana "&amp;(INT(($D21-InicioCiclo)/7)+1)))))</f>
        <v/>
      </c>
      <c r="F21" s="61">
        <f>IF($N21="","",IF($P21&gt;0,IF(1&lt;=SemanaActual,INDEX('Cronograma R. Financiero'!$AH$5:$AH$1000,$N21),""),IF(INDEX('Cronograma R. Financiero'!$I$5:$I$1000,$N21)="","",INDEX('Cronograma R. Financiero'!$I$5:$I$1000,$N21))))</f>
        <v/>
      </c>
      <c r="G21" s="61">
        <f>IF($N21="","",IF($P21&gt;0,IF(2&lt;=SemanaActual,INDEX('Cronograma R. Financiero'!$AI$5:$AI$1000,$N21),""),IF(INDEX('Cronograma R. Financiero'!$J$5:$J$1000,$N21)="","",INDEX('Cronograma R. Financiero'!$J$5:$J$1000,$N21))))</f>
        <v/>
      </c>
      <c r="H21" s="61">
        <f>IF($N21="","",IF($P21&gt;0,IF(3&lt;=SemanaActual,INDEX('Cronograma R. Financiero'!$AJ$5:$AJ$1000,$N21),""),IF(INDEX('Cronograma R. Financiero'!$K$5:$K$1000,$N21)="","",INDEX('Cronograma R. Financiero'!$K$5:$K$1000,$N21))))</f>
        <v/>
      </c>
      <c r="I21" s="61">
        <f>IF($N21="","",IF($P21&gt;0,IF(4&lt;=SemanaActual,INDEX('Cronograma R. Financiero'!$AK$5:$AK$1000,$N21),""),IF(INDEX('Cronograma R. Financiero'!$L$5:$L$1000,$N21)="","",INDEX('Cronograma R. Financiero'!$L$5:$L$1000,$N21))))</f>
        <v/>
      </c>
      <c r="J21" s="61">
        <f>IF($N21="","",INDEX('Cronograma R. Financiero'!$M$5:$M$1000,$N21))</f>
        <v/>
      </c>
      <c r="K21" s="56">
        <f>IF($N21="","",IF(N($J21)&gt;=1,"Completado",IF(AND(ISNUMBER($D21),$D21&lt;FechaRef),"Vencida",IF(N($J21)&gt;0,"En curso","Pendiente"))))</f>
        <v/>
      </c>
      <c r="L21" s="56">
        <f>IF($N21="","",INDEX('Cronograma R. Financiero'!$O$5:$O$1000,$N21)&amp;"")</f>
        <v/>
      </c>
      <c r="M21" s="62">
        <f>IF($N21="","",INDEX('Cronograma R. Financiero'!$Q$5:$Q$1000,$N21)&amp;"")</f>
        <v/>
      </c>
      <c r="N21">
        <f>IFERROR(MATCH(ROW()-4,rOrden_RF,0),"")</f>
        <v/>
      </c>
      <c r="O21">
        <f>IF($N21="","",INDEX('Cronograma R. Financiero'!$V$5:$V$1000,$N21))</f>
        <v/>
      </c>
      <c r="P21">
        <f>IF($N21="","",N(INDEX('Cronograma R. Financiero'!$W$5:$W$1000,$N21)))</f>
        <v/>
      </c>
      <c r="Q21">
        <f>IF(OR(LEFT($L21,7)="Vencida",LEFT($L21,5)="Vence"),SUMPRODUCT(--(LEFT($L$5:$L21,7)="Vencida"))+SUMPRODUCT(--(LEFT($L$5:$L21,5)="Vence")),"")</f>
        <v/>
      </c>
    </row>
    <row r="22">
      <c r="A22" s="56">
        <f>IF($N22="","",INDEX('Cronograma R. Financiero'!$A$5:$A$1000,$N22))</f>
        <v/>
      </c>
      <c r="B22" s="62">
        <f>IF($N22="","",IF($O22="Sub","      ↳  "&amp;INDEX('Cronograma R. Financiero'!$C$5:$C$1000,$N22),INDEX('Cronograma R. Financiero'!$C$5:$C$1000,$N22)&amp;""))</f>
        <v/>
      </c>
      <c r="C22" s="79">
        <f>IF($N22="","",IF(INDEX('Cronograma R. Financiero'!$AR$5:$AR$1000,$N22)="","",INDEX('Cronograma R. Financiero'!$AR$5:$AR$1000,$N22)))</f>
        <v/>
      </c>
      <c r="D22" s="79">
        <f>IF($N22="","",IF(INDEX('Cronograma R. Financiero'!$AS$5:$AS$1000,$N22)="","",INDEX('Cronograma R. Financiero'!$AS$5:$AS$1000,$N22)))</f>
        <v/>
      </c>
      <c r="E22" s="56">
        <f>IF($N22="","",IF(NOT(ISNUMBER($D22)),"",IF($D22&lt;InicioCiclo,"Antes del ciclo",IF($D22&gt;=InicioCiclo+28,"Después del ciclo","Semana "&amp;(INT(($D22-InicioCiclo)/7)+1)))))</f>
        <v/>
      </c>
      <c r="F22" s="61">
        <f>IF($N22="","",IF($P22&gt;0,IF(1&lt;=SemanaActual,INDEX('Cronograma R. Financiero'!$AH$5:$AH$1000,$N22),""),IF(INDEX('Cronograma R. Financiero'!$I$5:$I$1000,$N22)="","",INDEX('Cronograma R. Financiero'!$I$5:$I$1000,$N22))))</f>
        <v/>
      </c>
      <c r="G22" s="61">
        <f>IF($N22="","",IF($P22&gt;0,IF(2&lt;=SemanaActual,INDEX('Cronograma R. Financiero'!$AI$5:$AI$1000,$N22),""),IF(INDEX('Cronograma R. Financiero'!$J$5:$J$1000,$N22)="","",INDEX('Cronograma R. Financiero'!$J$5:$J$1000,$N22))))</f>
        <v/>
      </c>
      <c r="H22" s="61">
        <f>IF($N22="","",IF($P22&gt;0,IF(3&lt;=SemanaActual,INDEX('Cronograma R. Financiero'!$AJ$5:$AJ$1000,$N22),""),IF(INDEX('Cronograma R. Financiero'!$K$5:$K$1000,$N22)="","",INDEX('Cronograma R. Financiero'!$K$5:$K$1000,$N22))))</f>
        <v/>
      </c>
      <c r="I22" s="61">
        <f>IF($N22="","",IF($P22&gt;0,IF(4&lt;=SemanaActual,INDEX('Cronograma R. Financiero'!$AK$5:$AK$1000,$N22),""),IF(INDEX('Cronograma R. Financiero'!$L$5:$L$1000,$N22)="","",INDEX('Cronograma R. Financiero'!$L$5:$L$1000,$N22))))</f>
        <v/>
      </c>
      <c r="J22" s="61">
        <f>IF($N22="","",INDEX('Cronograma R. Financiero'!$M$5:$M$1000,$N22))</f>
        <v/>
      </c>
      <c r="K22" s="56">
        <f>IF($N22="","",IF(N($J22)&gt;=1,"Completado",IF(AND(ISNUMBER($D22),$D22&lt;FechaRef),"Vencida",IF(N($J22)&gt;0,"En curso","Pendiente"))))</f>
        <v/>
      </c>
      <c r="L22" s="56">
        <f>IF($N22="","",INDEX('Cronograma R. Financiero'!$O$5:$O$1000,$N22)&amp;"")</f>
        <v/>
      </c>
      <c r="M22" s="62">
        <f>IF($N22="","",INDEX('Cronograma R. Financiero'!$Q$5:$Q$1000,$N22)&amp;"")</f>
        <v/>
      </c>
      <c r="N22">
        <f>IFERROR(MATCH(ROW()-4,rOrden_RF,0),"")</f>
        <v/>
      </c>
      <c r="O22">
        <f>IF($N22="","",INDEX('Cronograma R. Financiero'!$V$5:$V$1000,$N22))</f>
        <v/>
      </c>
      <c r="P22">
        <f>IF($N22="","",N(INDEX('Cronograma R. Financiero'!$W$5:$W$1000,$N22)))</f>
        <v/>
      </c>
      <c r="Q22">
        <f>IF(OR(LEFT($L22,7)="Vencida",LEFT($L22,5)="Vence"),SUMPRODUCT(--(LEFT($L$5:$L22,7)="Vencida"))+SUMPRODUCT(--(LEFT($L$5:$L22,5)="Vence")),"")</f>
        <v/>
      </c>
    </row>
    <row r="23">
      <c r="A23" s="56">
        <f>IF($N23="","",INDEX('Cronograma R. Financiero'!$A$5:$A$1000,$N23))</f>
        <v/>
      </c>
      <c r="B23" s="62">
        <f>IF($N23="","",IF($O23="Sub","      ↳  "&amp;INDEX('Cronograma R. Financiero'!$C$5:$C$1000,$N23),INDEX('Cronograma R. Financiero'!$C$5:$C$1000,$N23)&amp;""))</f>
        <v/>
      </c>
      <c r="C23" s="79">
        <f>IF($N23="","",IF(INDEX('Cronograma R. Financiero'!$AR$5:$AR$1000,$N23)="","",INDEX('Cronograma R. Financiero'!$AR$5:$AR$1000,$N23)))</f>
        <v/>
      </c>
      <c r="D23" s="79">
        <f>IF($N23="","",IF(INDEX('Cronograma R. Financiero'!$AS$5:$AS$1000,$N23)="","",INDEX('Cronograma R. Financiero'!$AS$5:$AS$1000,$N23)))</f>
        <v/>
      </c>
      <c r="E23" s="56">
        <f>IF($N23="","",IF(NOT(ISNUMBER($D23)),"",IF($D23&lt;InicioCiclo,"Antes del ciclo",IF($D23&gt;=InicioCiclo+28,"Después del ciclo","Semana "&amp;(INT(($D23-InicioCiclo)/7)+1)))))</f>
        <v/>
      </c>
      <c r="F23" s="61">
        <f>IF($N23="","",IF($P23&gt;0,IF(1&lt;=SemanaActual,INDEX('Cronograma R. Financiero'!$AH$5:$AH$1000,$N23),""),IF(INDEX('Cronograma R. Financiero'!$I$5:$I$1000,$N23)="","",INDEX('Cronograma R. Financiero'!$I$5:$I$1000,$N23))))</f>
        <v/>
      </c>
      <c r="G23" s="61">
        <f>IF($N23="","",IF($P23&gt;0,IF(2&lt;=SemanaActual,INDEX('Cronograma R. Financiero'!$AI$5:$AI$1000,$N23),""),IF(INDEX('Cronograma R. Financiero'!$J$5:$J$1000,$N23)="","",INDEX('Cronograma R. Financiero'!$J$5:$J$1000,$N23))))</f>
        <v/>
      </c>
      <c r="H23" s="61">
        <f>IF($N23="","",IF($P23&gt;0,IF(3&lt;=SemanaActual,INDEX('Cronograma R. Financiero'!$AJ$5:$AJ$1000,$N23),""),IF(INDEX('Cronograma R. Financiero'!$K$5:$K$1000,$N23)="","",INDEX('Cronograma R. Financiero'!$K$5:$K$1000,$N23))))</f>
        <v/>
      </c>
      <c r="I23" s="61">
        <f>IF($N23="","",IF($P23&gt;0,IF(4&lt;=SemanaActual,INDEX('Cronograma R. Financiero'!$AK$5:$AK$1000,$N23),""),IF(INDEX('Cronograma R. Financiero'!$L$5:$L$1000,$N23)="","",INDEX('Cronograma R. Financiero'!$L$5:$L$1000,$N23))))</f>
        <v/>
      </c>
      <c r="J23" s="61">
        <f>IF($N23="","",INDEX('Cronograma R. Financiero'!$M$5:$M$1000,$N23))</f>
        <v/>
      </c>
      <c r="K23" s="56">
        <f>IF($N23="","",IF(N($J23)&gt;=1,"Completado",IF(AND(ISNUMBER($D23),$D23&lt;FechaRef),"Vencida",IF(N($J23)&gt;0,"En curso","Pendiente"))))</f>
        <v/>
      </c>
      <c r="L23" s="56">
        <f>IF($N23="","",INDEX('Cronograma R. Financiero'!$O$5:$O$1000,$N23)&amp;"")</f>
        <v/>
      </c>
      <c r="M23" s="62">
        <f>IF($N23="","",INDEX('Cronograma R. Financiero'!$Q$5:$Q$1000,$N23)&amp;"")</f>
        <v/>
      </c>
      <c r="N23">
        <f>IFERROR(MATCH(ROW()-4,rOrden_RF,0),"")</f>
        <v/>
      </c>
      <c r="O23">
        <f>IF($N23="","",INDEX('Cronograma R. Financiero'!$V$5:$V$1000,$N23))</f>
        <v/>
      </c>
      <c r="P23">
        <f>IF($N23="","",N(INDEX('Cronograma R. Financiero'!$W$5:$W$1000,$N23)))</f>
        <v/>
      </c>
      <c r="Q23">
        <f>IF(OR(LEFT($L23,7)="Vencida",LEFT($L23,5)="Vence"),SUMPRODUCT(--(LEFT($L$5:$L23,7)="Vencida"))+SUMPRODUCT(--(LEFT($L$5:$L23,5)="Vence")),"")</f>
        <v/>
      </c>
    </row>
    <row r="24">
      <c r="A24" s="56">
        <f>IF($N24="","",INDEX('Cronograma R. Financiero'!$A$5:$A$1000,$N24))</f>
        <v/>
      </c>
      <c r="B24" s="62">
        <f>IF($N24="","",IF($O24="Sub","      ↳  "&amp;INDEX('Cronograma R. Financiero'!$C$5:$C$1000,$N24),INDEX('Cronograma R. Financiero'!$C$5:$C$1000,$N24)&amp;""))</f>
        <v/>
      </c>
      <c r="C24" s="79">
        <f>IF($N24="","",IF(INDEX('Cronograma R. Financiero'!$AR$5:$AR$1000,$N24)="","",INDEX('Cronograma R. Financiero'!$AR$5:$AR$1000,$N24)))</f>
        <v/>
      </c>
      <c r="D24" s="79">
        <f>IF($N24="","",IF(INDEX('Cronograma R. Financiero'!$AS$5:$AS$1000,$N24)="","",INDEX('Cronograma R. Financiero'!$AS$5:$AS$1000,$N24)))</f>
        <v/>
      </c>
      <c r="E24" s="56">
        <f>IF($N24="","",IF(NOT(ISNUMBER($D24)),"",IF($D24&lt;InicioCiclo,"Antes del ciclo",IF($D24&gt;=InicioCiclo+28,"Después del ciclo","Semana "&amp;(INT(($D24-InicioCiclo)/7)+1)))))</f>
        <v/>
      </c>
      <c r="F24" s="61">
        <f>IF($N24="","",IF($P24&gt;0,IF(1&lt;=SemanaActual,INDEX('Cronograma R. Financiero'!$AH$5:$AH$1000,$N24),""),IF(INDEX('Cronograma R. Financiero'!$I$5:$I$1000,$N24)="","",INDEX('Cronograma R. Financiero'!$I$5:$I$1000,$N24))))</f>
        <v/>
      </c>
      <c r="G24" s="61">
        <f>IF($N24="","",IF($P24&gt;0,IF(2&lt;=SemanaActual,INDEX('Cronograma R. Financiero'!$AI$5:$AI$1000,$N24),""),IF(INDEX('Cronograma R. Financiero'!$J$5:$J$1000,$N24)="","",INDEX('Cronograma R. Financiero'!$J$5:$J$1000,$N24))))</f>
        <v/>
      </c>
      <c r="H24" s="61">
        <f>IF($N24="","",IF($P24&gt;0,IF(3&lt;=SemanaActual,INDEX('Cronograma R. Financiero'!$AJ$5:$AJ$1000,$N24),""),IF(INDEX('Cronograma R. Financiero'!$K$5:$K$1000,$N24)="","",INDEX('Cronograma R. Financiero'!$K$5:$K$1000,$N24))))</f>
        <v/>
      </c>
      <c r="I24" s="61">
        <f>IF($N24="","",IF($P24&gt;0,IF(4&lt;=SemanaActual,INDEX('Cronograma R. Financiero'!$AK$5:$AK$1000,$N24),""),IF(INDEX('Cronograma R. Financiero'!$L$5:$L$1000,$N24)="","",INDEX('Cronograma R. Financiero'!$L$5:$L$1000,$N24))))</f>
        <v/>
      </c>
      <c r="J24" s="61">
        <f>IF($N24="","",INDEX('Cronograma R. Financiero'!$M$5:$M$1000,$N24))</f>
        <v/>
      </c>
      <c r="K24" s="56">
        <f>IF($N24="","",IF(N($J24)&gt;=1,"Completado",IF(AND(ISNUMBER($D24),$D24&lt;FechaRef),"Vencida",IF(N($J24)&gt;0,"En curso","Pendiente"))))</f>
        <v/>
      </c>
      <c r="L24" s="56">
        <f>IF($N24="","",INDEX('Cronograma R. Financiero'!$O$5:$O$1000,$N24)&amp;"")</f>
        <v/>
      </c>
      <c r="M24" s="62">
        <f>IF($N24="","",INDEX('Cronograma R. Financiero'!$Q$5:$Q$1000,$N24)&amp;"")</f>
        <v/>
      </c>
      <c r="N24">
        <f>IFERROR(MATCH(ROW()-4,rOrden_RF,0),"")</f>
        <v/>
      </c>
      <c r="O24">
        <f>IF($N24="","",INDEX('Cronograma R. Financiero'!$V$5:$V$1000,$N24))</f>
        <v/>
      </c>
      <c r="P24">
        <f>IF($N24="","",N(INDEX('Cronograma R. Financiero'!$W$5:$W$1000,$N24)))</f>
        <v/>
      </c>
      <c r="Q24">
        <f>IF(OR(LEFT($L24,7)="Vencida",LEFT($L24,5)="Vence"),SUMPRODUCT(--(LEFT($L$5:$L24,7)="Vencida"))+SUMPRODUCT(--(LEFT($L$5:$L24,5)="Vence")),"")</f>
        <v/>
      </c>
    </row>
    <row r="25">
      <c r="A25" s="56">
        <f>IF($N25="","",INDEX('Cronograma R. Financiero'!$A$5:$A$1000,$N25))</f>
        <v/>
      </c>
      <c r="B25" s="62">
        <f>IF($N25="","",IF($O25="Sub","      ↳  "&amp;INDEX('Cronograma R. Financiero'!$C$5:$C$1000,$N25),INDEX('Cronograma R. Financiero'!$C$5:$C$1000,$N25)&amp;""))</f>
        <v/>
      </c>
      <c r="C25" s="79">
        <f>IF($N25="","",IF(INDEX('Cronograma R. Financiero'!$AR$5:$AR$1000,$N25)="","",INDEX('Cronograma R. Financiero'!$AR$5:$AR$1000,$N25)))</f>
        <v/>
      </c>
      <c r="D25" s="79">
        <f>IF($N25="","",IF(INDEX('Cronograma R. Financiero'!$AS$5:$AS$1000,$N25)="","",INDEX('Cronograma R. Financiero'!$AS$5:$AS$1000,$N25)))</f>
        <v/>
      </c>
      <c r="E25" s="56">
        <f>IF($N25="","",IF(NOT(ISNUMBER($D25)),"",IF($D25&lt;InicioCiclo,"Antes del ciclo",IF($D25&gt;=InicioCiclo+28,"Después del ciclo","Semana "&amp;(INT(($D25-InicioCiclo)/7)+1)))))</f>
        <v/>
      </c>
      <c r="F25" s="61">
        <f>IF($N25="","",IF($P25&gt;0,IF(1&lt;=SemanaActual,INDEX('Cronograma R. Financiero'!$AH$5:$AH$1000,$N25),""),IF(INDEX('Cronograma R. Financiero'!$I$5:$I$1000,$N25)="","",INDEX('Cronograma R. Financiero'!$I$5:$I$1000,$N25))))</f>
        <v/>
      </c>
      <c r="G25" s="61">
        <f>IF($N25="","",IF($P25&gt;0,IF(2&lt;=SemanaActual,INDEX('Cronograma R. Financiero'!$AI$5:$AI$1000,$N25),""),IF(INDEX('Cronograma R. Financiero'!$J$5:$J$1000,$N25)="","",INDEX('Cronograma R. Financiero'!$J$5:$J$1000,$N25))))</f>
        <v/>
      </c>
      <c r="H25" s="61">
        <f>IF($N25="","",IF($P25&gt;0,IF(3&lt;=SemanaActual,INDEX('Cronograma R. Financiero'!$AJ$5:$AJ$1000,$N25),""),IF(INDEX('Cronograma R. Financiero'!$K$5:$K$1000,$N25)="","",INDEX('Cronograma R. Financiero'!$K$5:$K$1000,$N25))))</f>
        <v/>
      </c>
      <c r="I25" s="61">
        <f>IF($N25="","",IF($P25&gt;0,IF(4&lt;=SemanaActual,INDEX('Cronograma R. Financiero'!$AK$5:$AK$1000,$N25),""),IF(INDEX('Cronograma R. Financiero'!$L$5:$L$1000,$N25)="","",INDEX('Cronograma R. Financiero'!$L$5:$L$1000,$N25))))</f>
        <v/>
      </c>
      <c r="J25" s="61">
        <f>IF($N25="","",INDEX('Cronograma R. Financiero'!$M$5:$M$1000,$N25))</f>
        <v/>
      </c>
      <c r="K25" s="56">
        <f>IF($N25="","",IF(N($J25)&gt;=1,"Completado",IF(AND(ISNUMBER($D25),$D25&lt;FechaRef),"Vencida",IF(N($J25)&gt;0,"En curso","Pendiente"))))</f>
        <v/>
      </c>
      <c r="L25" s="56">
        <f>IF($N25="","",INDEX('Cronograma R. Financiero'!$O$5:$O$1000,$N25)&amp;"")</f>
        <v/>
      </c>
      <c r="M25" s="62">
        <f>IF($N25="","",INDEX('Cronograma R. Financiero'!$Q$5:$Q$1000,$N25)&amp;"")</f>
        <v/>
      </c>
      <c r="N25">
        <f>IFERROR(MATCH(ROW()-4,rOrden_RF,0),"")</f>
        <v/>
      </c>
      <c r="O25">
        <f>IF($N25="","",INDEX('Cronograma R. Financiero'!$V$5:$V$1000,$N25))</f>
        <v/>
      </c>
      <c r="P25">
        <f>IF($N25="","",N(INDEX('Cronograma R. Financiero'!$W$5:$W$1000,$N25)))</f>
        <v/>
      </c>
      <c r="Q25">
        <f>IF(OR(LEFT($L25,7)="Vencida",LEFT($L25,5)="Vence"),SUMPRODUCT(--(LEFT($L$5:$L25,7)="Vencida"))+SUMPRODUCT(--(LEFT($L$5:$L25,5)="Vence")),"")</f>
        <v/>
      </c>
    </row>
    <row r="26">
      <c r="A26" s="56">
        <f>IF($N26="","",INDEX('Cronograma R. Financiero'!$A$5:$A$1000,$N26))</f>
        <v/>
      </c>
      <c r="B26" s="62">
        <f>IF($N26="","",IF($O26="Sub","      ↳  "&amp;INDEX('Cronograma R. Financiero'!$C$5:$C$1000,$N26),INDEX('Cronograma R. Financiero'!$C$5:$C$1000,$N26)&amp;""))</f>
        <v/>
      </c>
      <c r="C26" s="79">
        <f>IF($N26="","",IF(INDEX('Cronograma R. Financiero'!$AR$5:$AR$1000,$N26)="","",INDEX('Cronograma R. Financiero'!$AR$5:$AR$1000,$N26)))</f>
        <v/>
      </c>
      <c r="D26" s="79">
        <f>IF($N26="","",IF(INDEX('Cronograma R. Financiero'!$AS$5:$AS$1000,$N26)="","",INDEX('Cronograma R. Financiero'!$AS$5:$AS$1000,$N26)))</f>
        <v/>
      </c>
      <c r="E26" s="56">
        <f>IF($N26="","",IF(NOT(ISNUMBER($D26)),"",IF($D26&lt;InicioCiclo,"Antes del ciclo",IF($D26&gt;=InicioCiclo+28,"Después del ciclo","Semana "&amp;(INT(($D26-InicioCiclo)/7)+1)))))</f>
        <v/>
      </c>
      <c r="F26" s="61">
        <f>IF($N26="","",IF($P26&gt;0,IF(1&lt;=SemanaActual,INDEX('Cronograma R. Financiero'!$AH$5:$AH$1000,$N26),""),IF(INDEX('Cronograma R. Financiero'!$I$5:$I$1000,$N26)="","",INDEX('Cronograma R. Financiero'!$I$5:$I$1000,$N26))))</f>
        <v/>
      </c>
      <c r="G26" s="61">
        <f>IF($N26="","",IF($P26&gt;0,IF(2&lt;=SemanaActual,INDEX('Cronograma R. Financiero'!$AI$5:$AI$1000,$N26),""),IF(INDEX('Cronograma R. Financiero'!$J$5:$J$1000,$N26)="","",INDEX('Cronograma R. Financiero'!$J$5:$J$1000,$N26))))</f>
        <v/>
      </c>
      <c r="H26" s="61">
        <f>IF($N26="","",IF($P26&gt;0,IF(3&lt;=SemanaActual,INDEX('Cronograma R. Financiero'!$AJ$5:$AJ$1000,$N26),""),IF(INDEX('Cronograma R. Financiero'!$K$5:$K$1000,$N26)="","",INDEX('Cronograma R. Financiero'!$K$5:$K$1000,$N26))))</f>
        <v/>
      </c>
      <c r="I26" s="61">
        <f>IF($N26="","",IF($P26&gt;0,IF(4&lt;=SemanaActual,INDEX('Cronograma R. Financiero'!$AK$5:$AK$1000,$N26),""),IF(INDEX('Cronograma R. Financiero'!$L$5:$L$1000,$N26)="","",INDEX('Cronograma R. Financiero'!$L$5:$L$1000,$N26))))</f>
        <v/>
      </c>
      <c r="J26" s="61">
        <f>IF($N26="","",INDEX('Cronograma R. Financiero'!$M$5:$M$1000,$N26))</f>
        <v/>
      </c>
      <c r="K26" s="56">
        <f>IF($N26="","",IF(N($J26)&gt;=1,"Completado",IF(AND(ISNUMBER($D26),$D26&lt;FechaRef),"Vencida",IF(N($J26)&gt;0,"En curso","Pendiente"))))</f>
        <v/>
      </c>
      <c r="L26" s="56">
        <f>IF($N26="","",INDEX('Cronograma R. Financiero'!$O$5:$O$1000,$N26)&amp;"")</f>
        <v/>
      </c>
      <c r="M26" s="62">
        <f>IF($N26="","",INDEX('Cronograma R. Financiero'!$Q$5:$Q$1000,$N26)&amp;"")</f>
        <v/>
      </c>
      <c r="N26">
        <f>IFERROR(MATCH(ROW()-4,rOrden_RF,0),"")</f>
        <v/>
      </c>
      <c r="O26">
        <f>IF($N26="","",INDEX('Cronograma R. Financiero'!$V$5:$V$1000,$N26))</f>
        <v/>
      </c>
      <c r="P26">
        <f>IF($N26="","",N(INDEX('Cronograma R. Financiero'!$W$5:$W$1000,$N26)))</f>
        <v/>
      </c>
      <c r="Q26">
        <f>IF(OR(LEFT($L26,7)="Vencida",LEFT($L26,5)="Vence"),SUMPRODUCT(--(LEFT($L$5:$L26,7)="Vencida"))+SUMPRODUCT(--(LEFT($L$5:$L26,5)="Vence")),"")</f>
        <v/>
      </c>
    </row>
    <row r="27">
      <c r="A27" s="56">
        <f>IF($N27="","",INDEX('Cronograma R. Financiero'!$A$5:$A$1000,$N27))</f>
        <v/>
      </c>
      <c r="B27" s="62">
        <f>IF($N27="","",IF($O27="Sub","      ↳  "&amp;INDEX('Cronograma R. Financiero'!$C$5:$C$1000,$N27),INDEX('Cronograma R. Financiero'!$C$5:$C$1000,$N27)&amp;""))</f>
        <v/>
      </c>
      <c r="C27" s="79">
        <f>IF($N27="","",IF(INDEX('Cronograma R. Financiero'!$AR$5:$AR$1000,$N27)="","",INDEX('Cronograma R. Financiero'!$AR$5:$AR$1000,$N27)))</f>
        <v/>
      </c>
      <c r="D27" s="79">
        <f>IF($N27="","",IF(INDEX('Cronograma R. Financiero'!$AS$5:$AS$1000,$N27)="","",INDEX('Cronograma R. Financiero'!$AS$5:$AS$1000,$N27)))</f>
        <v/>
      </c>
      <c r="E27" s="56">
        <f>IF($N27="","",IF(NOT(ISNUMBER($D27)),"",IF($D27&lt;InicioCiclo,"Antes del ciclo",IF($D27&gt;=InicioCiclo+28,"Después del ciclo","Semana "&amp;(INT(($D27-InicioCiclo)/7)+1)))))</f>
        <v/>
      </c>
      <c r="F27" s="61">
        <f>IF($N27="","",IF($P27&gt;0,IF(1&lt;=SemanaActual,INDEX('Cronograma R. Financiero'!$AH$5:$AH$1000,$N27),""),IF(INDEX('Cronograma R. Financiero'!$I$5:$I$1000,$N27)="","",INDEX('Cronograma R. Financiero'!$I$5:$I$1000,$N27))))</f>
        <v/>
      </c>
      <c r="G27" s="61">
        <f>IF($N27="","",IF($P27&gt;0,IF(2&lt;=SemanaActual,INDEX('Cronograma R. Financiero'!$AI$5:$AI$1000,$N27),""),IF(INDEX('Cronograma R. Financiero'!$J$5:$J$1000,$N27)="","",INDEX('Cronograma R. Financiero'!$J$5:$J$1000,$N27))))</f>
        <v/>
      </c>
      <c r="H27" s="61">
        <f>IF($N27="","",IF($P27&gt;0,IF(3&lt;=SemanaActual,INDEX('Cronograma R. Financiero'!$AJ$5:$AJ$1000,$N27),""),IF(INDEX('Cronograma R. Financiero'!$K$5:$K$1000,$N27)="","",INDEX('Cronograma R. Financiero'!$K$5:$K$1000,$N27))))</f>
        <v/>
      </c>
      <c r="I27" s="61">
        <f>IF($N27="","",IF($P27&gt;0,IF(4&lt;=SemanaActual,INDEX('Cronograma R. Financiero'!$AK$5:$AK$1000,$N27),""),IF(INDEX('Cronograma R. Financiero'!$L$5:$L$1000,$N27)="","",INDEX('Cronograma R. Financiero'!$L$5:$L$1000,$N27))))</f>
        <v/>
      </c>
      <c r="J27" s="61">
        <f>IF($N27="","",INDEX('Cronograma R. Financiero'!$M$5:$M$1000,$N27))</f>
        <v/>
      </c>
      <c r="K27" s="56">
        <f>IF($N27="","",IF(N($J27)&gt;=1,"Completado",IF(AND(ISNUMBER($D27),$D27&lt;FechaRef),"Vencida",IF(N($J27)&gt;0,"En curso","Pendiente"))))</f>
        <v/>
      </c>
      <c r="L27" s="56">
        <f>IF($N27="","",INDEX('Cronograma R. Financiero'!$O$5:$O$1000,$N27)&amp;"")</f>
        <v/>
      </c>
      <c r="M27" s="62">
        <f>IF($N27="","",INDEX('Cronograma R. Financiero'!$Q$5:$Q$1000,$N27)&amp;"")</f>
        <v/>
      </c>
      <c r="N27">
        <f>IFERROR(MATCH(ROW()-4,rOrden_RF,0),"")</f>
        <v/>
      </c>
      <c r="O27">
        <f>IF($N27="","",INDEX('Cronograma R. Financiero'!$V$5:$V$1000,$N27))</f>
        <v/>
      </c>
      <c r="P27">
        <f>IF($N27="","",N(INDEX('Cronograma R. Financiero'!$W$5:$W$1000,$N27)))</f>
        <v/>
      </c>
      <c r="Q27">
        <f>IF(OR(LEFT($L27,7)="Vencida",LEFT($L27,5)="Vence"),SUMPRODUCT(--(LEFT($L$5:$L27,7)="Vencida"))+SUMPRODUCT(--(LEFT($L$5:$L27,5)="Vence")),"")</f>
        <v/>
      </c>
    </row>
    <row r="28">
      <c r="A28" s="56">
        <f>IF($N28="","",INDEX('Cronograma R. Financiero'!$A$5:$A$1000,$N28))</f>
        <v/>
      </c>
      <c r="B28" s="62">
        <f>IF($N28="","",IF($O28="Sub","      ↳  "&amp;INDEX('Cronograma R. Financiero'!$C$5:$C$1000,$N28),INDEX('Cronograma R. Financiero'!$C$5:$C$1000,$N28)&amp;""))</f>
        <v/>
      </c>
      <c r="C28" s="79">
        <f>IF($N28="","",IF(INDEX('Cronograma R. Financiero'!$AR$5:$AR$1000,$N28)="","",INDEX('Cronograma R. Financiero'!$AR$5:$AR$1000,$N28)))</f>
        <v/>
      </c>
      <c r="D28" s="79">
        <f>IF($N28="","",IF(INDEX('Cronograma R. Financiero'!$AS$5:$AS$1000,$N28)="","",INDEX('Cronograma R. Financiero'!$AS$5:$AS$1000,$N28)))</f>
        <v/>
      </c>
      <c r="E28" s="56">
        <f>IF($N28="","",IF(NOT(ISNUMBER($D28)),"",IF($D28&lt;InicioCiclo,"Antes del ciclo",IF($D28&gt;=InicioCiclo+28,"Después del ciclo","Semana "&amp;(INT(($D28-InicioCiclo)/7)+1)))))</f>
        <v/>
      </c>
      <c r="F28" s="61">
        <f>IF($N28="","",IF($P28&gt;0,IF(1&lt;=SemanaActual,INDEX('Cronograma R. Financiero'!$AH$5:$AH$1000,$N28),""),IF(INDEX('Cronograma R. Financiero'!$I$5:$I$1000,$N28)="","",INDEX('Cronograma R. Financiero'!$I$5:$I$1000,$N28))))</f>
        <v/>
      </c>
      <c r="G28" s="61">
        <f>IF($N28="","",IF($P28&gt;0,IF(2&lt;=SemanaActual,INDEX('Cronograma R. Financiero'!$AI$5:$AI$1000,$N28),""),IF(INDEX('Cronograma R. Financiero'!$J$5:$J$1000,$N28)="","",INDEX('Cronograma R. Financiero'!$J$5:$J$1000,$N28))))</f>
        <v/>
      </c>
      <c r="H28" s="61">
        <f>IF($N28="","",IF($P28&gt;0,IF(3&lt;=SemanaActual,INDEX('Cronograma R. Financiero'!$AJ$5:$AJ$1000,$N28),""),IF(INDEX('Cronograma R. Financiero'!$K$5:$K$1000,$N28)="","",INDEX('Cronograma R. Financiero'!$K$5:$K$1000,$N28))))</f>
        <v/>
      </c>
      <c r="I28" s="61">
        <f>IF($N28="","",IF($P28&gt;0,IF(4&lt;=SemanaActual,INDEX('Cronograma R. Financiero'!$AK$5:$AK$1000,$N28),""),IF(INDEX('Cronograma R. Financiero'!$L$5:$L$1000,$N28)="","",INDEX('Cronograma R. Financiero'!$L$5:$L$1000,$N28))))</f>
        <v/>
      </c>
      <c r="J28" s="61">
        <f>IF($N28="","",INDEX('Cronograma R. Financiero'!$M$5:$M$1000,$N28))</f>
        <v/>
      </c>
      <c r="K28" s="56">
        <f>IF($N28="","",IF(N($J28)&gt;=1,"Completado",IF(AND(ISNUMBER($D28),$D28&lt;FechaRef),"Vencida",IF(N($J28)&gt;0,"En curso","Pendiente"))))</f>
        <v/>
      </c>
      <c r="L28" s="56">
        <f>IF($N28="","",INDEX('Cronograma R. Financiero'!$O$5:$O$1000,$N28)&amp;"")</f>
        <v/>
      </c>
      <c r="M28" s="62">
        <f>IF($N28="","",INDEX('Cronograma R. Financiero'!$Q$5:$Q$1000,$N28)&amp;"")</f>
        <v/>
      </c>
      <c r="N28">
        <f>IFERROR(MATCH(ROW()-4,rOrden_RF,0),"")</f>
        <v/>
      </c>
      <c r="O28">
        <f>IF($N28="","",INDEX('Cronograma R. Financiero'!$V$5:$V$1000,$N28))</f>
        <v/>
      </c>
      <c r="P28">
        <f>IF($N28="","",N(INDEX('Cronograma R. Financiero'!$W$5:$W$1000,$N28)))</f>
        <v/>
      </c>
      <c r="Q28">
        <f>IF(OR(LEFT($L28,7)="Vencida",LEFT($L28,5)="Vence"),SUMPRODUCT(--(LEFT($L$5:$L28,7)="Vencida"))+SUMPRODUCT(--(LEFT($L$5:$L28,5)="Vence")),"")</f>
        <v/>
      </c>
    </row>
    <row r="29">
      <c r="A29" s="56">
        <f>IF($N29="","",INDEX('Cronograma R. Financiero'!$A$5:$A$1000,$N29))</f>
        <v/>
      </c>
      <c r="B29" s="62">
        <f>IF($N29="","",IF($O29="Sub","      ↳  "&amp;INDEX('Cronograma R. Financiero'!$C$5:$C$1000,$N29),INDEX('Cronograma R. Financiero'!$C$5:$C$1000,$N29)&amp;""))</f>
        <v/>
      </c>
      <c r="C29" s="79">
        <f>IF($N29="","",IF(INDEX('Cronograma R. Financiero'!$AR$5:$AR$1000,$N29)="","",INDEX('Cronograma R. Financiero'!$AR$5:$AR$1000,$N29)))</f>
        <v/>
      </c>
      <c r="D29" s="79">
        <f>IF($N29="","",IF(INDEX('Cronograma R. Financiero'!$AS$5:$AS$1000,$N29)="","",INDEX('Cronograma R. Financiero'!$AS$5:$AS$1000,$N29)))</f>
        <v/>
      </c>
      <c r="E29" s="56">
        <f>IF($N29="","",IF(NOT(ISNUMBER($D29)),"",IF($D29&lt;InicioCiclo,"Antes del ciclo",IF($D29&gt;=InicioCiclo+28,"Después del ciclo","Semana "&amp;(INT(($D29-InicioCiclo)/7)+1)))))</f>
        <v/>
      </c>
      <c r="F29" s="61">
        <f>IF($N29="","",IF($P29&gt;0,IF(1&lt;=SemanaActual,INDEX('Cronograma R. Financiero'!$AH$5:$AH$1000,$N29),""),IF(INDEX('Cronograma R. Financiero'!$I$5:$I$1000,$N29)="","",INDEX('Cronograma R. Financiero'!$I$5:$I$1000,$N29))))</f>
        <v/>
      </c>
      <c r="G29" s="61">
        <f>IF($N29="","",IF($P29&gt;0,IF(2&lt;=SemanaActual,INDEX('Cronograma R. Financiero'!$AI$5:$AI$1000,$N29),""),IF(INDEX('Cronograma R. Financiero'!$J$5:$J$1000,$N29)="","",INDEX('Cronograma R. Financiero'!$J$5:$J$1000,$N29))))</f>
        <v/>
      </c>
      <c r="H29" s="61">
        <f>IF($N29="","",IF($P29&gt;0,IF(3&lt;=SemanaActual,INDEX('Cronograma R. Financiero'!$AJ$5:$AJ$1000,$N29),""),IF(INDEX('Cronograma R. Financiero'!$K$5:$K$1000,$N29)="","",INDEX('Cronograma R. Financiero'!$K$5:$K$1000,$N29))))</f>
        <v/>
      </c>
      <c r="I29" s="61">
        <f>IF($N29="","",IF($P29&gt;0,IF(4&lt;=SemanaActual,INDEX('Cronograma R. Financiero'!$AK$5:$AK$1000,$N29),""),IF(INDEX('Cronograma R. Financiero'!$L$5:$L$1000,$N29)="","",INDEX('Cronograma R. Financiero'!$L$5:$L$1000,$N29))))</f>
        <v/>
      </c>
      <c r="J29" s="61">
        <f>IF($N29="","",INDEX('Cronograma R. Financiero'!$M$5:$M$1000,$N29))</f>
        <v/>
      </c>
      <c r="K29" s="56">
        <f>IF($N29="","",IF(N($J29)&gt;=1,"Completado",IF(AND(ISNUMBER($D29),$D29&lt;FechaRef),"Vencida",IF(N($J29)&gt;0,"En curso","Pendiente"))))</f>
        <v/>
      </c>
      <c r="L29" s="56">
        <f>IF($N29="","",INDEX('Cronograma R. Financiero'!$O$5:$O$1000,$N29)&amp;"")</f>
        <v/>
      </c>
      <c r="M29" s="62">
        <f>IF($N29="","",INDEX('Cronograma R. Financiero'!$Q$5:$Q$1000,$N29)&amp;"")</f>
        <v/>
      </c>
      <c r="N29">
        <f>IFERROR(MATCH(ROW()-4,rOrden_RF,0),"")</f>
        <v/>
      </c>
      <c r="O29">
        <f>IF($N29="","",INDEX('Cronograma R. Financiero'!$V$5:$V$1000,$N29))</f>
        <v/>
      </c>
      <c r="P29">
        <f>IF($N29="","",N(INDEX('Cronograma R. Financiero'!$W$5:$W$1000,$N29)))</f>
        <v/>
      </c>
      <c r="Q29">
        <f>IF(OR(LEFT($L29,7)="Vencida",LEFT($L29,5)="Vence"),SUMPRODUCT(--(LEFT($L$5:$L29,7)="Vencida"))+SUMPRODUCT(--(LEFT($L$5:$L29,5)="Vence")),"")</f>
        <v/>
      </c>
    </row>
    <row r="30">
      <c r="A30" s="56">
        <f>IF($N30="","",INDEX('Cronograma R. Financiero'!$A$5:$A$1000,$N30))</f>
        <v/>
      </c>
      <c r="B30" s="62">
        <f>IF($N30="","",IF($O30="Sub","      ↳  "&amp;INDEX('Cronograma R. Financiero'!$C$5:$C$1000,$N30),INDEX('Cronograma R. Financiero'!$C$5:$C$1000,$N30)&amp;""))</f>
        <v/>
      </c>
      <c r="C30" s="79">
        <f>IF($N30="","",IF(INDEX('Cronograma R. Financiero'!$AR$5:$AR$1000,$N30)="","",INDEX('Cronograma R. Financiero'!$AR$5:$AR$1000,$N30)))</f>
        <v/>
      </c>
      <c r="D30" s="79">
        <f>IF($N30="","",IF(INDEX('Cronograma R. Financiero'!$AS$5:$AS$1000,$N30)="","",INDEX('Cronograma R. Financiero'!$AS$5:$AS$1000,$N30)))</f>
        <v/>
      </c>
      <c r="E30" s="56">
        <f>IF($N30="","",IF(NOT(ISNUMBER($D30)),"",IF($D30&lt;InicioCiclo,"Antes del ciclo",IF($D30&gt;=InicioCiclo+28,"Después del ciclo","Semana "&amp;(INT(($D30-InicioCiclo)/7)+1)))))</f>
        <v/>
      </c>
      <c r="F30" s="61">
        <f>IF($N30="","",IF($P30&gt;0,IF(1&lt;=SemanaActual,INDEX('Cronograma R. Financiero'!$AH$5:$AH$1000,$N30),""),IF(INDEX('Cronograma R. Financiero'!$I$5:$I$1000,$N30)="","",INDEX('Cronograma R. Financiero'!$I$5:$I$1000,$N30))))</f>
        <v/>
      </c>
      <c r="G30" s="61">
        <f>IF($N30="","",IF($P30&gt;0,IF(2&lt;=SemanaActual,INDEX('Cronograma R. Financiero'!$AI$5:$AI$1000,$N30),""),IF(INDEX('Cronograma R. Financiero'!$J$5:$J$1000,$N30)="","",INDEX('Cronograma R. Financiero'!$J$5:$J$1000,$N30))))</f>
        <v/>
      </c>
      <c r="H30" s="61">
        <f>IF($N30="","",IF($P30&gt;0,IF(3&lt;=SemanaActual,INDEX('Cronograma R. Financiero'!$AJ$5:$AJ$1000,$N30),""),IF(INDEX('Cronograma R. Financiero'!$K$5:$K$1000,$N30)="","",INDEX('Cronograma R. Financiero'!$K$5:$K$1000,$N30))))</f>
        <v/>
      </c>
      <c r="I30" s="61">
        <f>IF($N30="","",IF($P30&gt;0,IF(4&lt;=SemanaActual,INDEX('Cronograma R. Financiero'!$AK$5:$AK$1000,$N30),""),IF(INDEX('Cronograma R. Financiero'!$L$5:$L$1000,$N30)="","",INDEX('Cronograma R. Financiero'!$L$5:$L$1000,$N30))))</f>
        <v/>
      </c>
      <c r="J30" s="61">
        <f>IF($N30="","",INDEX('Cronograma R. Financiero'!$M$5:$M$1000,$N30))</f>
        <v/>
      </c>
      <c r="K30" s="56">
        <f>IF($N30="","",IF(N($J30)&gt;=1,"Completado",IF(AND(ISNUMBER($D30),$D30&lt;FechaRef),"Vencida",IF(N($J30)&gt;0,"En curso","Pendiente"))))</f>
        <v/>
      </c>
      <c r="L30" s="56">
        <f>IF($N30="","",INDEX('Cronograma R. Financiero'!$O$5:$O$1000,$N30)&amp;"")</f>
        <v/>
      </c>
      <c r="M30" s="62">
        <f>IF($N30="","",INDEX('Cronograma R. Financiero'!$Q$5:$Q$1000,$N30)&amp;"")</f>
        <v/>
      </c>
      <c r="N30">
        <f>IFERROR(MATCH(ROW()-4,rOrden_RF,0),"")</f>
        <v/>
      </c>
      <c r="O30">
        <f>IF($N30="","",INDEX('Cronograma R. Financiero'!$V$5:$V$1000,$N30))</f>
        <v/>
      </c>
      <c r="P30">
        <f>IF($N30="","",N(INDEX('Cronograma R. Financiero'!$W$5:$W$1000,$N30)))</f>
        <v/>
      </c>
      <c r="Q30">
        <f>IF(OR(LEFT($L30,7)="Vencida",LEFT($L30,5)="Vence"),SUMPRODUCT(--(LEFT($L$5:$L30,7)="Vencida"))+SUMPRODUCT(--(LEFT($L$5:$L30,5)="Vence")),"")</f>
        <v/>
      </c>
    </row>
    <row r="31">
      <c r="A31" s="56">
        <f>IF($N31="","",INDEX('Cronograma R. Financiero'!$A$5:$A$1000,$N31))</f>
        <v/>
      </c>
      <c r="B31" s="62">
        <f>IF($N31="","",IF($O31="Sub","      ↳  "&amp;INDEX('Cronograma R. Financiero'!$C$5:$C$1000,$N31),INDEX('Cronograma R. Financiero'!$C$5:$C$1000,$N31)&amp;""))</f>
        <v/>
      </c>
      <c r="C31" s="79">
        <f>IF($N31="","",IF(INDEX('Cronograma R. Financiero'!$AR$5:$AR$1000,$N31)="","",INDEX('Cronograma R. Financiero'!$AR$5:$AR$1000,$N31)))</f>
        <v/>
      </c>
      <c r="D31" s="79">
        <f>IF($N31="","",IF(INDEX('Cronograma R. Financiero'!$AS$5:$AS$1000,$N31)="","",INDEX('Cronograma R. Financiero'!$AS$5:$AS$1000,$N31)))</f>
        <v/>
      </c>
      <c r="E31" s="56">
        <f>IF($N31="","",IF(NOT(ISNUMBER($D31)),"",IF($D31&lt;InicioCiclo,"Antes del ciclo",IF($D31&gt;=InicioCiclo+28,"Después del ciclo","Semana "&amp;(INT(($D31-InicioCiclo)/7)+1)))))</f>
        <v/>
      </c>
      <c r="F31" s="61">
        <f>IF($N31="","",IF($P31&gt;0,IF(1&lt;=SemanaActual,INDEX('Cronograma R. Financiero'!$AH$5:$AH$1000,$N31),""),IF(INDEX('Cronograma R. Financiero'!$I$5:$I$1000,$N31)="","",INDEX('Cronograma R. Financiero'!$I$5:$I$1000,$N31))))</f>
        <v/>
      </c>
      <c r="G31" s="61">
        <f>IF($N31="","",IF($P31&gt;0,IF(2&lt;=SemanaActual,INDEX('Cronograma R. Financiero'!$AI$5:$AI$1000,$N31),""),IF(INDEX('Cronograma R. Financiero'!$J$5:$J$1000,$N31)="","",INDEX('Cronograma R. Financiero'!$J$5:$J$1000,$N31))))</f>
        <v/>
      </c>
      <c r="H31" s="61">
        <f>IF($N31="","",IF($P31&gt;0,IF(3&lt;=SemanaActual,INDEX('Cronograma R. Financiero'!$AJ$5:$AJ$1000,$N31),""),IF(INDEX('Cronograma R. Financiero'!$K$5:$K$1000,$N31)="","",INDEX('Cronograma R. Financiero'!$K$5:$K$1000,$N31))))</f>
        <v/>
      </c>
      <c r="I31" s="61">
        <f>IF($N31="","",IF($P31&gt;0,IF(4&lt;=SemanaActual,INDEX('Cronograma R. Financiero'!$AK$5:$AK$1000,$N31),""),IF(INDEX('Cronograma R. Financiero'!$L$5:$L$1000,$N31)="","",INDEX('Cronograma R. Financiero'!$L$5:$L$1000,$N31))))</f>
        <v/>
      </c>
      <c r="J31" s="61">
        <f>IF($N31="","",INDEX('Cronograma R. Financiero'!$M$5:$M$1000,$N31))</f>
        <v/>
      </c>
      <c r="K31" s="56">
        <f>IF($N31="","",IF(N($J31)&gt;=1,"Completado",IF(AND(ISNUMBER($D31),$D31&lt;FechaRef),"Vencida",IF(N($J31)&gt;0,"En curso","Pendiente"))))</f>
        <v/>
      </c>
      <c r="L31" s="56">
        <f>IF($N31="","",INDEX('Cronograma R. Financiero'!$O$5:$O$1000,$N31)&amp;"")</f>
        <v/>
      </c>
      <c r="M31" s="62">
        <f>IF($N31="","",INDEX('Cronograma R. Financiero'!$Q$5:$Q$1000,$N31)&amp;"")</f>
        <v/>
      </c>
      <c r="N31">
        <f>IFERROR(MATCH(ROW()-4,rOrden_RF,0),"")</f>
        <v/>
      </c>
      <c r="O31">
        <f>IF($N31="","",INDEX('Cronograma R. Financiero'!$V$5:$V$1000,$N31))</f>
        <v/>
      </c>
      <c r="P31">
        <f>IF($N31="","",N(INDEX('Cronograma R. Financiero'!$W$5:$W$1000,$N31)))</f>
        <v/>
      </c>
      <c r="Q31">
        <f>IF(OR(LEFT($L31,7)="Vencida",LEFT($L31,5)="Vence"),SUMPRODUCT(--(LEFT($L$5:$L31,7)="Vencida"))+SUMPRODUCT(--(LEFT($L$5:$L31,5)="Vence")),"")</f>
        <v/>
      </c>
    </row>
    <row r="32">
      <c r="A32" s="56">
        <f>IF($N32="","",INDEX('Cronograma R. Financiero'!$A$5:$A$1000,$N32))</f>
        <v/>
      </c>
      <c r="B32" s="62">
        <f>IF($N32="","",IF($O32="Sub","      ↳  "&amp;INDEX('Cronograma R. Financiero'!$C$5:$C$1000,$N32),INDEX('Cronograma R. Financiero'!$C$5:$C$1000,$N32)&amp;""))</f>
        <v/>
      </c>
      <c r="C32" s="79">
        <f>IF($N32="","",IF(INDEX('Cronograma R. Financiero'!$AR$5:$AR$1000,$N32)="","",INDEX('Cronograma R. Financiero'!$AR$5:$AR$1000,$N32)))</f>
        <v/>
      </c>
      <c r="D32" s="79">
        <f>IF($N32="","",IF(INDEX('Cronograma R. Financiero'!$AS$5:$AS$1000,$N32)="","",INDEX('Cronograma R. Financiero'!$AS$5:$AS$1000,$N32)))</f>
        <v/>
      </c>
      <c r="E32" s="56">
        <f>IF($N32="","",IF(NOT(ISNUMBER($D32)),"",IF($D32&lt;InicioCiclo,"Antes del ciclo",IF($D32&gt;=InicioCiclo+28,"Después del ciclo","Semana "&amp;(INT(($D32-InicioCiclo)/7)+1)))))</f>
        <v/>
      </c>
      <c r="F32" s="61">
        <f>IF($N32="","",IF($P32&gt;0,IF(1&lt;=SemanaActual,INDEX('Cronograma R. Financiero'!$AH$5:$AH$1000,$N32),""),IF(INDEX('Cronograma R. Financiero'!$I$5:$I$1000,$N32)="","",INDEX('Cronograma R. Financiero'!$I$5:$I$1000,$N32))))</f>
        <v/>
      </c>
      <c r="G32" s="61">
        <f>IF($N32="","",IF($P32&gt;0,IF(2&lt;=SemanaActual,INDEX('Cronograma R. Financiero'!$AI$5:$AI$1000,$N32),""),IF(INDEX('Cronograma R. Financiero'!$J$5:$J$1000,$N32)="","",INDEX('Cronograma R. Financiero'!$J$5:$J$1000,$N32))))</f>
        <v/>
      </c>
      <c r="H32" s="61">
        <f>IF($N32="","",IF($P32&gt;0,IF(3&lt;=SemanaActual,INDEX('Cronograma R. Financiero'!$AJ$5:$AJ$1000,$N32),""),IF(INDEX('Cronograma R. Financiero'!$K$5:$K$1000,$N32)="","",INDEX('Cronograma R. Financiero'!$K$5:$K$1000,$N32))))</f>
        <v/>
      </c>
      <c r="I32" s="61">
        <f>IF($N32="","",IF($P32&gt;0,IF(4&lt;=SemanaActual,INDEX('Cronograma R. Financiero'!$AK$5:$AK$1000,$N32),""),IF(INDEX('Cronograma R. Financiero'!$L$5:$L$1000,$N32)="","",INDEX('Cronograma R. Financiero'!$L$5:$L$1000,$N32))))</f>
        <v/>
      </c>
      <c r="J32" s="61">
        <f>IF($N32="","",INDEX('Cronograma R. Financiero'!$M$5:$M$1000,$N32))</f>
        <v/>
      </c>
      <c r="K32" s="56">
        <f>IF($N32="","",IF(N($J32)&gt;=1,"Completado",IF(AND(ISNUMBER($D32),$D32&lt;FechaRef),"Vencida",IF(N($J32)&gt;0,"En curso","Pendiente"))))</f>
        <v/>
      </c>
      <c r="L32" s="56">
        <f>IF($N32="","",INDEX('Cronograma R. Financiero'!$O$5:$O$1000,$N32)&amp;"")</f>
        <v/>
      </c>
      <c r="M32" s="62">
        <f>IF($N32="","",INDEX('Cronograma R. Financiero'!$Q$5:$Q$1000,$N32)&amp;"")</f>
        <v/>
      </c>
      <c r="N32">
        <f>IFERROR(MATCH(ROW()-4,rOrden_RF,0),"")</f>
        <v/>
      </c>
      <c r="O32">
        <f>IF($N32="","",INDEX('Cronograma R. Financiero'!$V$5:$V$1000,$N32))</f>
        <v/>
      </c>
      <c r="P32">
        <f>IF($N32="","",N(INDEX('Cronograma R. Financiero'!$W$5:$W$1000,$N32)))</f>
        <v/>
      </c>
      <c r="Q32">
        <f>IF(OR(LEFT($L32,7)="Vencida",LEFT($L32,5)="Vence"),SUMPRODUCT(--(LEFT($L$5:$L32,7)="Vencida"))+SUMPRODUCT(--(LEFT($L$5:$L32,5)="Vence")),"")</f>
        <v/>
      </c>
    </row>
    <row r="33">
      <c r="A33" s="56">
        <f>IF($N33="","",INDEX('Cronograma R. Financiero'!$A$5:$A$1000,$N33))</f>
        <v/>
      </c>
      <c r="B33" s="62">
        <f>IF($N33="","",IF($O33="Sub","      ↳  "&amp;INDEX('Cronograma R. Financiero'!$C$5:$C$1000,$N33),INDEX('Cronograma R. Financiero'!$C$5:$C$1000,$N33)&amp;""))</f>
        <v/>
      </c>
      <c r="C33" s="79">
        <f>IF($N33="","",IF(INDEX('Cronograma R. Financiero'!$AR$5:$AR$1000,$N33)="","",INDEX('Cronograma R. Financiero'!$AR$5:$AR$1000,$N33)))</f>
        <v/>
      </c>
      <c r="D33" s="79">
        <f>IF($N33="","",IF(INDEX('Cronograma R. Financiero'!$AS$5:$AS$1000,$N33)="","",INDEX('Cronograma R. Financiero'!$AS$5:$AS$1000,$N33)))</f>
        <v/>
      </c>
      <c r="E33" s="56">
        <f>IF($N33="","",IF(NOT(ISNUMBER($D33)),"",IF($D33&lt;InicioCiclo,"Antes del ciclo",IF($D33&gt;=InicioCiclo+28,"Después del ciclo","Semana "&amp;(INT(($D33-InicioCiclo)/7)+1)))))</f>
        <v/>
      </c>
      <c r="F33" s="61">
        <f>IF($N33="","",IF($P33&gt;0,IF(1&lt;=SemanaActual,INDEX('Cronograma R. Financiero'!$AH$5:$AH$1000,$N33),""),IF(INDEX('Cronograma R. Financiero'!$I$5:$I$1000,$N33)="","",INDEX('Cronograma R. Financiero'!$I$5:$I$1000,$N33))))</f>
        <v/>
      </c>
      <c r="G33" s="61">
        <f>IF($N33="","",IF($P33&gt;0,IF(2&lt;=SemanaActual,INDEX('Cronograma R. Financiero'!$AI$5:$AI$1000,$N33),""),IF(INDEX('Cronograma R. Financiero'!$J$5:$J$1000,$N33)="","",INDEX('Cronograma R. Financiero'!$J$5:$J$1000,$N33))))</f>
        <v/>
      </c>
      <c r="H33" s="61">
        <f>IF($N33="","",IF($P33&gt;0,IF(3&lt;=SemanaActual,INDEX('Cronograma R. Financiero'!$AJ$5:$AJ$1000,$N33),""),IF(INDEX('Cronograma R. Financiero'!$K$5:$K$1000,$N33)="","",INDEX('Cronograma R. Financiero'!$K$5:$K$1000,$N33))))</f>
        <v/>
      </c>
      <c r="I33" s="61">
        <f>IF($N33="","",IF($P33&gt;0,IF(4&lt;=SemanaActual,INDEX('Cronograma R. Financiero'!$AK$5:$AK$1000,$N33),""),IF(INDEX('Cronograma R. Financiero'!$L$5:$L$1000,$N33)="","",INDEX('Cronograma R. Financiero'!$L$5:$L$1000,$N33))))</f>
        <v/>
      </c>
      <c r="J33" s="61">
        <f>IF($N33="","",INDEX('Cronograma R. Financiero'!$M$5:$M$1000,$N33))</f>
        <v/>
      </c>
      <c r="K33" s="56">
        <f>IF($N33="","",IF(N($J33)&gt;=1,"Completado",IF(AND(ISNUMBER($D33),$D33&lt;FechaRef),"Vencida",IF(N($J33)&gt;0,"En curso","Pendiente"))))</f>
        <v/>
      </c>
      <c r="L33" s="56">
        <f>IF($N33="","",INDEX('Cronograma R. Financiero'!$O$5:$O$1000,$N33)&amp;"")</f>
        <v/>
      </c>
      <c r="M33" s="62">
        <f>IF($N33="","",INDEX('Cronograma R. Financiero'!$Q$5:$Q$1000,$N33)&amp;"")</f>
        <v/>
      </c>
      <c r="N33">
        <f>IFERROR(MATCH(ROW()-4,rOrden_RF,0),"")</f>
        <v/>
      </c>
      <c r="O33">
        <f>IF($N33="","",INDEX('Cronograma R. Financiero'!$V$5:$V$1000,$N33))</f>
        <v/>
      </c>
      <c r="P33">
        <f>IF($N33="","",N(INDEX('Cronograma R. Financiero'!$W$5:$W$1000,$N33)))</f>
        <v/>
      </c>
      <c r="Q33">
        <f>IF(OR(LEFT($L33,7)="Vencida",LEFT($L33,5)="Vence"),SUMPRODUCT(--(LEFT($L$5:$L33,7)="Vencida"))+SUMPRODUCT(--(LEFT($L$5:$L33,5)="Vence")),"")</f>
        <v/>
      </c>
    </row>
    <row r="34">
      <c r="A34" s="56">
        <f>IF($N34="","",INDEX('Cronograma R. Financiero'!$A$5:$A$1000,$N34))</f>
        <v/>
      </c>
      <c r="B34" s="62">
        <f>IF($N34="","",IF($O34="Sub","      ↳  "&amp;INDEX('Cronograma R. Financiero'!$C$5:$C$1000,$N34),INDEX('Cronograma R. Financiero'!$C$5:$C$1000,$N34)&amp;""))</f>
        <v/>
      </c>
      <c r="C34" s="79">
        <f>IF($N34="","",IF(INDEX('Cronograma R. Financiero'!$AR$5:$AR$1000,$N34)="","",INDEX('Cronograma R. Financiero'!$AR$5:$AR$1000,$N34)))</f>
        <v/>
      </c>
      <c r="D34" s="79">
        <f>IF($N34="","",IF(INDEX('Cronograma R. Financiero'!$AS$5:$AS$1000,$N34)="","",INDEX('Cronograma R. Financiero'!$AS$5:$AS$1000,$N34)))</f>
        <v/>
      </c>
      <c r="E34" s="56">
        <f>IF($N34="","",IF(NOT(ISNUMBER($D34)),"",IF($D34&lt;InicioCiclo,"Antes del ciclo",IF($D34&gt;=InicioCiclo+28,"Después del ciclo","Semana "&amp;(INT(($D34-InicioCiclo)/7)+1)))))</f>
        <v/>
      </c>
      <c r="F34" s="61">
        <f>IF($N34="","",IF($P34&gt;0,IF(1&lt;=SemanaActual,INDEX('Cronograma R. Financiero'!$AH$5:$AH$1000,$N34),""),IF(INDEX('Cronograma R. Financiero'!$I$5:$I$1000,$N34)="","",INDEX('Cronograma R. Financiero'!$I$5:$I$1000,$N34))))</f>
        <v/>
      </c>
      <c r="G34" s="61">
        <f>IF($N34="","",IF($P34&gt;0,IF(2&lt;=SemanaActual,INDEX('Cronograma R. Financiero'!$AI$5:$AI$1000,$N34),""),IF(INDEX('Cronograma R. Financiero'!$J$5:$J$1000,$N34)="","",INDEX('Cronograma R. Financiero'!$J$5:$J$1000,$N34))))</f>
        <v/>
      </c>
      <c r="H34" s="61">
        <f>IF($N34="","",IF($P34&gt;0,IF(3&lt;=SemanaActual,INDEX('Cronograma R. Financiero'!$AJ$5:$AJ$1000,$N34),""),IF(INDEX('Cronograma R. Financiero'!$K$5:$K$1000,$N34)="","",INDEX('Cronograma R. Financiero'!$K$5:$K$1000,$N34))))</f>
        <v/>
      </c>
      <c r="I34" s="61">
        <f>IF($N34="","",IF($P34&gt;0,IF(4&lt;=SemanaActual,INDEX('Cronograma R. Financiero'!$AK$5:$AK$1000,$N34),""),IF(INDEX('Cronograma R. Financiero'!$L$5:$L$1000,$N34)="","",INDEX('Cronograma R. Financiero'!$L$5:$L$1000,$N34))))</f>
        <v/>
      </c>
      <c r="J34" s="61">
        <f>IF($N34="","",INDEX('Cronograma R. Financiero'!$M$5:$M$1000,$N34))</f>
        <v/>
      </c>
      <c r="K34" s="56">
        <f>IF($N34="","",IF(N($J34)&gt;=1,"Completado",IF(AND(ISNUMBER($D34),$D34&lt;FechaRef),"Vencida",IF(N($J34)&gt;0,"En curso","Pendiente"))))</f>
        <v/>
      </c>
      <c r="L34" s="56">
        <f>IF($N34="","",INDEX('Cronograma R. Financiero'!$O$5:$O$1000,$N34)&amp;"")</f>
        <v/>
      </c>
      <c r="M34" s="62">
        <f>IF($N34="","",INDEX('Cronograma R. Financiero'!$Q$5:$Q$1000,$N34)&amp;"")</f>
        <v/>
      </c>
      <c r="N34">
        <f>IFERROR(MATCH(ROW()-4,rOrden_RF,0),"")</f>
        <v/>
      </c>
      <c r="O34">
        <f>IF($N34="","",INDEX('Cronograma R. Financiero'!$V$5:$V$1000,$N34))</f>
        <v/>
      </c>
      <c r="P34">
        <f>IF($N34="","",N(INDEX('Cronograma R. Financiero'!$W$5:$W$1000,$N34)))</f>
        <v/>
      </c>
      <c r="Q34">
        <f>IF(OR(LEFT($L34,7)="Vencida",LEFT($L34,5)="Vence"),SUMPRODUCT(--(LEFT($L$5:$L34,7)="Vencida"))+SUMPRODUCT(--(LEFT($L$5:$L34,5)="Vence")),"")</f>
        <v/>
      </c>
    </row>
    <row r="35">
      <c r="A35" s="56">
        <f>IF($N35="","",INDEX('Cronograma R. Financiero'!$A$5:$A$1000,$N35))</f>
        <v/>
      </c>
      <c r="B35" s="62">
        <f>IF($N35="","",IF($O35="Sub","      ↳  "&amp;INDEX('Cronograma R. Financiero'!$C$5:$C$1000,$N35),INDEX('Cronograma R. Financiero'!$C$5:$C$1000,$N35)&amp;""))</f>
        <v/>
      </c>
      <c r="C35" s="79">
        <f>IF($N35="","",IF(INDEX('Cronograma R. Financiero'!$AR$5:$AR$1000,$N35)="","",INDEX('Cronograma R. Financiero'!$AR$5:$AR$1000,$N35)))</f>
        <v/>
      </c>
      <c r="D35" s="79">
        <f>IF($N35="","",IF(INDEX('Cronograma R. Financiero'!$AS$5:$AS$1000,$N35)="","",INDEX('Cronograma R. Financiero'!$AS$5:$AS$1000,$N35)))</f>
        <v/>
      </c>
      <c r="E35" s="56">
        <f>IF($N35="","",IF(NOT(ISNUMBER($D35)),"",IF($D35&lt;InicioCiclo,"Antes del ciclo",IF($D35&gt;=InicioCiclo+28,"Después del ciclo","Semana "&amp;(INT(($D35-InicioCiclo)/7)+1)))))</f>
        <v/>
      </c>
      <c r="F35" s="61">
        <f>IF($N35="","",IF($P35&gt;0,IF(1&lt;=SemanaActual,INDEX('Cronograma R. Financiero'!$AH$5:$AH$1000,$N35),""),IF(INDEX('Cronograma R. Financiero'!$I$5:$I$1000,$N35)="","",INDEX('Cronograma R. Financiero'!$I$5:$I$1000,$N35))))</f>
        <v/>
      </c>
      <c r="G35" s="61">
        <f>IF($N35="","",IF($P35&gt;0,IF(2&lt;=SemanaActual,INDEX('Cronograma R. Financiero'!$AI$5:$AI$1000,$N35),""),IF(INDEX('Cronograma R. Financiero'!$J$5:$J$1000,$N35)="","",INDEX('Cronograma R. Financiero'!$J$5:$J$1000,$N35))))</f>
        <v/>
      </c>
      <c r="H35" s="61">
        <f>IF($N35="","",IF($P35&gt;0,IF(3&lt;=SemanaActual,INDEX('Cronograma R. Financiero'!$AJ$5:$AJ$1000,$N35),""),IF(INDEX('Cronograma R. Financiero'!$K$5:$K$1000,$N35)="","",INDEX('Cronograma R. Financiero'!$K$5:$K$1000,$N35))))</f>
        <v/>
      </c>
      <c r="I35" s="61">
        <f>IF($N35="","",IF($P35&gt;0,IF(4&lt;=SemanaActual,INDEX('Cronograma R. Financiero'!$AK$5:$AK$1000,$N35),""),IF(INDEX('Cronograma R. Financiero'!$L$5:$L$1000,$N35)="","",INDEX('Cronograma R. Financiero'!$L$5:$L$1000,$N35))))</f>
        <v/>
      </c>
      <c r="J35" s="61">
        <f>IF($N35="","",INDEX('Cronograma R. Financiero'!$M$5:$M$1000,$N35))</f>
        <v/>
      </c>
      <c r="K35" s="56">
        <f>IF($N35="","",IF(N($J35)&gt;=1,"Completado",IF(AND(ISNUMBER($D35),$D35&lt;FechaRef),"Vencida",IF(N($J35)&gt;0,"En curso","Pendiente"))))</f>
        <v/>
      </c>
      <c r="L35" s="56">
        <f>IF($N35="","",INDEX('Cronograma R. Financiero'!$O$5:$O$1000,$N35)&amp;"")</f>
        <v/>
      </c>
      <c r="M35" s="62">
        <f>IF($N35="","",INDEX('Cronograma R. Financiero'!$Q$5:$Q$1000,$N35)&amp;"")</f>
        <v/>
      </c>
      <c r="N35">
        <f>IFERROR(MATCH(ROW()-4,rOrden_RF,0),"")</f>
        <v/>
      </c>
      <c r="O35">
        <f>IF($N35="","",INDEX('Cronograma R. Financiero'!$V$5:$V$1000,$N35))</f>
        <v/>
      </c>
      <c r="P35">
        <f>IF($N35="","",N(INDEX('Cronograma R. Financiero'!$W$5:$W$1000,$N35)))</f>
        <v/>
      </c>
      <c r="Q35">
        <f>IF(OR(LEFT($L35,7)="Vencida",LEFT($L35,5)="Vence"),SUMPRODUCT(--(LEFT($L$5:$L35,7)="Vencida"))+SUMPRODUCT(--(LEFT($L$5:$L35,5)="Vence")),"")</f>
        <v/>
      </c>
    </row>
    <row r="36">
      <c r="A36" s="56">
        <f>IF($N36="","",INDEX('Cronograma R. Financiero'!$A$5:$A$1000,$N36))</f>
        <v/>
      </c>
      <c r="B36" s="62">
        <f>IF($N36="","",IF($O36="Sub","      ↳  "&amp;INDEX('Cronograma R. Financiero'!$C$5:$C$1000,$N36),INDEX('Cronograma R. Financiero'!$C$5:$C$1000,$N36)&amp;""))</f>
        <v/>
      </c>
      <c r="C36" s="79">
        <f>IF($N36="","",IF(INDEX('Cronograma R. Financiero'!$AR$5:$AR$1000,$N36)="","",INDEX('Cronograma R. Financiero'!$AR$5:$AR$1000,$N36)))</f>
        <v/>
      </c>
      <c r="D36" s="79">
        <f>IF($N36="","",IF(INDEX('Cronograma R. Financiero'!$AS$5:$AS$1000,$N36)="","",INDEX('Cronograma R. Financiero'!$AS$5:$AS$1000,$N36)))</f>
        <v/>
      </c>
      <c r="E36" s="56">
        <f>IF($N36="","",IF(NOT(ISNUMBER($D36)),"",IF($D36&lt;InicioCiclo,"Antes del ciclo",IF($D36&gt;=InicioCiclo+28,"Después del ciclo","Semana "&amp;(INT(($D36-InicioCiclo)/7)+1)))))</f>
        <v/>
      </c>
      <c r="F36" s="61">
        <f>IF($N36="","",IF($P36&gt;0,IF(1&lt;=SemanaActual,INDEX('Cronograma R. Financiero'!$AH$5:$AH$1000,$N36),""),IF(INDEX('Cronograma R. Financiero'!$I$5:$I$1000,$N36)="","",INDEX('Cronograma R. Financiero'!$I$5:$I$1000,$N36))))</f>
        <v/>
      </c>
      <c r="G36" s="61">
        <f>IF($N36="","",IF($P36&gt;0,IF(2&lt;=SemanaActual,INDEX('Cronograma R. Financiero'!$AI$5:$AI$1000,$N36),""),IF(INDEX('Cronograma R. Financiero'!$J$5:$J$1000,$N36)="","",INDEX('Cronograma R. Financiero'!$J$5:$J$1000,$N36))))</f>
        <v/>
      </c>
      <c r="H36" s="61">
        <f>IF($N36="","",IF($P36&gt;0,IF(3&lt;=SemanaActual,INDEX('Cronograma R. Financiero'!$AJ$5:$AJ$1000,$N36),""),IF(INDEX('Cronograma R. Financiero'!$K$5:$K$1000,$N36)="","",INDEX('Cronograma R. Financiero'!$K$5:$K$1000,$N36))))</f>
        <v/>
      </c>
      <c r="I36" s="61">
        <f>IF($N36="","",IF($P36&gt;0,IF(4&lt;=SemanaActual,INDEX('Cronograma R. Financiero'!$AK$5:$AK$1000,$N36),""),IF(INDEX('Cronograma R. Financiero'!$L$5:$L$1000,$N36)="","",INDEX('Cronograma R. Financiero'!$L$5:$L$1000,$N36))))</f>
        <v/>
      </c>
      <c r="J36" s="61">
        <f>IF($N36="","",INDEX('Cronograma R. Financiero'!$M$5:$M$1000,$N36))</f>
        <v/>
      </c>
      <c r="K36" s="56">
        <f>IF($N36="","",IF(N($J36)&gt;=1,"Completado",IF(AND(ISNUMBER($D36),$D36&lt;FechaRef),"Vencida",IF(N($J36)&gt;0,"En curso","Pendiente"))))</f>
        <v/>
      </c>
      <c r="L36" s="56">
        <f>IF($N36="","",INDEX('Cronograma R. Financiero'!$O$5:$O$1000,$N36)&amp;"")</f>
        <v/>
      </c>
      <c r="M36" s="62">
        <f>IF($N36="","",INDEX('Cronograma R. Financiero'!$Q$5:$Q$1000,$N36)&amp;"")</f>
        <v/>
      </c>
      <c r="N36">
        <f>IFERROR(MATCH(ROW()-4,rOrden_RF,0),"")</f>
        <v/>
      </c>
      <c r="O36">
        <f>IF($N36="","",INDEX('Cronograma R. Financiero'!$V$5:$V$1000,$N36))</f>
        <v/>
      </c>
      <c r="P36">
        <f>IF($N36="","",N(INDEX('Cronograma R. Financiero'!$W$5:$W$1000,$N36)))</f>
        <v/>
      </c>
      <c r="Q36">
        <f>IF(OR(LEFT($L36,7)="Vencida",LEFT($L36,5)="Vence"),SUMPRODUCT(--(LEFT($L$5:$L36,7)="Vencida"))+SUMPRODUCT(--(LEFT($L$5:$L36,5)="Vence")),"")</f>
        <v/>
      </c>
    </row>
    <row r="37">
      <c r="A37" s="56">
        <f>IF($N37="","",INDEX('Cronograma R. Financiero'!$A$5:$A$1000,$N37))</f>
        <v/>
      </c>
      <c r="B37" s="62">
        <f>IF($N37="","",IF($O37="Sub","      ↳  "&amp;INDEX('Cronograma R. Financiero'!$C$5:$C$1000,$N37),INDEX('Cronograma R. Financiero'!$C$5:$C$1000,$N37)&amp;""))</f>
        <v/>
      </c>
      <c r="C37" s="79">
        <f>IF($N37="","",IF(INDEX('Cronograma R. Financiero'!$AR$5:$AR$1000,$N37)="","",INDEX('Cronograma R. Financiero'!$AR$5:$AR$1000,$N37)))</f>
        <v/>
      </c>
      <c r="D37" s="79">
        <f>IF($N37="","",IF(INDEX('Cronograma R. Financiero'!$AS$5:$AS$1000,$N37)="","",INDEX('Cronograma R. Financiero'!$AS$5:$AS$1000,$N37)))</f>
        <v/>
      </c>
      <c r="E37" s="56">
        <f>IF($N37="","",IF(NOT(ISNUMBER($D37)),"",IF($D37&lt;InicioCiclo,"Antes del ciclo",IF($D37&gt;=InicioCiclo+28,"Después del ciclo","Semana "&amp;(INT(($D37-InicioCiclo)/7)+1)))))</f>
        <v/>
      </c>
      <c r="F37" s="61">
        <f>IF($N37="","",IF($P37&gt;0,IF(1&lt;=SemanaActual,INDEX('Cronograma R. Financiero'!$AH$5:$AH$1000,$N37),""),IF(INDEX('Cronograma R. Financiero'!$I$5:$I$1000,$N37)="","",INDEX('Cronograma R. Financiero'!$I$5:$I$1000,$N37))))</f>
        <v/>
      </c>
      <c r="G37" s="61">
        <f>IF($N37="","",IF($P37&gt;0,IF(2&lt;=SemanaActual,INDEX('Cronograma R. Financiero'!$AI$5:$AI$1000,$N37),""),IF(INDEX('Cronograma R. Financiero'!$J$5:$J$1000,$N37)="","",INDEX('Cronograma R. Financiero'!$J$5:$J$1000,$N37))))</f>
        <v/>
      </c>
      <c r="H37" s="61">
        <f>IF($N37="","",IF($P37&gt;0,IF(3&lt;=SemanaActual,INDEX('Cronograma R. Financiero'!$AJ$5:$AJ$1000,$N37),""),IF(INDEX('Cronograma R. Financiero'!$K$5:$K$1000,$N37)="","",INDEX('Cronograma R. Financiero'!$K$5:$K$1000,$N37))))</f>
        <v/>
      </c>
      <c r="I37" s="61">
        <f>IF($N37="","",IF($P37&gt;0,IF(4&lt;=SemanaActual,INDEX('Cronograma R. Financiero'!$AK$5:$AK$1000,$N37),""),IF(INDEX('Cronograma R. Financiero'!$L$5:$L$1000,$N37)="","",INDEX('Cronograma R. Financiero'!$L$5:$L$1000,$N37))))</f>
        <v/>
      </c>
      <c r="J37" s="61">
        <f>IF($N37="","",INDEX('Cronograma R. Financiero'!$M$5:$M$1000,$N37))</f>
        <v/>
      </c>
      <c r="K37" s="56">
        <f>IF($N37="","",IF(N($J37)&gt;=1,"Completado",IF(AND(ISNUMBER($D37),$D37&lt;FechaRef),"Vencida",IF(N($J37)&gt;0,"En curso","Pendiente"))))</f>
        <v/>
      </c>
      <c r="L37" s="56">
        <f>IF($N37="","",INDEX('Cronograma R. Financiero'!$O$5:$O$1000,$N37)&amp;"")</f>
        <v/>
      </c>
      <c r="M37" s="62">
        <f>IF($N37="","",INDEX('Cronograma R. Financiero'!$Q$5:$Q$1000,$N37)&amp;"")</f>
        <v/>
      </c>
      <c r="N37">
        <f>IFERROR(MATCH(ROW()-4,rOrden_RF,0),"")</f>
        <v/>
      </c>
      <c r="O37">
        <f>IF($N37="","",INDEX('Cronograma R. Financiero'!$V$5:$V$1000,$N37))</f>
        <v/>
      </c>
      <c r="P37">
        <f>IF($N37="","",N(INDEX('Cronograma R. Financiero'!$W$5:$W$1000,$N37)))</f>
        <v/>
      </c>
      <c r="Q37">
        <f>IF(OR(LEFT($L37,7)="Vencida",LEFT($L37,5)="Vence"),SUMPRODUCT(--(LEFT($L$5:$L37,7)="Vencida"))+SUMPRODUCT(--(LEFT($L$5:$L37,5)="Vence")),"")</f>
        <v/>
      </c>
    </row>
    <row r="38">
      <c r="A38" s="56">
        <f>IF($N38="","",INDEX('Cronograma R. Financiero'!$A$5:$A$1000,$N38))</f>
        <v/>
      </c>
      <c r="B38" s="62">
        <f>IF($N38="","",IF($O38="Sub","      ↳  "&amp;INDEX('Cronograma R. Financiero'!$C$5:$C$1000,$N38),INDEX('Cronograma R. Financiero'!$C$5:$C$1000,$N38)&amp;""))</f>
        <v/>
      </c>
      <c r="C38" s="79">
        <f>IF($N38="","",IF(INDEX('Cronograma R. Financiero'!$AR$5:$AR$1000,$N38)="","",INDEX('Cronograma R. Financiero'!$AR$5:$AR$1000,$N38)))</f>
        <v/>
      </c>
      <c r="D38" s="79">
        <f>IF($N38="","",IF(INDEX('Cronograma R. Financiero'!$AS$5:$AS$1000,$N38)="","",INDEX('Cronograma R. Financiero'!$AS$5:$AS$1000,$N38)))</f>
        <v/>
      </c>
      <c r="E38" s="56">
        <f>IF($N38="","",IF(NOT(ISNUMBER($D38)),"",IF($D38&lt;InicioCiclo,"Antes del ciclo",IF($D38&gt;=InicioCiclo+28,"Después del ciclo","Semana "&amp;(INT(($D38-InicioCiclo)/7)+1)))))</f>
        <v/>
      </c>
      <c r="F38" s="61">
        <f>IF($N38="","",IF($P38&gt;0,IF(1&lt;=SemanaActual,INDEX('Cronograma R. Financiero'!$AH$5:$AH$1000,$N38),""),IF(INDEX('Cronograma R. Financiero'!$I$5:$I$1000,$N38)="","",INDEX('Cronograma R. Financiero'!$I$5:$I$1000,$N38))))</f>
        <v/>
      </c>
      <c r="G38" s="61">
        <f>IF($N38="","",IF($P38&gt;0,IF(2&lt;=SemanaActual,INDEX('Cronograma R. Financiero'!$AI$5:$AI$1000,$N38),""),IF(INDEX('Cronograma R. Financiero'!$J$5:$J$1000,$N38)="","",INDEX('Cronograma R. Financiero'!$J$5:$J$1000,$N38))))</f>
        <v/>
      </c>
      <c r="H38" s="61">
        <f>IF($N38="","",IF($P38&gt;0,IF(3&lt;=SemanaActual,INDEX('Cronograma R. Financiero'!$AJ$5:$AJ$1000,$N38),""),IF(INDEX('Cronograma R. Financiero'!$K$5:$K$1000,$N38)="","",INDEX('Cronograma R. Financiero'!$K$5:$K$1000,$N38))))</f>
        <v/>
      </c>
      <c r="I38" s="61">
        <f>IF($N38="","",IF($P38&gt;0,IF(4&lt;=SemanaActual,INDEX('Cronograma R. Financiero'!$AK$5:$AK$1000,$N38),""),IF(INDEX('Cronograma R. Financiero'!$L$5:$L$1000,$N38)="","",INDEX('Cronograma R. Financiero'!$L$5:$L$1000,$N38))))</f>
        <v/>
      </c>
      <c r="J38" s="61">
        <f>IF($N38="","",INDEX('Cronograma R. Financiero'!$M$5:$M$1000,$N38))</f>
        <v/>
      </c>
      <c r="K38" s="56">
        <f>IF($N38="","",IF(N($J38)&gt;=1,"Completado",IF(AND(ISNUMBER($D38),$D38&lt;FechaRef),"Vencida",IF(N($J38)&gt;0,"En curso","Pendiente"))))</f>
        <v/>
      </c>
      <c r="L38" s="56">
        <f>IF($N38="","",INDEX('Cronograma R. Financiero'!$O$5:$O$1000,$N38)&amp;"")</f>
        <v/>
      </c>
      <c r="M38" s="62">
        <f>IF($N38="","",INDEX('Cronograma R. Financiero'!$Q$5:$Q$1000,$N38)&amp;"")</f>
        <v/>
      </c>
      <c r="N38">
        <f>IFERROR(MATCH(ROW()-4,rOrden_RF,0),"")</f>
        <v/>
      </c>
      <c r="O38">
        <f>IF($N38="","",INDEX('Cronograma R. Financiero'!$V$5:$V$1000,$N38))</f>
        <v/>
      </c>
      <c r="P38">
        <f>IF($N38="","",N(INDEX('Cronograma R. Financiero'!$W$5:$W$1000,$N38)))</f>
        <v/>
      </c>
      <c r="Q38">
        <f>IF(OR(LEFT($L38,7)="Vencida",LEFT($L38,5)="Vence"),SUMPRODUCT(--(LEFT($L$5:$L38,7)="Vencida"))+SUMPRODUCT(--(LEFT($L$5:$L38,5)="Vence")),"")</f>
        <v/>
      </c>
    </row>
    <row r="39">
      <c r="A39" s="56">
        <f>IF($N39="","",INDEX('Cronograma R. Financiero'!$A$5:$A$1000,$N39))</f>
        <v/>
      </c>
      <c r="B39" s="62">
        <f>IF($N39="","",IF($O39="Sub","      ↳  "&amp;INDEX('Cronograma R. Financiero'!$C$5:$C$1000,$N39),INDEX('Cronograma R. Financiero'!$C$5:$C$1000,$N39)&amp;""))</f>
        <v/>
      </c>
      <c r="C39" s="79">
        <f>IF($N39="","",IF(INDEX('Cronograma R. Financiero'!$AR$5:$AR$1000,$N39)="","",INDEX('Cronograma R. Financiero'!$AR$5:$AR$1000,$N39)))</f>
        <v/>
      </c>
      <c r="D39" s="79">
        <f>IF($N39="","",IF(INDEX('Cronograma R. Financiero'!$AS$5:$AS$1000,$N39)="","",INDEX('Cronograma R. Financiero'!$AS$5:$AS$1000,$N39)))</f>
        <v/>
      </c>
      <c r="E39" s="56">
        <f>IF($N39="","",IF(NOT(ISNUMBER($D39)),"",IF($D39&lt;InicioCiclo,"Antes del ciclo",IF($D39&gt;=InicioCiclo+28,"Después del ciclo","Semana "&amp;(INT(($D39-InicioCiclo)/7)+1)))))</f>
        <v/>
      </c>
      <c r="F39" s="61">
        <f>IF($N39="","",IF($P39&gt;0,IF(1&lt;=SemanaActual,INDEX('Cronograma R. Financiero'!$AH$5:$AH$1000,$N39),""),IF(INDEX('Cronograma R. Financiero'!$I$5:$I$1000,$N39)="","",INDEX('Cronograma R. Financiero'!$I$5:$I$1000,$N39))))</f>
        <v/>
      </c>
      <c r="G39" s="61">
        <f>IF($N39="","",IF($P39&gt;0,IF(2&lt;=SemanaActual,INDEX('Cronograma R. Financiero'!$AI$5:$AI$1000,$N39),""),IF(INDEX('Cronograma R. Financiero'!$J$5:$J$1000,$N39)="","",INDEX('Cronograma R. Financiero'!$J$5:$J$1000,$N39))))</f>
        <v/>
      </c>
      <c r="H39" s="61">
        <f>IF($N39="","",IF($P39&gt;0,IF(3&lt;=SemanaActual,INDEX('Cronograma R. Financiero'!$AJ$5:$AJ$1000,$N39),""),IF(INDEX('Cronograma R. Financiero'!$K$5:$K$1000,$N39)="","",INDEX('Cronograma R. Financiero'!$K$5:$K$1000,$N39))))</f>
        <v/>
      </c>
      <c r="I39" s="61">
        <f>IF($N39="","",IF($P39&gt;0,IF(4&lt;=SemanaActual,INDEX('Cronograma R. Financiero'!$AK$5:$AK$1000,$N39),""),IF(INDEX('Cronograma R. Financiero'!$L$5:$L$1000,$N39)="","",INDEX('Cronograma R. Financiero'!$L$5:$L$1000,$N39))))</f>
        <v/>
      </c>
      <c r="J39" s="61">
        <f>IF($N39="","",INDEX('Cronograma R. Financiero'!$M$5:$M$1000,$N39))</f>
        <v/>
      </c>
      <c r="K39" s="56">
        <f>IF($N39="","",IF(N($J39)&gt;=1,"Completado",IF(AND(ISNUMBER($D39),$D39&lt;FechaRef),"Vencida",IF(N($J39)&gt;0,"En curso","Pendiente"))))</f>
        <v/>
      </c>
      <c r="L39" s="56">
        <f>IF($N39="","",INDEX('Cronograma R. Financiero'!$O$5:$O$1000,$N39)&amp;"")</f>
        <v/>
      </c>
      <c r="M39" s="62">
        <f>IF($N39="","",INDEX('Cronograma R. Financiero'!$Q$5:$Q$1000,$N39)&amp;"")</f>
        <v/>
      </c>
      <c r="N39">
        <f>IFERROR(MATCH(ROW()-4,rOrden_RF,0),"")</f>
        <v/>
      </c>
      <c r="O39">
        <f>IF($N39="","",INDEX('Cronograma R. Financiero'!$V$5:$V$1000,$N39))</f>
        <v/>
      </c>
      <c r="P39">
        <f>IF($N39="","",N(INDEX('Cronograma R. Financiero'!$W$5:$W$1000,$N39)))</f>
        <v/>
      </c>
      <c r="Q39">
        <f>IF(OR(LEFT($L39,7)="Vencida",LEFT($L39,5)="Vence"),SUMPRODUCT(--(LEFT($L$5:$L39,7)="Vencida"))+SUMPRODUCT(--(LEFT($L$5:$L39,5)="Vence")),"")</f>
        <v/>
      </c>
    </row>
    <row r="40">
      <c r="A40" s="56">
        <f>IF($N40="","",INDEX('Cronograma R. Financiero'!$A$5:$A$1000,$N40))</f>
        <v/>
      </c>
      <c r="B40" s="62">
        <f>IF($N40="","",IF($O40="Sub","      ↳  "&amp;INDEX('Cronograma R. Financiero'!$C$5:$C$1000,$N40),INDEX('Cronograma R. Financiero'!$C$5:$C$1000,$N40)&amp;""))</f>
        <v/>
      </c>
      <c r="C40" s="79">
        <f>IF($N40="","",IF(INDEX('Cronograma R. Financiero'!$AR$5:$AR$1000,$N40)="","",INDEX('Cronograma R. Financiero'!$AR$5:$AR$1000,$N40)))</f>
        <v/>
      </c>
      <c r="D40" s="79">
        <f>IF($N40="","",IF(INDEX('Cronograma R. Financiero'!$AS$5:$AS$1000,$N40)="","",INDEX('Cronograma R. Financiero'!$AS$5:$AS$1000,$N40)))</f>
        <v/>
      </c>
      <c r="E40" s="56">
        <f>IF($N40="","",IF(NOT(ISNUMBER($D40)),"",IF($D40&lt;InicioCiclo,"Antes del ciclo",IF($D40&gt;=InicioCiclo+28,"Después del ciclo","Semana "&amp;(INT(($D40-InicioCiclo)/7)+1)))))</f>
        <v/>
      </c>
      <c r="F40" s="61">
        <f>IF($N40="","",IF($P40&gt;0,IF(1&lt;=SemanaActual,INDEX('Cronograma R. Financiero'!$AH$5:$AH$1000,$N40),""),IF(INDEX('Cronograma R. Financiero'!$I$5:$I$1000,$N40)="","",INDEX('Cronograma R. Financiero'!$I$5:$I$1000,$N40))))</f>
        <v/>
      </c>
      <c r="G40" s="61">
        <f>IF($N40="","",IF($P40&gt;0,IF(2&lt;=SemanaActual,INDEX('Cronograma R. Financiero'!$AI$5:$AI$1000,$N40),""),IF(INDEX('Cronograma R. Financiero'!$J$5:$J$1000,$N40)="","",INDEX('Cronograma R. Financiero'!$J$5:$J$1000,$N40))))</f>
        <v/>
      </c>
      <c r="H40" s="61">
        <f>IF($N40="","",IF($P40&gt;0,IF(3&lt;=SemanaActual,INDEX('Cronograma R. Financiero'!$AJ$5:$AJ$1000,$N40),""),IF(INDEX('Cronograma R. Financiero'!$K$5:$K$1000,$N40)="","",INDEX('Cronograma R. Financiero'!$K$5:$K$1000,$N40))))</f>
        <v/>
      </c>
      <c r="I40" s="61">
        <f>IF($N40="","",IF($P40&gt;0,IF(4&lt;=SemanaActual,INDEX('Cronograma R. Financiero'!$AK$5:$AK$1000,$N40),""),IF(INDEX('Cronograma R. Financiero'!$L$5:$L$1000,$N40)="","",INDEX('Cronograma R. Financiero'!$L$5:$L$1000,$N40))))</f>
        <v/>
      </c>
      <c r="J40" s="61">
        <f>IF($N40="","",INDEX('Cronograma R. Financiero'!$M$5:$M$1000,$N40))</f>
        <v/>
      </c>
      <c r="K40" s="56">
        <f>IF($N40="","",IF(N($J40)&gt;=1,"Completado",IF(AND(ISNUMBER($D40),$D40&lt;FechaRef),"Vencida",IF(N($J40)&gt;0,"En curso","Pendiente"))))</f>
        <v/>
      </c>
      <c r="L40" s="56">
        <f>IF($N40="","",INDEX('Cronograma R. Financiero'!$O$5:$O$1000,$N40)&amp;"")</f>
        <v/>
      </c>
      <c r="M40" s="62">
        <f>IF($N40="","",INDEX('Cronograma R. Financiero'!$Q$5:$Q$1000,$N40)&amp;"")</f>
        <v/>
      </c>
      <c r="N40">
        <f>IFERROR(MATCH(ROW()-4,rOrden_RF,0),"")</f>
        <v/>
      </c>
      <c r="O40">
        <f>IF($N40="","",INDEX('Cronograma R. Financiero'!$V$5:$V$1000,$N40))</f>
        <v/>
      </c>
      <c r="P40">
        <f>IF($N40="","",N(INDEX('Cronograma R. Financiero'!$W$5:$W$1000,$N40)))</f>
        <v/>
      </c>
      <c r="Q40">
        <f>IF(OR(LEFT($L40,7)="Vencida",LEFT($L40,5)="Vence"),SUMPRODUCT(--(LEFT($L$5:$L40,7)="Vencida"))+SUMPRODUCT(--(LEFT($L$5:$L40,5)="Vence")),"")</f>
        <v/>
      </c>
    </row>
    <row r="41">
      <c r="A41" s="56">
        <f>IF($N41="","",INDEX('Cronograma R. Financiero'!$A$5:$A$1000,$N41))</f>
        <v/>
      </c>
      <c r="B41" s="62">
        <f>IF($N41="","",IF($O41="Sub","      ↳  "&amp;INDEX('Cronograma R. Financiero'!$C$5:$C$1000,$N41),INDEX('Cronograma R. Financiero'!$C$5:$C$1000,$N41)&amp;""))</f>
        <v/>
      </c>
      <c r="C41" s="79">
        <f>IF($N41="","",IF(INDEX('Cronograma R. Financiero'!$AR$5:$AR$1000,$N41)="","",INDEX('Cronograma R. Financiero'!$AR$5:$AR$1000,$N41)))</f>
        <v/>
      </c>
      <c r="D41" s="79">
        <f>IF($N41="","",IF(INDEX('Cronograma R. Financiero'!$AS$5:$AS$1000,$N41)="","",INDEX('Cronograma R. Financiero'!$AS$5:$AS$1000,$N41)))</f>
        <v/>
      </c>
      <c r="E41" s="56">
        <f>IF($N41="","",IF(NOT(ISNUMBER($D41)),"",IF($D41&lt;InicioCiclo,"Antes del ciclo",IF($D41&gt;=InicioCiclo+28,"Después del ciclo","Semana "&amp;(INT(($D41-InicioCiclo)/7)+1)))))</f>
        <v/>
      </c>
      <c r="F41" s="61">
        <f>IF($N41="","",IF($P41&gt;0,IF(1&lt;=SemanaActual,INDEX('Cronograma R. Financiero'!$AH$5:$AH$1000,$N41),""),IF(INDEX('Cronograma R. Financiero'!$I$5:$I$1000,$N41)="","",INDEX('Cronograma R. Financiero'!$I$5:$I$1000,$N41))))</f>
        <v/>
      </c>
      <c r="G41" s="61">
        <f>IF($N41="","",IF($P41&gt;0,IF(2&lt;=SemanaActual,INDEX('Cronograma R. Financiero'!$AI$5:$AI$1000,$N41),""),IF(INDEX('Cronograma R. Financiero'!$J$5:$J$1000,$N41)="","",INDEX('Cronograma R. Financiero'!$J$5:$J$1000,$N41))))</f>
        <v/>
      </c>
      <c r="H41" s="61">
        <f>IF($N41="","",IF($P41&gt;0,IF(3&lt;=SemanaActual,INDEX('Cronograma R. Financiero'!$AJ$5:$AJ$1000,$N41),""),IF(INDEX('Cronograma R. Financiero'!$K$5:$K$1000,$N41)="","",INDEX('Cronograma R. Financiero'!$K$5:$K$1000,$N41))))</f>
        <v/>
      </c>
      <c r="I41" s="61">
        <f>IF($N41="","",IF($P41&gt;0,IF(4&lt;=SemanaActual,INDEX('Cronograma R. Financiero'!$AK$5:$AK$1000,$N41),""),IF(INDEX('Cronograma R. Financiero'!$L$5:$L$1000,$N41)="","",INDEX('Cronograma R. Financiero'!$L$5:$L$1000,$N41))))</f>
        <v/>
      </c>
      <c r="J41" s="61">
        <f>IF($N41="","",INDEX('Cronograma R. Financiero'!$M$5:$M$1000,$N41))</f>
        <v/>
      </c>
      <c r="K41" s="56">
        <f>IF($N41="","",IF(N($J41)&gt;=1,"Completado",IF(AND(ISNUMBER($D41),$D41&lt;FechaRef),"Vencida",IF(N($J41)&gt;0,"En curso","Pendiente"))))</f>
        <v/>
      </c>
      <c r="L41" s="56">
        <f>IF($N41="","",INDEX('Cronograma R. Financiero'!$O$5:$O$1000,$N41)&amp;"")</f>
        <v/>
      </c>
      <c r="M41" s="62">
        <f>IF($N41="","",INDEX('Cronograma R. Financiero'!$Q$5:$Q$1000,$N41)&amp;"")</f>
        <v/>
      </c>
      <c r="N41">
        <f>IFERROR(MATCH(ROW()-4,rOrden_RF,0),"")</f>
        <v/>
      </c>
      <c r="O41">
        <f>IF($N41="","",INDEX('Cronograma R. Financiero'!$V$5:$V$1000,$N41))</f>
        <v/>
      </c>
      <c r="P41">
        <f>IF($N41="","",N(INDEX('Cronograma R. Financiero'!$W$5:$W$1000,$N41)))</f>
        <v/>
      </c>
      <c r="Q41">
        <f>IF(OR(LEFT($L41,7)="Vencida",LEFT($L41,5)="Vence"),SUMPRODUCT(--(LEFT($L$5:$L41,7)="Vencida"))+SUMPRODUCT(--(LEFT($L$5:$L41,5)="Vence")),"")</f>
        <v/>
      </c>
    </row>
    <row r="42">
      <c r="A42" s="56">
        <f>IF($N42="","",INDEX('Cronograma R. Financiero'!$A$5:$A$1000,$N42))</f>
        <v/>
      </c>
      <c r="B42" s="62">
        <f>IF($N42="","",IF($O42="Sub","      ↳  "&amp;INDEX('Cronograma R. Financiero'!$C$5:$C$1000,$N42),INDEX('Cronograma R. Financiero'!$C$5:$C$1000,$N42)&amp;""))</f>
        <v/>
      </c>
      <c r="C42" s="79">
        <f>IF($N42="","",IF(INDEX('Cronograma R. Financiero'!$AR$5:$AR$1000,$N42)="","",INDEX('Cronograma R. Financiero'!$AR$5:$AR$1000,$N42)))</f>
        <v/>
      </c>
      <c r="D42" s="79">
        <f>IF($N42="","",IF(INDEX('Cronograma R. Financiero'!$AS$5:$AS$1000,$N42)="","",INDEX('Cronograma R. Financiero'!$AS$5:$AS$1000,$N42)))</f>
        <v/>
      </c>
      <c r="E42" s="56">
        <f>IF($N42="","",IF(NOT(ISNUMBER($D42)),"",IF($D42&lt;InicioCiclo,"Antes del ciclo",IF($D42&gt;=InicioCiclo+28,"Después del ciclo","Semana "&amp;(INT(($D42-InicioCiclo)/7)+1)))))</f>
        <v/>
      </c>
      <c r="F42" s="61">
        <f>IF($N42="","",IF($P42&gt;0,IF(1&lt;=SemanaActual,INDEX('Cronograma R. Financiero'!$AH$5:$AH$1000,$N42),""),IF(INDEX('Cronograma R. Financiero'!$I$5:$I$1000,$N42)="","",INDEX('Cronograma R. Financiero'!$I$5:$I$1000,$N42))))</f>
        <v/>
      </c>
      <c r="G42" s="61">
        <f>IF($N42="","",IF($P42&gt;0,IF(2&lt;=SemanaActual,INDEX('Cronograma R. Financiero'!$AI$5:$AI$1000,$N42),""),IF(INDEX('Cronograma R. Financiero'!$J$5:$J$1000,$N42)="","",INDEX('Cronograma R. Financiero'!$J$5:$J$1000,$N42))))</f>
        <v/>
      </c>
      <c r="H42" s="61">
        <f>IF($N42="","",IF($P42&gt;0,IF(3&lt;=SemanaActual,INDEX('Cronograma R. Financiero'!$AJ$5:$AJ$1000,$N42),""),IF(INDEX('Cronograma R. Financiero'!$K$5:$K$1000,$N42)="","",INDEX('Cronograma R. Financiero'!$K$5:$K$1000,$N42))))</f>
        <v/>
      </c>
      <c r="I42" s="61">
        <f>IF($N42="","",IF($P42&gt;0,IF(4&lt;=SemanaActual,INDEX('Cronograma R. Financiero'!$AK$5:$AK$1000,$N42),""),IF(INDEX('Cronograma R. Financiero'!$L$5:$L$1000,$N42)="","",INDEX('Cronograma R. Financiero'!$L$5:$L$1000,$N42))))</f>
        <v/>
      </c>
      <c r="J42" s="61">
        <f>IF($N42="","",INDEX('Cronograma R. Financiero'!$M$5:$M$1000,$N42))</f>
        <v/>
      </c>
      <c r="K42" s="56">
        <f>IF($N42="","",IF(N($J42)&gt;=1,"Completado",IF(AND(ISNUMBER($D42),$D42&lt;FechaRef),"Vencida",IF(N($J42)&gt;0,"En curso","Pendiente"))))</f>
        <v/>
      </c>
      <c r="L42" s="56">
        <f>IF($N42="","",INDEX('Cronograma R. Financiero'!$O$5:$O$1000,$N42)&amp;"")</f>
        <v/>
      </c>
      <c r="M42" s="62">
        <f>IF($N42="","",INDEX('Cronograma R. Financiero'!$Q$5:$Q$1000,$N42)&amp;"")</f>
        <v/>
      </c>
      <c r="N42">
        <f>IFERROR(MATCH(ROW()-4,rOrden_RF,0),"")</f>
        <v/>
      </c>
      <c r="O42">
        <f>IF($N42="","",INDEX('Cronograma R. Financiero'!$V$5:$V$1000,$N42))</f>
        <v/>
      </c>
      <c r="P42">
        <f>IF($N42="","",N(INDEX('Cronograma R. Financiero'!$W$5:$W$1000,$N42)))</f>
        <v/>
      </c>
      <c r="Q42">
        <f>IF(OR(LEFT($L42,7)="Vencida",LEFT($L42,5)="Vence"),SUMPRODUCT(--(LEFT($L$5:$L42,7)="Vencida"))+SUMPRODUCT(--(LEFT($L$5:$L42,5)="Vence")),"")</f>
        <v/>
      </c>
    </row>
    <row r="43">
      <c r="A43" s="56">
        <f>IF($N43="","",INDEX('Cronograma R. Financiero'!$A$5:$A$1000,$N43))</f>
        <v/>
      </c>
      <c r="B43" s="62">
        <f>IF($N43="","",IF($O43="Sub","      ↳  "&amp;INDEX('Cronograma R. Financiero'!$C$5:$C$1000,$N43),INDEX('Cronograma R. Financiero'!$C$5:$C$1000,$N43)&amp;""))</f>
        <v/>
      </c>
      <c r="C43" s="79">
        <f>IF($N43="","",IF(INDEX('Cronograma R. Financiero'!$AR$5:$AR$1000,$N43)="","",INDEX('Cronograma R. Financiero'!$AR$5:$AR$1000,$N43)))</f>
        <v/>
      </c>
      <c r="D43" s="79">
        <f>IF($N43="","",IF(INDEX('Cronograma R. Financiero'!$AS$5:$AS$1000,$N43)="","",INDEX('Cronograma R. Financiero'!$AS$5:$AS$1000,$N43)))</f>
        <v/>
      </c>
      <c r="E43" s="56">
        <f>IF($N43="","",IF(NOT(ISNUMBER($D43)),"",IF($D43&lt;InicioCiclo,"Antes del ciclo",IF($D43&gt;=InicioCiclo+28,"Después del ciclo","Semana "&amp;(INT(($D43-InicioCiclo)/7)+1)))))</f>
        <v/>
      </c>
      <c r="F43" s="61">
        <f>IF($N43="","",IF($P43&gt;0,IF(1&lt;=SemanaActual,INDEX('Cronograma R. Financiero'!$AH$5:$AH$1000,$N43),""),IF(INDEX('Cronograma R. Financiero'!$I$5:$I$1000,$N43)="","",INDEX('Cronograma R. Financiero'!$I$5:$I$1000,$N43))))</f>
        <v/>
      </c>
      <c r="G43" s="61">
        <f>IF($N43="","",IF($P43&gt;0,IF(2&lt;=SemanaActual,INDEX('Cronograma R. Financiero'!$AI$5:$AI$1000,$N43),""),IF(INDEX('Cronograma R. Financiero'!$J$5:$J$1000,$N43)="","",INDEX('Cronograma R. Financiero'!$J$5:$J$1000,$N43))))</f>
        <v/>
      </c>
      <c r="H43" s="61">
        <f>IF($N43="","",IF($P43&gt;0,IF(3&lt;=SemanaActual,INDEX('Cronograma R. Financiero'!$AJ$5:$AJ$1000,$N43),""),IF(INDEX('Cronograma R. Financiero'!$K$5:$K$1000,$N43)="","",INDEX('Cronograma R. Financiero'!$K$5:$K$1000,$N43))))</f>
        <v/>
      </c>
      <c r="I43" s="61">
        <f>IF($N43="","",IF($P43&gt;0,IF(4&lt;=SemanaActual,INDEX('Cronograma R. Financiero'!$AK$5:$AK$1000,$N43),""),IF(INDEX('Cronograma R. Financiero'!$L$5:$L$1000,$N43)="","",INDEX('Cronograma R. Financiero'!$L$5:$L$1000,$N43))))</f>
        <v/>
      </c>
      <c r="J43" s="61">
        <f>IF($N43="","",INDEX('Cronograma R. Financiero'!$M$5:$M$1000,$N43))</f>
        <v/>
      </c>
      <c r="K43" s="56">
        <f>IF($N43="","",IF(N($J43)&gt;=1,"Completado",IF(AND(ISNUMBER($D43),$D43&lt;FechaRef),"Vencida",IF(N($J43)&gt;0,"En curso","Pendiente"))))</f>
        <v/>
      </c>
      <c r="L43" s="56">
        <f>IF($N43="","",INDEX('Cronograma R. Financiero'!$O$5:$O$1000,$N43)&amp;"")</f>
        <v/>
      </c>
      <c r="M43" s="62">
        <f>IF($N43="","",INDEX('Cronograma R. Financiero'!$Q$5:$Q$1000,$N43)&amp;"")</f>
        <v/>
      </c>
      <c r="N43">
        <f>IFERROR(MATCH(ROW()-4,rOrden_RF,0),"")</f>
        <v/>
      </c>
      <c r="O43">
        <f>IF($N43="","",INDEX('Cronograma R. Financiero'!$V$5:$V$1000,$N43))</f>
        <v/>
      </c>
      <c r="P43">
        <f>IF($N43="","",N(INDEX('Cronograma R. Financiero'!$W$5:$W$1000,$N43)))</f>
        <v/>
      </c>
      <c r="Q43">
        <f>IF(OR(LEFT($L43,7)="Vencida",LEFT($L43,5)="Vence"),SUMPRODUCT(--(LEFT($L$5:$L43,7)="Vencida"))+SUMPRODUCT(--(LEFT($L$5:$L43,5)="Vence")),"")</f>
        <v/>
      </c>
    </row>
    <row r="44">
      <c r="A44" s="56">
        <f>IF($N44="","",INDEX('Cronograma R. Financiero'!$A$5:$A$1000,$N44))</f>
        <v/>
      </c>
      <c r="B44" s="62">
        <f>IF($N44="","",IF($O44="Sub","      ↳  "&amp;INDEX('Cronograma R. Financiero'!$C$5:$C$1000,$N44),INDEX('Cronograma R. Financiero'!$C$5:$C$1000,$N44)&amp;""))</f>
        <v/>
      </c>
      <c r="C44" s="79">
        <f>IF($N44="","",IF(INDEX('Cronograma R. Financiero'!$AR$5:$AR$1000,$N44)="","",INDEX('Cronograma R. Financiero'!$AR$5:$AR$1000,$N44)))</f>
        <v/>
      </c>
      <c r="D44" s="79">
        <f>IF($N44="","",IF(INDEX('Cronograma R. Financiero'!$AS$5:$AS$1000,$N44)="","",INDEX('Cronograma R. Financiero'!$AS$5:$AS$1000,$N44)))</f>
        <v/>
      </c>
      <c r="E44" s="56">
        <f>IF($N44="","",IF(NOT(ISNUMBER($D44)),"",IF($D44&lt;InicioCiclo,"Antes del ciclo",IF($D44&gt;=InicioCiclo+28,"Después del ciclo","Semana "&amp;(INT(($D44-InicioCiclo)/7)+1)))))</f>
        <v/>
      </c>
      <c r="F44" s="61">
        <f>IF($N44="","",IF($P44&gt;0,IF(1&lt;=SemanaActual,INDEX('Cronograma R. Financiero'!$AH$5:$AH$1000,$N44),""),IF(INDEX('Cronograma R. Financiero'!$I$5:$I$1000,$N44)="","",INDEX('Cronograma R. Financiero'!$I$5:$I$1000,$N44))))</f>
        <v/>
      </c>
      <c r="G44" s="61">
        <f>IF($N44="","",IF($P44&gt;0,IF(2&lt;=SemanaActual,INDEX('Cronograma R. Financiero'!$AI$5:$AI$1000,$N44),""),IF(INDEX('Cronograma R. Financiero'!$J$5:$J$1000,$N44)="","",INDEX('Cronograma R. Financiero'!$J$5:$J$1000,$N44))))</f>
        <v/>
      </c>
      <c r="H44" s="61">
        <f>IF($N44="","",IF($P44&gt;0,IF(3&lt;=SemanaActual,INDEX('Cronograma R. Financiero'!$AJ$5:$AJ$1000,$N44),""),IF(INDEX('Cronograma R. Financiero'!$K$5:$K$1000,$N44)="","",INDEX('Cronograma R. Financiero'!$K$5:$K$1000,$N44))))</f>
        <v/>
      </c>
      <c r="I44" s="61">
        <f>IF($N44="","",IF($P44&gt;0,IF(4&lt;=SemanaActual,INDEX('Cronograma R. Financiero'!$AK$5:$AK$1000,$N44),""),IF(INDEX('Cronograma R. Financiero'!$L$5:$L$1000,$N44)="","",INDEX('Cronograma R. Financiero'!$L$5:$L$1000,$N44))))</f>
        <v/>
      </c>
      <c r="J44" s="61">
        <f>IF($N44="","",INDEX('Cronograma R. Financiero'!$M$5:$M$1000,$N44))</f>
        <v/>
      </c>
      <c r="K44" s="56">
        <f>IF($N44="","",IF(N($J44)&gt;=1,"Completado",IF(AND(ISNUMBER($D44),$D44&lt;FechaRef),"Vencida",IF(N($J44)&gt;0,"En curso","Pendiente"))))</f>
        <v/>
      </c>
      <c r="L44" s="56">
        <f>IF($N44="","",INDEX('Cronograma R. Financiero'!$O$5:$O$1000,$N44)&amp;"")</f>
        <v/>
      </c>
      <c r="M44" s="62">
        <f>IF($N44="","",INDEX('Cronograma R. Financiero'!$Q$5:$Q$1000,$N44)&amp;"")</f>
        <v/>
      </c>
      <c r="N44">
        <f>IFERROR(MATCH(ROW()-4,rOrden_RF,0),"")</f>
        <v/>
      </c>
      <c r="O44">
        <f>IF($N44="","",INDEX('Cronograma R. Financiero'!$V$5:$V$1000,$N44))</f>
        <v/>
      </c>
      <c r="P44">
        <f>IF($N44="","",N(INDEX('Cronograma R. Financiero'!$W$5:$W$1000,$N44)))</f>
        <v/>
      </c>
      <c r="Q44">
        <f>IF(OR(LEFT($L44,7)="Vencida",LEFT($L44,5)="Vence"),SUMPRODUCT(--(LEFT($L$5:$L44,7)="Vencida"))+SUMPRODUCT(--(LEFT($L$5:$L44,5)="Vence")),"")</f>
        <v/>
      </c>
    </row>
    <row r="45">
      <c r="A45" s="56">
        <f>IF($N45="","",INDEX('Cronograma R. Financiero'!$A$5:$A$1000,$N45))</f>
        <v/>
      </c>
      <c r="B45" s="62">
        <f>IF($N45="","",IF($O45="Sub","      ↳  "&amp;INDEX('Cronograma R. Financiero'!$C$5:$C$1000,$N45),INDEX('Cronograma R. Financiero'!$C$5:$C$1000,$N45)&amp;""))</f>
        <v/>
      </c>
      <c r="C45" s="79">
        <f>IF($N45="","",IF(INDEX('Cronograma R. Financiero'!$AR$5:$AR$1000,$N45)="","",INDEX('Cronograma R. Financiero'!$AR$5:$AR$1000,$N45)))</f>
        <v/>
      </c>
      <c r="D45" s="79">
        <f>IF($N45="","",IF(INDEX('Cronograma R. Financiero'!$AS$5:$AS$1000,$N45)="","",INDEX('Cronograma R. Financiero'!$AS$5:$AS$1000,$N45)))</f>
        <v/>
      </c>
      <c r="E45" s="56">
        <f>IF($N45="","",IF(NOT(ISNUMBER($D45)),"",IF($D45&lt;InicioCiclo,"Antes del ciclo",IF($D45&gt;=InicioCiclo+28,"Después del ciclo","Semana "&amp;(INT(($D45-InicioCiclo)/7)+1)))))</f>
        <v/>
      </c>
      <c r="F45" s="61">
        <f>IF($N45="","",IF($P45&gt;0,IF(1&lt;=SemanaActual,INDEX('Cronograma R. Financiero'!$AH$5:$AH$1000,$N45),""),IF(INDEX('Cronograma R. Financiero'!$I$5:$I$1000,$N45)="","",INDEX('Cronograma R. Financiero'!$I$5:$I$1000,$N45))))</f>
        <v/>
      </c>
      <c r="G45" s="61">
        <f>IF($N45="","",IF($P45&gt;0,IF(2&lt;=SemanaActual,INDEX('Cronograma R. Financiero'!$AI$5:$AI$1000,$N45),""),IF(INDEX('Cronograma R. Financiero'!$J$5:$J$1000,$N45)="","",INDEX('Cronograma R. Financiero'!$J$5:$J$1000,$N45))))</f>
        <v/>
      </c>
      <c r="H45" s="61">
        <f>IF($N45="","",IF($P45&gt;0,IF(3&lt;=SemanaActual,INDEX('Cronograma R. Financiero'!$AJ$5:$AJ$1000,$N45),""),IF(INDEX('Cronograma R. Financiero'!$K$5:$K$1000,$N45)="","",INDEX('Cronograma R. Financiero'!$K$5:$K$1000,$N45))))</f>
        <v/>
      </c>
      <c r="I45" s="61">
        <f>IF($N45="","",IF($P45&gt;0,IF(4&lt;=SemanaActual,INDEX('Cronograma R. Financiero'!$AK$5:$AK$1000,$N45),""),IF(INDEX('Cronograma R. Financiero'!$L$5:$L$1000,$N45)="","",INDEX('Cronograma R. Financiero'!$L$5:$L$1000,$N45))))</f>
        <v/>
      </c>
      <c r="J45" s="61">
        <f>IF($N45="","",INDEX('Cronograma R. Financiero'!$M$5:$M$1000,$N45))</f>
        <v/>
      </c>
      <c r="K45" s="56">
        <f>IF($N45="","",IF(N($J45)&gt;=1,"Completado",IF(AND(ISNUMBER($D45),$D45&lt;FechaRef),"Vencida",IF(N($J45)&gt;0,"En curso","Pendiente"))))</f>
        <v/>
      </c>
      <c r="L45" s="56">
        <f>IF($N45="","",INDEX('Cronograma R. Financiero'!$O$5:$O$1000,$N45)&amp;"")</f>
        <v/>
      </c>
      <c r="M45" s="62">
        <f>IF($N45="","",INDEX('Cronograma R. Financiero'!$Q$5:$Q$1000,$N45)&amp;"")</f>
        <v/>
      </c>
      <c r="N45">
        <f>IFERROR(MATCH(ROW()-4,rOrden_RF,0),"")</f>
        <v/>
      </c>
      <c r="O45">
        <f>IF($N45="","",INDEX('Cronograma R. Financiero'!$V$5:$V$1000,$N45))</f>
        <v/>
      </c>
      <c r="P45">
        <f>IF($N45="","",N(INDEX('Cronograma R. Financiero'!$W$5:$W$1000,$N45)))</f>
        <v/>
      </c>
      <c r="Q45">
        <f>IF(OR(LEFT($L45,7)="Vencida",LEFT($L45,5)="Vence"),SUMPRODUCT(--(LEFT($L$5:$L45,7)="Vencida"))+SUMPRODUCT(--(LEFT($L$5:$L45,5)="Vence")),"")</f>
        <v/>
      </c>
    </row>
    <row r="46">
      <c r="A46" s="56">
        <f>IF($N46="","",INDEX('Cronograma R. Financiero'!$A$5:$A$1000,$N46))</f>
        <v/>
      </c>
      <c r="B46" s="62">
        <f>IF($N46="","",IF($O46="Sub","      ↳  "&amp;INDEX('Cronograma R. Financiero'!$C$5:$C$1000,$N46),INDEX('Cronograma R. Financiero'!$C$5:$C$1000,$N46)&amp;""))</f>
        <v/>
      </c>
      <c r="C46" s="79">
        <f>IF($N46="","",IF(INDEX('Cronograma R. Financiero'!$AR$5:$AR$1000,$N46)="","",INDEX('Cronograma R. Financiero'!$AR$5:$AR$1000,$N46)))</f>
        <v/>
      </c>
      <c r="D46" s="79">
        <f>IF($N46="","",IF(INDEX('Cronograma R. Financiero'!$AS$5:$AS$1000,$N46)="","",INDEX('Cronograma R. Financiero'!$AS$5:$AS$1000,$N46)))</f>
        <v/>
      </c>
      <c r="E46" s="56">
        <f>IF($N46="","",IF(NOT(ISNUMBER($D46)),"",IF($D46&lt;InicioCiclo,"Antes del ciclo",IF($D46&gt;=InicioCiclo+28,"Después del ciclo","Semana "&amp;(INT(($D46-InicioCiclo)/7)+1)))))</f>
        <v/>
      </c>
      <c r="F46" s="61">
        <f>IF($N46="","",IF($P46&gt;0,IF(1&lt;=SemanaActual,INDEX('Cronograma R. Financiero'!$AH$5:$AH$1000,$N46),""),IF(INDEX('Cronograma R. Financiero'!$I$5:$I$1000,$N46)="","",INDEX('Cronograma R. Financiero'!$I$5:$I$1000,$N46))))</f>
        <v/>
      </c>
      <c r="G46" s="61">
        <f>IF($N46="","",IF($P46&gt;0,IF(2&lt;=SemanaActual,INDEX('Cronograma R. Financiero'!$AI$5:$AI$1000,$N46),""),IF(INDEX('Cronograma R. Financiero'!$J$5:$J$1000,$N46)="","",INDEX('Cronograma R. Financiero'!$J$5:$J$1000,$N46))))</f>
        <v/>
      </c>
      <c r="H46" s="61">
        <f>IF($N46="","",IF($P46&gt;0,IF(3&lt;=SemanaActual,INDEX('Cronograma R. Financiero'!$AJ$5:$AJ$1000,$N46),""),IF(INDEX('Cronograma R. Financiero'!$K$5:$K$1000,$N46)="","",INDEX('Cronograma R. Financiero'!$K$5:$K$1000,$N46))))</f>
        <v/>
      </c>
      <c r="I46" s="61">
        <f>IF($N46="","",IF($P46&gt;0,IF(4&lt;=SemanaActual,INDEX('Cronograma R. Financiero'!$AK$5:$AK$1000,$N46),""),IF(INDEX('Cronograma R. Financiero'!$L$5:$L$1000,$N46)="","",INDEX('Cronograma R. Financiero'!$L$5:$L$1000,$N46))))</f>
        <v/>
      </c>
      <c r="J46" s="61">
        <f>IF($N46="","",INDEX('Cronograma R. Financiero'!$M$5:$M$1000,$N46))</f>
        <v/>
      </c>
      <c r="K46" s="56">
        <f>IF($N46="","",IF(N($J46)&gt;=1,"Completado",IF(AND(ISNUMBER($D46),$D46&lt;FechaRef),"Vencida",IF(N($J46)&gt;0,"En curso","Pendiente"))))</f>
        <v/>
      </c>
      <c r="L46" s="56">
        <f>IF($N46="","",INDEX('Cronograma R. Financiero'!$O$5:$O$1000,$N46)&amp;"")</f>
        <v/>
      </c>
      <c r="M46" s="62">
        <f>IF($N46="","",INDEX('Cronograma R. Financiero'!$Q$5:$Q$1000,$N46)&amp;"")</f>
        <v/>
      </c>
      <c r="N46">
        <f>IFERROR(MATCH(ROW()-4,rOrden_RF,0),"")</f>
        <v/>
      </c>
      <c r="O46">
        <f>IF($N46="","",INDEX('Cronograma R. Financiero'!$V$5:$V$1000,$N46))</f>
        <v/>
      </c>
      <c r="P46">
        <f>IF($N46="","",N(INDEX('Cronograma R. Financiero'!$W$5:$W$1000,$N46)))</f>
        <v/>
      </c>
      <c r="Q46">
        <f>IF(OR(LEFT($L46,7)="Vencida",LEFT($L46,5)="Vence"),SUMPRODUCT(--(LEFT($L$5:$L46,7)="Vencida"))+SUMPRODUCT(--(LEFT($L$5:$L46,5)="Vence")),"")</f>
        <v/>
      </c>
    </row>
    <row r="47">
      <c r="A47" s="56">
        <f>IF($N47="","",INDEX('Cronograma R. Financiero'!$A$5:$A$1000,$N47))</f>
        <v/>
      </c>
      <c r="B47" s="62">
        <f>IF($N47="","",IF($O47="Sub","      ↳  "&amp;INDEX('Cronograma R. Financiero'!$C$5:$C$1000,$N47),INDEX('Cronograma R. Financiero'!$C$5:$C$1000,$N47)&amp;""))</f>
        <v/>
      </c>
      <c r="C47" s="79">
        <f>IF($N47="","",IF(INDEX('Cronograma R. Financiero'!$AR$5:$AR$1000,$N47)="","",INDEX('Cronograma R. Financiero'!$AR$5:$AR$1000,$N47)))</f>
        <v/>
      </c>
      <c r="D47" s="79">
        <f>IF($N47="","",IF(INDEX('Cronograma R. Financiero'!$AS$5:$AS$1000,$N47)="","",INDEX('Cronograma R. Financiero'!$AS$5:$AS$1000,$N47)))</f>
        <v/>
      </c>
      <c r="E47" s="56">
        <f>IF($N47="","",IF(NOT(ISNUMBER($D47)),"",IF($D47&lt;InicioCiclo,"Antes del ciclo",IF($D47&gt;=InicioCiclo+28,"Después del ciclo","Semana "&amp;(INT(($D47-InicioCiclo)/7)+1)))))</f>
        <v/>
      </c>
      <c r="F47" s="61">
        <f>IF($N47="","",IF($P47&gt;0,IF(1&lt;=SemanaActual,INDEX('Cronograma R. Financiero'!$AH$5:$AH$1000,$N47),""),IF(INDEX('Cronograma R. Financiero'!$I$5:$I$1000,$N47)="","",INDEX('Cronograma R. Financiero'!$I$5:$I$1000,$N47))))</f>
        <v/>
      </c>
      <c r="G47" s="61">
        <f>IF($N47="","",IF($P47&gt;0,IF(2&lt;=SemanaActual,INDEX('Cronograma R. Financiero'!$AI$5:$AI$1000,$N47),""),IF(INDEX('Cronograma R. Financiero'!$J$5:$J$1000,$N47)="","",INDEX('Cronograma R. Financiero'!$J$5:$J$1000,$N47))))</f>
        <v/>
      </c>
      <c r="H47" s="61">
        <f>IF($N47="","",IF($P47&gt;0,IF(3&lt;=SemanaActual,INDEX('Cronograma R. Financiero'!$AJ$5:$AJ$1000,$N47),""),IF(INDEX('Cronograma R. Financiero'!$K$5:$K$1000,$N47)="","",INDEX('Cronograma R. Financiero'!$K$5:$K$1000,$N47))))</f>
        <v/>
      </c>
      <c r="I47" s="61">
        <f>IF($N47="","",IF($P47&gt;0,IF(4&lt;=SemanaActual,INDEX('Cronograma R. Financiero'!$AK$5:$AK$1000,$N47),""),IF(INDEX('Cronograma R. Financiero'!$L$5:$L$1000,$N47)="","",INDEX('Cronograma R. Financiero'!$L$5:$L$1000,$N47))))</f>
        <v/>
      </c>
      <c r="J47" s="61">
        <f>IF($N47="","",INDEX('Cronograma R. Financiero'!$M$5:$M$1000,$N47))</f>
        <v/>
      </c>
      <c r="K47" s="56">
        <f>IF($N47="","",IF(N($J47)&gt;=1,"Completado",IF(AND(ISNUMBER($D47),$D47&lt;FechaRef),"Vencida",IF(N($J47)&gt;0,"En curso","Pendiente"))))</f>
        <v/>
      </c>
      <c r="L47" s="56">
        <f>IF($N47="","",INDEX('Cronograma R. Financiero'!$O$5:$O$1000,$N47)&amp;"")</f>
        <v/>
      </c>
      <c r="M47" s="62">
        <f>IF($N47="","",INDEX('Cronograma R. Financiero'!$Q$5:$Q$1000,$N47)&amp;"")</f>
        <v/>
      </c>
      <c r="N47">
        <f>IFERROR(MATCH(ROW()-4,rOrden_RF,0),"")</f>
        <v/>
      </c>
      <c r="O47">
        <f>IF($N47="","",INDEX('Cronograma R. Financiero'!$V$5:$V$1000,$N47))</f>
        <v/>
      </c>
      <c r="P47">
        <f>IF($N47="","",N(INDEX('Cronograma R. Financiero'!$W$5:$W$1000,$N47)))</f>
        <v/>
      </c>
      <c r="Q47">
        <f>IF(OR(LEFT($L47,7)="Vencida",LEFT($L47,5)="Vence"),SUMPRODUCT(--(LEFT($L$5:$L47,7)="Vencida"))+SUMPRODUCT(--(LEFT($L$5:$L47,5)="Vence")),"")</f>
        <v/>
      </c>
    </row>
    <row r="48">
      <c r="A48" s="56">
        <f>IF($N48="","",INDEX('Cronograma R. Financiero'!$A$5:$A$1000,$N48))</f>
        <v/>
      </c>
      <c r="B48" s="62">
        <f>IF($N48="","",IF($O48="Sub","      ↳  "&amp;INDEX('Cronograma R. Financiero'!$C$5:$C$1000,$N48),INDEX('Cronograma R. Financiero'!$C$5:$C$1000,$N48)&amp;""))</f>
        <v/>
      </c>
      <c r="C48" s="79">
        <f>IF($N48="","",IF(INDEX('Cronograma R. Financiero'!$AR$5:$AR$1000,$N48)="","",INDEX('Cronograma R. Financiero'!$AR$5:$AR$1000,$N48)))</f>
        <v/>
      </c>
      <c r="D48" s="79">
        <f>IF($N48="","",IF(INDEX('Cronograma R. Financiero'!$AS$5:$AS$1000,$N48)="","",INDEX('Cronograma R. Financiero'!$AS$5:$AS$1000,$N48)))</f>
        <v/>
      </c>
      <c r="E48" s="56">
        <f>IF($N48="","",IF(NOT(ISNUMBER($D48)),"",IF($D48&lt;InicioCiclo,"Antes del ciclo",IF($D48&gt;=InicioCiclo+28,"Después del ciclo","Semana "&amp;(INT(($D48-InicioCiclo)/7)+1)))))</f>
        <v/>
      </c>
      <c r="F48" s="61">
        <f>IF($N48="","",IF($P48&gt;0,IF(1&lt;=SemanaActual,INDEX('Cronograma R. Financiero'!$AH$5:$AH$1000,$N48),""),IF(INDEX('Cronograma R. Financiero'!$I$5:$I$1000,$N48)="","",INDEX('Cronograma R. Financiero'!$I$5:$I$1000,$N48))))</f>
        <v/>
      </c>
      <c r="G48" s="61">
        <f>IF($N48="","",IF($P48&gt;0,IF(2&lt;=SemanaActual,INDEX('Cronograma R. Financiero'!$AI$5:$AI$1000,$N48),""),IF(INDEX('Cronograma R. Financiero'!$J$5:$J$1000,$N48)="","",INDEX('Cronograma R. Financiero'!$J$5:$J$1000,$N48))))</f>
        <v/>
      </c>
      <c r="H48" s="61">
        <f>IF($N48="","",IF($P48&gt;0,IF(3&lt;=SemanaActual,INDEX('Cronograma R. Financiero'!$AJ$5:$AJ$1000,$N48),""),IF(INDEX('Cronograma R. Financiero'!$K$5:$K$1000,$N48)="","",INDEX('Cronograma R. Financiero'!$K$5:$K$1000,$N48))))</f>
        <v/>
      </c>
      <c r="I48" s="61">
        <f>IF($N48="","",IF($P48&gt;0,IF(4&lt;=SemanaActual,INDEX('Cronograma R. Financiero'!$AK$5:$AK$1000,$N48),""),IF(INDEX('Cronograma R. Financiero'!$L$5:$L$1000,$N48)="","",INDEX('Cronograma R. Financiero'!$L$5:$L$1000,$N48))))</f>
        <v/>
      </c>
      <c r="J48" s="61">
        <f>IF($N48="","",INDEX('Cronograma R. Financiero'!$M$5:$M$1000,$N48))</f>
        <v/>
      </c>
      <c r="K48" s="56">
        <f>IF($N48="","",IF(N($J48)&gt;=1,"Completado",IF(AND(ISNUMBER($D48),$D48&lt;FechaRef),"Vencida",IF(N($J48)&gt;0,"En curso","Pendiente"))))</f>
        <v/>
      </c>
      <c r="L48" s="56">
        <f>IF($N48="","",INDEX('Cronograma R. Financiero'!$O$5:$O$1000,$N48)&amp;"")</f>
        <v/>
      </c>
      <c r="M48" s="62">
        <f>IF($N48="","",INDEX('Cronograma R. Financiero'!$Q$5:$Q$1000,$N48)&amp;"")</f>
        <v/>
      </c>
      <c r="N48">
        <f>IFERROR(MATCH(ROW()-4,rOrden_RF,0),"")</f>
        <v/>
      </c>
      <c r="O48">
        <f>IF($N48="","",INDEX('Cronograma R. Financiero'!$V$5:$V$1000,$N48))</f>
        <v/>
      </c>
      <c r="P48">
        <f>IF($N48="","",N(INDEX('Cronograma R. Financiero'!$W$5:$W$1000,$N48)))</f>
        <v/>
      </c>
      <c r="Q48">
        <f>IF(OR(LEFT($L48,7)="Vencida",LEFT($L48,5)="Vence"),SUMPRODUCT(--(LEFT($L$5:$L48,7)="Vencida"))+SUMPRODUCT(--(LEFT($L$5:$L48,5)="Vence")),"")</f>
        <v/>
      </c>
    </row>
    <row r="49">
      <c r="A49" s="56">
        <f>IF($N49="","",INDEX('Cronograma R. Financiero'!$A$5:$A$1000,$N49))</f>
        <v/>
      </c>
      <c r="B49" s="62">
        <f>IF($N49="","",IF($O49="Sub","      ↳  "&amp;INDEX('Cronograma R. Financiero'!$C$5:$C$1000,$N49),INDEX('Cronograma R. Financiero'!$C$5:$C$1000,$N49)&amp;""))</f>
        <v/>
      </c>
      <c r="C49" s="79">
        <f>IF($N49="","",IF(INDEX('Cronograma R. Financiero'!$AR$5:$AR$1000,$N49)="","",INDEX('Cronograma R. Financiero'!$AR$5:$AR$1000,$N49)))</f>
        <v/>
      </c>
      <c r="D49" s="79">
        <f>IF($N49="","",IF(INDEX('Cronograma R. Financiero'!$AS$5:$AS$1000,$N49)="","",INDEX('Cronograma R. Financiero'!$AS$5:$AS$1000,$N49)))</f>
        <v/>
      </c>
      <c r="E49" s="56">
        <f>IF($N49="","",IF(NOT(ISNUMBER($D49)),"",IF($D49&lt;InicioCiclo,"Antes del ciclo",IF($D49&gt;=InicioCiclo+28,"Después del ciclo","Semana "&amp;(INT(($D49-InicioCiclo)/7)+1)))))</f>
        <v/>
      </c>
      <c r="F49" s="61">
        <f>IF($N49="","",IF($P49&gt;0,IF(1&lt;=SemanaActual,INDEX('Cronograma R. Financiero'!$AH$5:$AH$1000,$N49),""),IF(INDEX('Cronograma R. Financiero'!$I$5:$I$1000,$N49)="","",INDEX('Cronograma R. Financiero'!$I$5:$I$1000,$N49))))</f>
        <v/>
      </c>
      <c r="G49" s="61">
        <f>IF($N49="","",IF($P49&gt;0,IF(2&lt;=SemanaActual,INDEX('Cronograma R. Financiero'!$AI$5:$AI$1000,$N49),""),IF(INDEX('Cronograma R. Financiero'!$J$5:$J$1000,$N49)="","",INDEX('Cronograma R. Financiero'!$J$5:$J$1000,$N49))))</f>
        <v/>
      </c>
      <c r="H49" s="61">
        <f>IF($N49="","",IF($P49&gt;0,IF(3&lt;=SemanaActual,INDEX('Cronograma R. Financiero'!$AJ$5:$AJ$1000,$N49),""),IF(INDEX('Cronograma R. Financiero'!$K$5:$K$1000,$N49)="","",INDEX('Cronograma R. Financiero'!$K$5:$K$1000,$N49))))</f>
        <v/>
      </c>
      <c r="I49" s="61">
        <f>IF($N49="","",IF($P49&gt;0,IF(4&lt;=SemanaActual,INDEX('Cronograma R. Financiero'!$AK$5:$AK$1000,$N49),""),IF(INDEX('Cronograma R. Financiero'!$L$5:$L$1000,$N49)="","",INDEX('Cronograma R. Financiero'!$L$5:$L$1000,$N49))))</f>
        <v/>
      </c>
      <c r="J49" s="61">
        <f>IF($N49="","",INDEX('Cronograma R. Financiero'!$M$5:$M$1000,$N49))</f>
        <v/>
      </c>
      <c r="K49" s="56">
        <f>IF($N49="","",IF(N($J49)&gt;=1,"Completado",IF(AND(ISNUMBER($D49),$D49&lt;FechaRef),"Vencida",IF(N($J49)&gt;0,"En curso","Pendiente"))))</f>
        <v/>
      </c>
      <c r="L49" s="56">
        <f>IF($N49="","",INDEX('Cronograma R. Financiero'!$O$5:$O$1000,$N49)&amp;"")</f>
        <v/>
      </c>
      <c r="M49" s="62">
        <f>IF($N49="","",INDEX('Cronograma R. Financiero'!$Q$5:$Q$1000,$N49)&amp;"")</f>
        <v/>
      </c>
      <c r="N49">
        <f>IFERROR(MATCH(ROW()-4,rOrden_RF,0),"")</f>
        <v/>
      </c>
      <c r="O49">
        <f>IF($N49="","",INDEX('Cronograma R. Financiero'!$V$5:$V$1000,$N49))</f>
        <v/>
      </c>
      <c r="P49">
        <f>IF($N49="","",N(INDEX('Cronograma R. Financiero'!$W$5:$W$1000,$N49)))</f>
        <v/>
      </c>
      <c r="Q49">
        <f>IF(OR(LEFT($L49,7)="Vencida",LEFT($L49,5)="Vence"),SUMPRODUCT(--(LEFT($L$5:$L49,7)="Vencida"))+SUMPRODUCT(--(LEFT($L$5:$L49,5)="Vence")),"")</f>
        <v/>
      </c>
    </row>
    <row r="50">
      <c r="A50" s="56">
        <f>IF($N50="","",INDEX('Cronograma R. Financiero'!$A$5:$A$1000,$N50))</f>
        <v/>
      </c>
      <c r="B50" s="62">
        <f>IF($N50="","",IF($O50="Sub","      ↳  "&amp;INDEX('Cronograma R. Financiero'!$C$5:$C$1000,$N50),INDEX('Cronograma R. Financiero'!$C$5:$C$1000,$N50)&amp;""))</f>
        <v/>
      </c>
      <c r="C50" s="79">
        <f>IF($N50="","",IF(INDEX('Cronograma R. Financiero'!$AR$5:$AR$1000,$N50)="","",INDEX('Cronograma R. Financiero'!$AR$5:$AR$1000,$N50)))</f>
        <v/>
      </c>
      <c r="D50" s="79">
        <f>IF($N50="","",IF(INDEX('Cronograma R. Financiero'!$AS$5:$AS$1000,$N50)="","",INDEX('Cronograma R. Financiero'!$AS$5:$AS$1000,$N50)))</f>
        <v/>
      </c>
      <c r="E50" s="56">
        <f>IF($N50="","",IF(NOT(ISNUMBER($D50)),"",IF($D50&lt;InicioCiclo,"Antes del ciclo",IF($D50&gt;=InicioCiclo+28,"Después del ciclo","Semana "&amp;(INT(($D50-InicioCiclo)/7)+1)))))</f>
        <v/>
      </c>
      <c r="F50" s="61">
        <f>IF($N50="","",IF($P50&gt;0,IF(1&lt;=SemanaActual,INDEX('Cronograma R. Financiero'!$AH$5:$AH$1000,$N50),""),IF(INDEX('Cronograma R. Financiero'!$I$5:$I$1000,$N50)="","",INDEX('Cronograma R. Financiero'!$I$5:$I$1000,$N50))))</f>
        <v/>
      </c>
      <c r="G50" s="61">
        <f>IF($N50="","",IF($P50&gt;0,IF(2&lt;=SemanaActual,INDEX('Cronograma R. Financiero'!$AI$5:$AI$1000,$N50),""),IF(INDEX('Cronograma R. Financiero'!$J$5:$J$1000,$N50)="","",INDEX('Cronograma R. Financiero'!$J$5:$J$1000,$N50))))</f>
        <v/>
      </c>
      <c r="H50" s="61">
        <f>IF($N50="","",IF($P50&gt;0,IF(3&lt;=SemanaActual,INDEX('Cronograma R. Financiero'!$AJ$5:$AJ$1000,$N50),""),IF(INDEX('Cronograma R. Financiero'!$K$5:$K$1000,$N50)="","",INDEX('Cronograma R. Financiero'!$K$5:$K$1000,$N50))))</f>
        <v/>
      </c>
      <c r="I50" s="61">
        <f>IF($N50="","",IF($P50&gt;0,IF(4&lt;=SemanaActual,INDEX('Cronograma R. Financiero'!$AK$5:$AK$1000,$N50),""),IF(INDEX('Cronograma R. Financiero'!$L$5:$L$1000,$N50)="","",INDEX('Cronograma R. Financiero'!$L$5:$L$1000,$N50))))</f>
        <v/>
      </c>
      <c r="J50" s="61">
        <f>IF($N50="","",INDEX('Cronograma R. Financiero'!$M$5:$M$1000,$N50))</f>
        <v/>
      </c>
      <c r="K50" s="56">
        <f>IF($N50="","",IF(N($J50)&gt;=1,"Completado",IF(AND(ISNUMBER($D50),$D50&lt;FechaRef),"Vencida",IF(N($J50)&gt;0,"En curso","Pendiente"))))</f>
        <v/>
      </c>
      <c r="L50" s="56">
        <f>IF($N50="","",INDEX('Cronograma R. Financiero'!$O$5:$O$1000,$N50)&amp;"")</f>
        <v/>
      </c>
      <c r="M50" s="62">
        <f>IF($N50="","",INDEX('Cronograma R. Financiero'!$Q$5:$Q$1000,$N50)&amp;"")</f>
        <v/>
      </c>
      <c r="N50">
        <f>IFERROR(MATCH(ROW()-4,rOrden_RF,0),"")</f>
        <v/>
      </c>
      <c r="O50">
        <f>IF($N50="","",INDEX('Cronograma R. Financiero'!$V$5:$V$1000,$N50))</f>
        <v/>
      </c>
      <c r="P50">
        <f>IF($N50="","",N(INDEX('Cronograma R. Financiero'!$W$5:$W$1000,$N50)))</f>
        <v/>
      </c>
      <c r="Q50">
        <f>IF(OR(LEFT($L50,7)="Vencida",LEFT($L50,5)="Vence"),SUMPRODUCT(--(LEFT($L$5:$L50,7)="Vencida"))+SUMPRODUCT(--(LEFT($L$5:$L50,5)="Vence")),"")</f>
        <v/>
      </c>
    </row>
    <row r="51">
      <c r="A51" s="56">
        <f>IF($N51="","",INDEX('Cronograma R. Financiero'!$A$5:$A$1000,$N51))</f>
        <v/>
      </c>
      <c r="B51" s="62">
        <f>IF($N51="","",IF($O51="Sub","      ↳  "&amp;INDEX('Cronograma R. Financiero'!$C$5:$C$1000,$N51),INDEX('Cronograma R. Financiero'!$C$5:$C$1000,$N51)&amp;""))</f>
        <v/>
      </c>
      <c r="C51" s="79">
        <f>IF($N51="","",IF(INDEX('Cronograma R. Financiero'!$AR$5:$AR$1000,$N51)="","",INDEX('Cronograma R. Financiero'!$AR$5:$AR$1000,$N51)))</f>
        <v/>
      </c>
      <c r="D51" s="79">
        <f>IF($N51="","",IF(INDEX('Cronograma R. Financiero'!$AS$5:$AS$1000,$N51)="","",INDEX('Cronograma R. Financiero'!$AS$5:$AS$1000,$N51)))</f>
        <v/>
      </c>
      <c r="E51" s="56">
        <f>IF($N51="","",IF(NOT(ISNUMBER($D51)),"",IF($D51&lt;InicioCiclo,"Antes del ciclo",IF($D51&gt;=InicioCiclo+28,"Después del ciclo","Semana "&amp;(INT(($D51-InicioCiclo)/7)+1)))))</f>
        <v/>
      </c>
      <c r="F51" s="61">
        <f>IF($N51="","",IF($P51&gt;0,IF(1&lt;=SemanaActual,INDEX('Cronograma R. Financiero'!$AH$5:$AH$1000,$N51),""),IF(INDEX('Cronograma R. Financiero'!$I$5:$I$1000,$N51)="","",INDEX('Cronograma R. Financiero'!$I$5:$I$1000,$N51))))</f>
        <v/>
      </c>
      <c r="G51" s="61">
        <f>IF($N51="","",IF($P51&gt;0,IF(2&lt;=SemanaActual,INDEX('Cronograma R. Financiero'!$AI$5:$AI$1000,$N51),""),IF(INDEX('Cronograma R. Financiero'!$J$5:$J$1000,$N51)="","",INDEX('Cronograma R. Financiero'!$J$5:$J$1000,$N51))))</f>
        <v/>
      </c>
      <c r="H51" s="61">
        <f>IF($N51="","",IF($P51&gt;0,IF(3&lt;=SemanaActual,INDEX('Cronograma R. Financiero'!$AJ$5:$AJ$1000,$N51),""),IF(INDEX('Cronograma R. Financiero'!$K$5:$K$1000,$N51)="","",INDEX('Cronograma R. Financiero'!$K$5:$K$1000,$N51))))</f>
        <v/>
      </c>
      <c r="I51" s="61">
        <f>IF($N51="","",IF($P51&gt;0,IF(4&lt;=SemanaActual,INDEX('Cronograma R. Financiero'!$AK$5:$AK$1000,$N51),""),IF(INDEX('Cronograma R. Financiero'!$L$5:$L$1000,$N51)="","",INDEX('Cronograma R. Financiero'!$L$5:$L$1000,$N51))))</f>
        <v/>
      </c>
      <c r="J51" s="61">
        <f>IF($N51="","",INDEX('Cronograma R. Financiero'!$M$5:$M$1000,$N51))</f>
        <v/>
      </c>
      <c r="K51" s="56">
        <f>IF($N51="","",IF(N($J51)&gt;=1,"Completado",IF(AND(ISNUMBER($D51),$D51&lt;FechaRef),"Vencida",IF(N($J51)&gt;0,"En curso","Pendiente"))))</f>
        <v/>
      </c>
      <c r="L51" s="56">
        <f>IF($N51="","",INDEX('Cronograma R. Financiero'!$O$5:$O$1000,$N51)&amp;"")</f>
        <v/>
      </c>
      <c r="M51" s="62">
        <f>IF($N51="","",INDEX('Cronograma R. Financiero'!$Q$5:$Q$1000,$N51)&amp;"")</f>
        <v/>
      </c>
      <c r="N51">
        <f>IFERROR(MATCH(ROW()-4,rOrden_RF,0),"")</f>
        <v/>
      </c>
      <c r="O51">
        <f>IF($N51="","",INDEX('Cronograma R. Financiero'!$V$5:$V$1000,$N51))</f>
        <v/>
      </c>
      <c r="P51">
        <f>IF($N51="","",N(INDEX('Cronograma R. Financiero'!$W$5:$W$1000,$N51)))</f>
        <v/>
      </c>
      <c r="Q51">
        <f>IF(OR(LEFT($L51,7)="Vencida",LEFT($L51,5)="Vence"),SUMPRODUCT(--(LEFT($L$5:$L51,7)="Vencida"))+SUMPRODUCT(--(LEFT($L$5:$L51,5)="Vence")),"")</f>
        <v/>
      </c>
    </row>
    <row r="52">
      <c r="A52" s="56">
        <f>IF($N52="","",INDEX('Cronograma R. Financiero'!$A$5:$A$1000,$N52))</f>
        <v/>
      </c>
      <c r="B52" s="62">
        <f>IF($N52="","",IF($O52="Sub","      ↳  "&amp;INDEX('Cronograma R. Financiero'!$C$5:$C$1000,$N52),INDEX('Cronograma R. Financiero'!$C$5:$C$1000,$N52)&amp;""))</f>
        <v/>
      </c>
      <c r="C52" s="79">
        <f>IF($N52="","",IF(INDEX('Cronograma R. Financiero'!$AR$5:$AR$1000,$N52)="","",INDEX('Cronograma R. Financiero'!$AR$5:$AR$1000,$N52)))</f>
        <v/>
      </c>
      <c r="D52" s="79">
        <f>IF($N52="","",IF(INDEX('Cronograma R. Financiero'!$AS$5:$AS$1000,$N52)="","",INDEX('Cronograma R. Financiero'!$AS$5:$AS$1000,$N52)))</f>
        <v/>
      </c>
      <c r="E52" s="56">
        <f>IF($N52="","",IF(NOT(ISNUMBER($D52)),"",IF($D52&lt;InicioCiclo,"Antes del ciclo",IF($D52&gt;=InicioCiclo+28,"Después del ciclo","Semana "&amp;(INT(($D52-InicioCiclo)/7)+1)))))</f>
        <v/>
      </c>
      <c r="F52" s="61">
        <f>IF($N52="","",IF($P52&gt;0,IF(1&lt;=SemanaActual,INDEX('Cronograma R. Financiero'!$AH$5:$AH$1000,$N52),""),IF(INDEX('Cronograma R. Financiero'!$I$5:$I$1000,$N52)="","",INDEX('Cronograma R. Financiero'!$I$5:$I$1000,$N52))))</f>
        <v/>
      </c>
      <c r="G52" s="61">
        <f>IF($N52="","",IF($P52&gt;0,IF(2&lt;=SemanaActual,INDEX('Cronograma R. Financiero'!$AI$5:$AI$1000,$N52),""),IF(INDEX('Cronograma R. Financiero'!$J$5:$J$1000,$N52)="","",INDEX('Cronograma R. Financiero'!$J$5:$J$1000,$N52))))</f>
        <v/>
      </c>
      <c r="H52" s="61">
        <f>IF($N52="","",IF($P52&gt;0,IF(3&lt;=SemanaActual,INDEX('Cronograma R. Financiero'!$AJ$5:$AJ$1000,$N52),""),IF(INDEX('Cronograma R. Financiero'!$K$5:$K$1000,$N52)="","",INDEX('Cronograma R. Financiero'!$K$5:$K$1000,$N52))))</f>
        <v/>
      </c>
      <c r="I52" s="61">
        <f>IF($N52="","",IF($P52&gt;0,IF(4&lt;=SemanaActual,INDEX('Cronograma R. Financiero'!$AK$5:$AK$1000,$N52),""),IF(INDEX('Cronograma R. Financiero'!$L$5:$L$1000,$N52)="","",INDEX('Cronograma R. Financiero'!$L$5:$L$1000,$N52))))</f>
        <v/>
      </c>
      <c r="J52" s="61">
        <f>IF($N52="","",INDEX('Cronograma R. Financiero'!$M$5:$M$1000,$N52))</f>
        <v/>
      </c>
      <c r="K52" s="56">
        <f>IF($N52="","",IF(N($J52)&gt;=1,"Completado",IF(AND(ISNUMBER($D52),$D52&lt;FechaRef),"Vencida",IF(N($J52)&gt;0,"En curso","Pendiente"))))</f>
        <v/>
      </c>
      <c r="L52" s="56">
        <f>IF($N52="","",INDEX('Cronograma R. Financiero'!$O$5:$O$1000,$N52)&amp;"")</f>
        <v/>
      </c>
      <c r="M52" s="62">
        <f>IF($N52="","",INDEX('Cronograma R. Financiero'!$Q$5:$Q$1000,$N52)&amp;"")</f>
        <v/>
      </c>
      <c r="N52">
        <f>IFERROR(MATCH(ROW()-4,rOrden_RF,0),"")</f>
        <v/>
      </c>
      <c r="O52">
        <f>IF($N52="","",INDEX('Cronograma R. Financiero'!$V$5:$V$1000,$N52))</f>
        <v/>
      </c>
      <c r="P52">
        <f>IF($N52="","",N(INDEX('Cronograma R. Financiero'!$W$5:$W$1000,$N52)))</f>
        <v/>
      </c>
      <c r="Q52">
        <f>IF(OR(LEFT($L52,7)="Vencida",LEFT($L52,5)="Vence"),SUMPRODUCT(--(LEFT($L$5:$L52,7)="Vencida"))+SUMPRODUCT(--(LEFT($L$5:$L52,5)="Vence")),"")</f>
        <v/>
      </c>
    </row>
    <row r="53">
      <c r="A53" s="56">
        <f>IF($N53="","",INDEX('Cronograma R. Financiero'!$A$5:$A$1000,$N53))</f>
        <v/>
      </c>
      <c r="B53" s="62">
        <f>IF($N53="","",IF($O53="Sub","      ↳  "&amp;INDEX('Cronograma R. Financiero'!$C$5:$C$1000,$N53),INDEX('Cronograma R. Financiero'!$C$5:$C$1000,$N53)&amp;""))</f>
        <v/>
      </c>
      <c r="C53" s="79">
        <f>IF($N53="","",IF(INDEX('Cronograma R. Financiero'!$AR$5:$AR$1000,$N53)="","",INDEX('Cronograma R. Financiero'!$AR$5:$AR$1000,$N53)))</f>
        <v/>
      </c>
      <c r="D53" s="79">
        <f>IF($N53="","",IF(INDEX('Cronograma R. Financiero'!$AS$5:$AS$1000,$N53)="","",INDEX('Cronograma R. Financiero'!$AS$5:$AS$1000,$N53)))</f>
        <v/>
      </c>
      <c r="E53" s="56">
        <f>IF($N53="","",IF(NOT(ISNUMBER($D53)),"",IF($D53&lt;InicioCiclo,"Antes del ciclo",IF($D53&gt;=InicioCiclo+28,"Después del ciclo","Semana "&amp;(INT(($D53-InicioCiclo)/7)+1)))))</f>
        <v/>
      </c>
      <c r="F53" s="61">
        <f>IF($N53="","",IF($P53&gt;0,IF(1&lt;=SemanaActual,INDEX('Cronograma R. Financiero'!$AH$5:$AH$1000,$N53),""),IF(INDEX('Cronograma R. Financiero'!$I$5:$I$1000,$N53)="","",INDEX('Cronograma R. Financiero'!$I$5:$I$1000,$N53))))</f>
        <v/>
      </c>
      <c r="G53" s="61">
        <f>IF($N53="","",IF($P53&gt;0,IF(2&lt;=SemanaActual,INDEX('Cronograma R. Financiero'!$AI$5:$AI$1000,$N53),""),IF(INDEX('Cronograma R. Financiero'!$J$5:$J$1000,$N53)="","",INDEX('Cronograma R. Financiero'!$J$5:$J$1000,$N53))))</f>
        <v/>
      </c>
      <c r="H53" s="61">
        <f>IF($N53="","",IF($P53&gt;0,IF(3&lt;=SemanaActual,INDEX('Cronograma R. Financiero'!$AJ$5:$AJ$1000,$N53),""),IF(INDEX('Cronograma R. Financiero'!$K$5:$K$1000,$N53)="","",INDEX('Cronograma R. Financiero'!$K$5:$K$1000,$N53))))</f>
        <v/>
      </c>
      <c r="I53" s="61">
        <f>IF($N53="","",IF($P53&gt;0,IF(4&lt;=SemanaActual,INDEX('Cronograma R. Financiero'!$AK$5:$AK$1000,$N53),""),IF(INDEX('Cronograma R. Financiero'!$L$5:$L$1000,$N53)="","",INDEX('Cronograma R. Financiero'!$L$5:$L$1000,$N53))))</f>
        <v/>
      </c>
      <c r="J53" s="61">
        <f>IF($N53="","",INDEX('Cronograma R. Financiero'!$M$5:$M$1000,$N53))</f>
        <v/>
      </c>
      <c r="K53" s="56">
        <f>IF($N53="","",IF(N($J53)&gt;=1,"Completado",IF(AND(ISNUMBER($D53),$D53&lt;FechaRef),"Vencida",IF(N($J53)&gt;0,"En curso","Pendiente"))))</f>
        <v/>
      </c>
      <c r="L53" s="56">
        <f>IF($N53="","",INDEX('Cronograma R. Financiero'!$O$5:$O$1000,$N53)&amp;"")</f>
        <v/>
      </c>
      <c r="M53" s="62">
        <f>IF($N53="","",INDEX('Cronograma R. Financiero'!$Q$5:$Q$1000,$N53)&amp;"")</f>
        <v/>
      </c>
      <c r="N53">
        <f>IFERROR(MATCH(ROW()-4,rOrden_RF,0),"")</f>
        <v/>
      </c>
      <c r="O53">
        <f>IF($N53="","",INDEX('Cronograma R. Financiero'!$V$5:$V$1000,$N53))</f>
        <v/>
      </c>
      <c r="P53">
        <f>IF($N53="","",N(INDEX('Cronograma R. Financiero'!$W$5:$W$1000,$N53)))</f>
        <v/>
      </c>
      <c r="Q53">
        <f>IF(OR(LEFT($L53,7)="Vencida",LEFT($L53,5)="Vence"),SUMPRODUCT(--(LEFT($L$5:$L53,7)="Vencida"))+SUMPRODUCT(--(LEFT($L$5:$L53,5)="Vence")),"")</f>
        <v/>
      </c>
    </row>
    <row r="54">
      <c r="A54" s="56">
        <f>IF($N54="","",INDEX('Cronograma R. Financiero'!$A$5:$A$1000,$N54))</f>
        <v/>
      </c>
      <c r="B54" s="62">
        <f>IF($N54="","",IF($O54="Sub","      ↳  "&amp;INDEX('Cronograma R. Financiero'!$C$5:$C$1000,$N54),INDEX('Cronograma R. Financiero'!$C$5:$C$1000,$N54)&amp;""))</f>
        <v/>
      </c>
      <c r="C54" s="79">
        <f>IF($N54="","",IF(INDEX('Cronograma R. Financiero'!$AR$5:$AR$1000,$N54)="","",INDEX('Cronograma R. Financiero'!$AR$5:$AR$1000,$N54)))</f>
        <v/>
      </c>
      <c r="D54" s="79">
        <f>IF($N54="","",IF(INDEX('Cronograma R. Financiero'!$AS$5:$AS$1000,$N54)="","",INDEX('Cronograma R. Financiero'!$AS$5:$AS$1000,$N54)))</f>
        <v/>
      </c>
      <c r="E54" s="56">
        <f>IF($N54="","",IF(NOT(ISNUMBER($D54)),"",IF($D54&lt;InicioCiclo,"Antes del ciclo",IF($D54&gt;=InicioCiclo+28,"Después del ciclo","Semana "&amp;(INT(($D54-InicioCiclo)/7)+1)))))</f>
        <v/>
      </c>
      <c r="F54" s="61">
        <f>IF($N54="","",IF($P54&gt;0,IF(1&lt;=SemanaActual,INDEX('Cronograma R. Financiero'!$AH$5:$AH$1000,$N54),""),IF(INDEX('Cronograma R. Financiero'!$I$5:$I$1000,$N54)="","",INDEX('Cronograma R. Financiero'!$I$5:$I$1000,$N54))))</f>
        <v/>
      </c>
      <c r="G54" s="61">
        <f>IF($N54="","",IF($P54&gt;0,IF(2&lt;=SemanaActual,INDEX('Cronograma R. Financiero'!$AI$5:$AI$1000,$N54),""),IF(INDEX('Cronograma R. Financiero'!$J$5:$J$1000,$N54)="","",INDEX('Cronograma R. Financiero'!$J$5:$J$1000,$N54))))</f>
        <v/>
      </c>
      <c r="H54" s="61">
        <f>IF($N54="","",IF($P54&gt;0,IF(3&lt;=SemanaActual,INDEX('Cronograma R. Financiero'!$AJ$5:$AJ$1000,$N54),""),IF(INDEX('Cronograma R. Financiero'!$K$5:$K$1000,$N54)="","",INDEX('Cronograma R. Financiero'!$K$5:$K$1000,$N54))))</f>
        <v/>
      </c>
      <c r="I54" s="61">
        <f>IF($N54="","",IF($P54&gt;0,IF(4&lt;=SemanaActual,INDEX('Cronograma R. Financiero'!$AK$5:$AK$1000,$N54),""),IF(INDEX('Cronograma R. Financiero'!$L$5:$L$1000,$N54)="","",INDEX('Cronograma R. Financiero'!$L$5:$L$1000,$N54))))</f>
        <v/>
      </c>
      <c r="J54" s="61">
        <f>IF($N54="","",INDEX('Cronograma R. Financiero'!$M$5:$M$1000,$N54))</f>
        <v/>
      </c>
      <c r="K54" s="56">
        <f>IF($N54="","",IF(N($J54)&gt;=1,"Completado",IF(AND(ISNUMBER($D54),$D54&lt;FechaRef),"Vencida",IF(N($J54)&gt;0,"En curso","Pendiente"))))</f>
        <v/>
      </c>
      <c r="L54" s="56">
        <f>IF($N54="","",INDEX('Cronograma R. Financiero'!$O$5:$O$1000,$N54)&amp;"")</f>
        <v/>
      </c>
      <c r="M54" s="62">
        <f>IF($N54="","",INDEX('Cronograma R. Financiero'!$Q$5:$Q$1000,$N54)&amp;"")</f>
        <v/>
      </c>
      <c r="N54">
        <f>IFERROR(MATCH(ROW()-4,rOrden_RF,0),"")</f>
        <v/>
      </c>
      <c r="O54">
        <f>IF($N54="","",INDEX('Cronograma R. Financiero'!$V$5:$V$1000,$N54))</f>
        <v/>
      </c>
      <c r="P54">
        <f>IF($N54="","",N(INDEX('Cronograma R. Financiero'!$W$5:$W$1000,$N54)))</f>
        <v/>
      </c>
      <c r="Q54">
        <f>IF(OR(LEFT($L54,7)="Vencida",LEFT($L54,5)="Vence"),SUMPRODUCT(--(LEFT($L$5:$L54,7)="Vencida"))+SUMPRODUCT(--(LEFT($L$5:$L54,5)="Vence")),"")</f>
        <v/>
      </c>
    </row>
    <row r="55">
      <c r="A55" s="56">
        <f>IF($N55="","",INDEX('Cronograma R. Financiero'!$A$5:$A$1000,$N55))</f>
        <v/>
      </c>
      <c r="B55" s="62">
        <f>IF($N55="","",IF($O55="Sub","      ↳  "&amp;INDEX('Cronograma R. Financiero'!$C$5:$C$1000,$N55),INDEX('Cronograma R. Financiero'!$C$5:$C$1000,$N55)&amp;""))</f>
        <v/>
      </c>
      <c r="C55" s="79">
        <f>IF($N55="","",IF(INDEX('Cronograma R. Financiero'!$AR$5:$AR$1000,$N55)="","",INDEX('Cronograma R. Financiero'!$AR$5:$AR$1000,$N55)))</f>
        <v/>
      </c>
      <c r="D55" s="79">
        <f>IF($N55="","",IF(INDEX('Cronograma R. Financiero'!$AS$5:$AS$1000,$N55)="","",INDEX('Cronograma R. Financiero'!$AS$5:$AS$1000,$N55)))</f>
        <v/>
      </c>
      <c r="E55" s="56">
        <f>IF($N55="","",IF(NOT(ISNUMBER($D55)),"",IF($D55&lt;InicioCiclo,"Antes del ciclo",IF($D55&gt;=InicioCiclo+28,"Después del ciclo","Semana "&amp;(INT(($D55-InicioCiclo)/7)+1)))))</f>
        <v/>
      </c>
      <c r="F55" s="61">
        <f>IF($N55="","",IF($P55&gt;0,IF(1&lt;=SemanaActual,INDEX('Cronograma R. Financiero'!$AH$5:$AH$1000,$N55),""),IF(INDEX('Cronograma R. Financiero'!$I$5:$I$1000,$N55)="","",INDEX('Cronograma R. Financiero'!$I$5:$I$1000,$N55))))</f>
        <v/>
      </c>
      <c r="G55" s="61">
        <f>IF($N55="","",IF($P55&gt;0,IF(2&lt;=SemanaActual,INDEX('Cronograma R. Financiero'!$AI$5:$AI$1000,$N55),""),IF(INDEX('Cronograma R. Financiero'!$J$5:$J$1000,$N55)="","",INDEX('Cronograma R. Financiero'!$J$5:$J$1000,$N55))))</f>
        <v/>
      </c>
      <c r="H55" s="61">
        <f>IF($N55="","",IF($P55&gt;0,IF(3&lt;=SemanaActual,INDEX('Cronograma R. Financiero'!$AJ$5:$AJ$1000,$N55),""),IF(INDEX('Cronograma R. Financiero'!$K$5:$K$1000,$N55)="","",INDEX('Cronograma R. Financiero'!$K$5:$K$1000,$N55))))</f>
        <v/>
      </c>
      <c r="I55" s="61">
        <f>IF($N55="","",IF($P55&gt;0,IF(4&lt;=SemanaActual,INDEX('Cronograma R. Financiero'!$AK$5:$AK$1000,$N55),""),IF(INDEX('Cronograma R. Financiero'!$L$5:$L$1000,$N55)="","",INDEX('Cronograma R. Financiero'!$L$5:$L$1000,$N55))))</f>
        <v/>
      </c>
      <c r="J55" s="61">
        <f>IF($N55="","",INDEX('Cronograma R. Financiero'!$M$5:$M$1000,$N55))</f>
        <v/>
      </c>
      <c r="K55" s="56">
        <f>IF($N55="","",IF(N($J55)&gt;=1,"Completado",IF(AND(ISNUMBER($D55),$D55&lt;FechaRef),"Vencida",IF(N($J55)&gt;0,"En curso","Pendiente"))))</f>
        <v/>
      </c>
      <c r="L55" s="56">
        <f>IF($N55="","",INDEX('Cronograma R. Financiero'!$O$5:$O$1000,$N55)&amp;"")</f>
        <v/>
      </c>
      <c r="M55" s="62">
        <f>IF($N55="","",INDEX('Cronograma R. Financiero'!$Q$5:$Q$1000,$N55)&amp;"")</f>
        <v/>
      </c>
      <c r="N55">
        <f>IFERROR(MATCH(ROW()-4,rOrden_RF,0),"")</f>
        <v/>
      </c>
      <c r="O55">
        <f>IF($N55="","",INDEX('Cronograma R. Financiero'!$V$5:$V$1000,$N55))</f>
        <v/>
      </c>
      <c r="P55">
        <f>IF($N55="","",N(INDEX('Cronograma R. Financiero'!$W$5:$W$1000,$N55)))</f>
        <v/>
      </c>
      <c r="Q55">
        <f>IF(OR(LEFT($L55,7)="Vencida",LEFT($L55,5)="Vence"),SUMPRODUCT(--(LEFT($L$5:$L55,7)="Vencida"))+SUMPRODUCT(--(LEFT($L$5:$L55,5)="Vence")),"")</f>
        <v/>
      </c>
    </row>
    <row r="56">
      <c r="A56" s="56">
        <f>IF($N56="","",INDEX('Cronograma R. Financiero'!$A$5:$A$1000,$N56))</f>
        <v/>
      </c>
      <c r="B56" s="62">
        <f>IF($N56="","",IF($O56="Sub","      ↳  "&amp;INDEX('Cronograma R. Financiero'!$C$5:$C$1000,$N56),INDEX('Cronograma R. Financiero'!$C$5:$C$1000,$N56)&amp;""))</f>
        <v/>
      </c>
      <c r="C56" s="79">
        <f>IF($N56="","",IF(INDEX('Cronograma R. Financiero'!$AR$5:$AR$1000,$N56)="","",INDEX('Cronograma R. Financiero'!$AR$5:$AR$1000,$N56)))</f>
        <v/>
      </c>
      <c r="D56" s="79">
        <f>IF($N56="","",IF(INDEX('Cronograma R. Financiero'!$AS$5:$AS$1000,$N56)="","",INDEX('Cronograma R. Financiero'!$AS$5:$AS$1000,$N56)))</f>
        <v/>
      </c>
      <c r="E56" s="56">
        <f>IF($N56="","",IF(NOT(ISNUMBER($D56)),"",IF($D56&lt;InicioCiclo,"Antes del ciclo",IF($D56&gt;=InicioCiclo+28,"Después del ciclo","Semana "&amp;(INT(($D56-InicioCiclo)/7)+1)))))</f>
        <v/>
      </c>
      <c r="F56" s="61">
        <f>IF($N56="","",IF($P56&gt;0,IF(1&lt;=SemanaActual,INDEX('Cronograma R. Financiero'!$AH$5:$AH$1000,$N56),""),IF(INDEX('Cronograma R. Financiero'!$I$5:$I$1000,$N56)="","",INDEX('Cronograma R. Financiero'!$I$5:$I$1000,$N56))))</f>
        <v/>
      </c>
      <c r="G56" s="61">
        <f>IF($N56="","",IF($P56&gt;0,IF(2&lt;=SemanaActual,INDEX('Cronograma R. Financiero'!$AI$5:$AI$1000,$N56),""),IF(INDEX('Cronograma R. Financiero'!$J$5:$J$1000,$N56)="","",INDEX('Cronograma R. Financiero'!$J$5:$J$1000,$N56))))</f>
        <v/>
      </c>
      <c r="H56" s="61">
        <f>IF($N56="","",IF($P56&gt;0,IF(3&lt;=SemanaActual,INDEX('Cronograma R. Financiero'!$AJ$5:$AJ$1000,$N56),""),IF(INDEX('Cronograma R. Financiero'!$K$5:$K$1000,$N56)="","",INDEX('Cronograma R. Financiero'!$K$5:$K$1000,$N56))))</f>
        <v/>
      </c>
      <c r="I56" s="61">
        <f>IF($N56="","",IF($P56&gt;0,IF(4&lt;=SemanaActual,INDEX('Cronograma R. Financiero'!$AK$5:$AK$1000,$N56),""),IF(INDEX('Cronograma R. Financiero'!$L$5:$L$1000,$N56)="","",INDEX('Cronograma R. Financiero'!$L$5:$L$1000,$N56))))</f>
        <v/>
      </c>
      <c r="J56" s="61">
        <f>IF($N56="","",INDEX('Cronograma R. Financiero'!$M$5:$M$1000,$N56))</f>
        <v/>
      </c>
      <c r="K56" s="56">
        <f>IF($N56="","",IF(N($J56)&gt;=1,"Completado",IF(AND(ISNUMBER($D56),$D56&lt;FechaRef),"Vencida",IF(N($J56)&gt;0,"En curso","Pendiente"))))</f>
        <v/>
      </c>
      <c r="L56" s="56">
        <f>IF($N56="","",INDEX('Cronograma R. Financiero'!$O$5:$O$1000,$N56)&amp;"")</f>
        <v/>
      </c>
      <c r="M56" s="62">
        <f>IF($N56="","",INDEX('Cronograma R. Financiero'!$Q$5:$Q$1000,$N56)&amp;"")</f>
        <v/>
      </c>
      <c r="N56">
        <f>IFERROR(MATCH(ROW()-4,rOrden_RF,0),"")</f>
        <v/>
      </c>
      <c r="O56">
        <f>IF($N56="","",INDEX('Cronograma R. Financiero'!$V$5:$V$1000,$N56))</f>
        <v/>
      </c>
      <c r="P56">
        <f>IF($N56="","",N(INDEX('Cronograma R. Financiero'!$W$5:$W$1000,$N56)))</f>
        <v/>
      </c>
      <c r="Q56">
        <f>IF(OR(LEFT($L56,7)="Vencida",LEFT($L56,5)="Vence"),SUMPRODUCT(--(LEFT($L$5:$L56,7)="Vencida"))+SUMPRODUCT(--(LEFT($L$5:$L56,5)="Vence")),"")</f>
        <v/>
      </c>
    </row>
    <row r="57">
      <c r="A57" s="56">
        <f>IF($N57="","",INDEX('Cronograma R. Financiero'!$A$5:$A$1000,$N57))</f>
        <v/>
      </c>
      <c r="B57" s="62">
        <f>IF($N57="","",IF($O57="Sub","      ↳  "&amp;INDEX('Cronograma R. Financiero'!$C$5:$C$1000,$N57),INDEX('Cronograma R. Financiero'!$C$5:$C$1000,$N57)&amp;""))</f>
        <v/>
      </c>
      <c r="C57" s="79">
        <f>IF($N57="","",IF(INDEX('Cronograma R. Financiero'!$AR$5:$AR$1000,$N57)="","",INDEX('Cronograma R. Financiero'!$AR$5:$AR$1000,$N57)))</f>
        <v/>
      </c>
      <c r="D57" s="79">
        <f>IF($N57="","",IF(INDEX('Cronograma R. Financiero'!$AS$5:$AS$1000,$N57)="","",INDEX('Cronograma R. Financiero'!$AS$5:$AS$1000,$N57)))</f>
        <v/>
      </c>
      <c r="E57" s="56">
        <f>IF($N57="","",IF(NOT(ISNUMBER($D57)),"",IF($D57&lt;InicioCiclo,"Antes del ciclo",IF($D57&gt;=InicioCiclo+28,"Después del ciclo","Semana "&amp;(INT(($D57-InicioCiclo)/7)+1)))))</f>
        <v/>
      </c>
      <c r="F57" s="61">
        <f>IF($N57="","",IF($P57&gt;0,IF(1&lt;=SemanaActual,INDEX('Cronograma R. Financiero'!$AH$5:$AH$1000,$N57),""),IF(INDEX('Cronograma R. Financiero'!$I$5:$I$1000,$N57)="","",INDEX('Cronograma R. Financiero'!$I$5:$I$1000,$N57))))</f>
        <v/>
      </c>
      <c r="G57" s="61">
        <f>IF($N57="","",IF($P57&gt;0,IF(2&lt;=SemanaActual,INDEX('Cronograma R. Financiero'!$AI$5:$AI$1000,$N57),""),IF(INDEX('Cronograma R. Financiero'!$J$5:$J$1000,$N57)="","",INDEX('Cronograma R. Financiero'!$J$5:$J$1000,$N57))))</f>
        <v/>
      </c>
      <c r="H57" s="61">
        <f>IF($N57="","",IF($P57&gt;0,IF(3&lt;=SemanaActual,INDEX('Cronograma R. Financiero'!$AJ$5:$AJ$1000,$N57),""),IF(INDEX('Cronograma R. Financiero'!$K$5:$K$1000,$N57)="","",INDEX('Cronograma R. Financiero'!$K$5:$K$1000,$N57))))</f>
        <v/>
      </c>
      <c r="I57" s="61">
        <f>IF($N57="","",IF($P57&gt;0,IF(4&lt;=SemanaActual,INDEX('Cronograma R. Financiero'!$AK$5:$AK$1000,$N57),""),IF(INDEX('Cronograma R. Financiero'!$L$5:$L$1000,$N57)="","",INDEX('Cronograma R. Financiero'!$L$5:$L$1000,$N57))))</f>
        <v/>
      </c>
      <c r="J57" s="61">
        <f>IF($N57="","",INDEX('Cronograma R. Financiero'!$M$5:$M$1000,$N57))</f>
        <v/>
      </c>
      <c r="K57" s="56">
        <f>IF($N57="","",IF(N($J57)&gt;=1,"Completado",IF(AND(ISNUMBER($D57),$D57&lt;FechaRef),"Vencida",IF(N($J57)&gt;0,"En curso","Pendiente"))))</f>
        <v/>
      </c>
      <c r="L57" s="56">
        <f>IF($N57="","",INDEX('Cronograma R. Financiero'!$O$5:$O$1000,$N57)&amp;"")</f>
        <v/>
      </c>
      <c r="M57" s="62">
        <f>IF($N57="","",INDEX('Cronograma R. Financiero'!$Q$5:$Q$1000,$N57)&amp;"")</f>
        <v/>
      </c>
      <c r="N57">
        <f>IFERROR(MATCH(ROW()-4,rOrden_RF,0),"")</f>
        <v/>
      </c>
      <c r="O57">
        <f>IF($N57="","",INDEX('Cronograma R. Financiero'!$V$5:$V$1000,$N57))</f>
        <v/>
      </c>
      <c r="P57">
        <f>IF($N57="","",N(INDEX('Cronograma R. Financiero'!$W$5:$W$1000,$N57)))</f>
        <v/>
      </c>
      <c r="Q57">
        <f>IF(OR(LEFT($L57,7)="Vencida",LEFT($L57,5)="Vence"),SUMPRODUCT(--(LEFT($L$5:$L57,7)="Vencida"))+SUMPRODUCT(--(LEFT($L$5:$L57,5)="Vence")),"")</f>
        <v/>
      </c>
    </row>
    <row r="58">
      <c r="A58" s="56">
        <f>IF($N58="","",INDEX('Cronograma R. Financiero'!$A$5:$A$1000,$N58))</f>
        <v/>
      </c>
      <c r="B58" s="62">
        <f>IF($N58="","",IF($O58="Sub","      ↳  "&amp;INDEX('Cronograma R. Financiero'!$C$5:$C$1000,$N58),INDEX('Cronograma R. Financiero'!$C$5:$C$1000,$N58)&amp;""))</f>
        <v/>
      </c>
      <c r="C58" s="79">
        <f>IF($N58="","",IF(INDEX('Cronograma R. Financiero'!$AR$5:$AR$1000,$N58)="","",INDEX('Cronograma R. Financiero'!$AR$5:$AR$1000,$N58)))</f>
        <v/>
      </c>
      <c r="D58" s="79">
        <f>IF($N58="","",IF(INDEX('Cronograma R. Financiero'!$AS$5:$AS$1000,$N58)="","",INDEX('Cronograma R. Financiero'!$AS$5:$AS$1000,$N58)))</f>
        <v/>
      </c>
      <c r="E58" s="56">
        <f>IF($N58="","",IF(NOT(ISNUMBER($D58)),"",IF($D58&lt;InicioCiclo,"Antes del ciclo",IF($D58&gt;=InicioCiclo+28,"Después del ciclo","Semana "&amp;(INT(($D58-InicioCiclo)/7)+1)))))</f>
        <v/>
      </c>
      <c r="F58" s="61">
        <f>IF($N58="","",IF($P58&gt;0,IF(1&lt;=SemanaActual,INDEX('Cronograma R. Financiero'!$AH$5:$AH$1000,$N58),""),IF(INDEX('Cronograma R. Financiero'!$I$5:$I$1000,$N58)="","",INDEX('Cronograma R. Financiero'!$I$5:$I$1000,$N58))))</f>
        <v/>
      </c>
      <c r="G58" s="61">
        <f>IF($N58="","",IF($P58&gt;0,IF(2&lt;=SemanaActual,INDEX('Cronograma R. Financiero'!$AI$5:$AI$1000,$N58),""),IF(INDEX('Cronograma R. Financiero'!$J$5:$J$1000,$N58)="","",INDEX('Cronograma R. Financiero'!$J$5:$J$1000,$N58))))</f>
        <v/>
      </c>
      <c r="H58" s="61">
        <f>IF($N58="","",IF($P58&gt;0,IF(3&lt;=SemanaActual,INDEX('Cronograma R. Financiero'!$AJ$5:$AJ$1000,$N58),""),IF(INDEX('Cronograma R. Financiero'!$K$5:$K$1000,$N58)="","",INDEX('Cronograma R. Financiero'!$K$5:$K$1000,$N58))))</f>
        <v/>
      </c>
      <c r="I58" s="61">
        <f>IF($N58="","",IF($P58&gt;0,IF(4&lt;=SemanaActual,INDEX('Cronograma R. Financiero'!$AK$5:$AK$1000,$N58),""),IF(INDEX('Cronograma R. Financiero'!$L$5:$L$1000,$N58)="","",INDEX('Cronograma R. Financiero'!$L$5:$L$1000,$N58))))</f>
        <v/>
      </c>
      <c r="J58" s="61">
        <f>IF($N58="","",INDEX('Cronograma R. Financiero'!$M$5:$M$1000,$N58))</f>
        <v/>
      </c>
      <c r="K58" s="56">
        <f>IF($N58="","",IF(N($J58)&gt;=1,"Completado",IF(AND(ISNUMBER($D58),$D58&lt;FechaRef),"Vencida",IF(N($J58)&gt;0,"En curso","Pendiente"))))</f>
        <v/>
      </c>
      <c r="L58" s="56">
        <f>IF($N58="","",INDEX('Cronograma R. Financiero'!$O$5:$O$1000,$N58)&amp;"")</f>
        <v/>
      </c>
      <c r="M58" s="62">
        <f>IF($N58="","",INDEX('Cronograma R. Financiero'!$Q$5:$Q$1000,$N58)&amp;"")</f>
        <v/>
      </c>
      <c r="N58">
        <f>IFERROR(MATCH(ROW()-4,rOrden_RF,0),"")</f>
        <v/>
      </c>
      <c r="O58">
        <f>IF($N58="","",INDEX('Cronograma R. Financiero'!$V$5:$V$1000,$N58))</f>
        <v/>
      </c>
      <c r="P58">
        <f>IF($N58="","",N(INDEX('Cronograma R. Financiero'!$W$5:$W$1000,$N58)))</f>
        <v/>
      </c>
      <c r="Q58">
        <f>IF(OR(LEFT($L58,7)="Vencida",LEFT($L58,5)="Vence"),SUMPRODUCT(--(LEFT($L$5:$L58,7)="Vencida"))+SUMPRODUCT(--(LEFT($L$5:$L58,5)="Vence")),"")</f>
        <v/>
      </c>
    </row>
    <row r="59">
      <c r="A59" s="56">
        <f>IF($N59="","",INDEX('Cronograma R. Financiero'!$A$5:$A$1000,$N59))</f>
        <v/>
      </c>
      <c r="B59" s="62">
        <f>IF($N59="","",IF($O59="Sub","      ↳  "&amp;INDEX('Cronograma R. Financiero'!$C$5:$C$1000,$N59),INDEX('Cronograma R. Financiero'!$C$5:$C$1000,$N59)&amp;""))</f>
        <v/>
      </c>
      <c r="C59" s="79">
        <f>IF($N59="","",IF(INDEX('Cronograma R. Financiero'!$AR$5:$AR$1000,$N59)="","",INDEX('Cronograma R. Financiero'!$AR$5:$AR$1000,$N59)))</f>
        <v/>
      </c>
      <c r="D59" s="79">
        <f>IF($N59="","",IF(INDEX('Cronograma R. Financiero'!$AS$5:$AS$1000,$N59)="","",INDEX('Cronograma R. Financiero'!$AS$5:$AS$1000,$N59)))</f>
        <v/>
      </c>
      <c r="E59" s="56">
        <f>IF($N59="","",IF(NOT(ISNUMBER($D59)),"",IF($D59&lt;InicioCiclo,"Antes del ciclo",IF($D59&gt;=InicioCiclo+28,"Después del ciclo","Semana "&amp;(INT(($D59-InicioCiclo)/7)+1)))))</f>
        <v/>
      </c>
      <c r="F59" s="61">
        <f>IF($N59="","",IF($P59&gt;0,IF(1&lt;=SemanaActual,INDEX('Cronograma R. Financiero'!$AH$5:$AH$1000,$N59),""),IF(INDEX('Cronograma R. Financiero'!$I$5:$I$1000,$N59)="","",INDEX('Cronograma R. Financiero'!$I$5:$I$1000,$N59))))</f>
        <v/>
      </c>
      <c r="G59" s="61">
        <f>IF($N59="","",IF($P59&gt;0,IF(2&lt;=SemanaActual,INDEX('Cronograma R. Financiero'!$AI$5:$AI$1000,$N59),""),IF(INDEX('Cronograma R. Financiero'!$J$5:$J$1000,$N59)="","",INDEX('Cronograma R. Financiero'!$J$5:$J$1000,$N59))))</f>
        <v/>
      </c>
      <c r="H59" s="61">
        <f>IF($N59="","",IF($P59&gt;0,IF(3&lt;=SemanaActual,INDEX('Cronograma R. Financiero'!$AJ$5:$AJ$1000,$N59),""),IF(INDEX('Cronograma R. Financiero'!$K$5:$K$1000,$N59)="","",INDEX('Cronograma R. Financiero'!$K$5:$K$1000,$N59))))</f>
        <v/>
      </c>
      <c r="I59" s="61">
        <f>IF($N59="","",IF($P59&gt;0,IF(4&lt;=SemanaActual,INDEX('Cronograma R. Financiero'!$AK$5:$AK$1000,$N59),""),IF(INDEX('Cronograma R. Financiero'!$L$5:$L$1000,$N59)="","",INDEX('Cronograma R. Financiero'!$L$5:$L$1000,$N59))))</f>
        <v/>
      </c>
      <c r="J59" s="61">
        <f>IF($N59="","",INDEX('Cronograma R. Financiero'!$M$5:$M$1000,$N59))</f>
        <v/>
      </c>
      <c r="K59" s="56">
        <f>IF($N59="","",IF(N($J59)&gt;=1,"Completado",IF(AND(ISNUMBER($D59),$D59&lt;FechaRef),"Vencida",IF(N($J59)&gt;0,"En curso","Pendiente"))))</f>
        <v/>
      </c>
      <c r="L59" s="56">
        <f>IF($N59="","",INDEX('Cronograma R. Financiero'!$O$5:$O$1000,$N59)&amp;"")</f>
        <v/>
      </c>
      <c r="M59" s="62">
        <f>IF($N59="","",INDEX('Cronograma R. Financiero'!$Q$5:$Q$1000,$N59)&amp;"")</f>
        <v/>
      </c>
      <c r="N59">
        <f>IFERROR(MATCH(ROW()-4,rOrden_RF,0),"")</f>
        <v/>
      </c>
      <c r="O59">
        <f>IF($N59="","",INDEX('Cronograma R. Financiero'!$V$5:$V$1000,$N59))</f>
        <v/>
      </c>
      <c r="P59">
        <f>IF($N59="","",N(INDEX('Cronograma R. Financiero'!$W$5:$W$1000,$N59)))</f>
        <v/>
      </c>
      <c r="Q59">
        <f>IF(OR(LEFT($L59,7)="Vencida",LEFT($L59,5)="Vence"),SUMPRODUCT(--(LEFT($L$5:$L59,7)="Vencida"))+SUMPRODUCT(--(LEFT($L$5:$L59,5)="Vence")),"")</f>
        <v/>
      </c>
    </row>
    <row r="60">
      <c r="A60" s="56">
        <f>IF($N60="","",INDEX('Cronograma R. Financiero'!$A$5:$A$1000,$N60))</f>
        <v/>
      </c>
      <c r="B60" s="62">
        <f>IF($N60="","",IF($O60="Sub","      ↳  "&amp;INDEX('Cronograma R. Financiero'!$C$5:$C$1000,$N60),INDEX('Cronograma R. Financiero'!$C$5:$C$1000,$N60)&amp;""))</f>
        <v/>
      </c>
      <c r="C60" s="79">
        <f>IF($N60="","",IF(INDEX('Cronograma R. Financiero'!$AR$5:$AR$1000,$N60)="","",INDEX('Cronograma R. Financiero'!$AR$5:$AR$1000,$N60)))</f>
        <v/>
      </c>
      <c r="D60" s="79">
        <f>IF($N60="","",IF(INDEX('Cronograma R. Financiero'!$AS$5:$AS$1000,$N60)="","",INDEX('Cronograma R. Financiero'!$AS$5:$AS$1000,$N60)))</f>
        <v/>
      </c>
      <c r="E60" s="56">
        <f>IF($N60="","",IF(NOT(ISNUMBER($D60)),"",IF($D60&lt;InicioCiclo,"Antes del ciclo",IF($D60&gt;=InicioCiclo+28,"Después del ciclo","Semana "&amp;(INT(($D60-InicioCiclo)/7)+1)))))</f>
        <v/>
      </c>
      <c r="F60" s="61">
        <f>IF($N60="","",IF($P60&gt;0,IF(1&lt;=SemanaActual,INDEX('Cronograma R. Financiero'!$AH$5:$AH$1000,$N60),""),IF(INDEX('Cronograma R. Financiero'!$I$5:$I$1000,$N60)="","",INDEX('Cronograma R. Financiero'!$I$5:$I$1000,$N60))))</f>
        <v/>
      </c>
      <c r="G60" s="61">
        <f>IF($N60="","",IF($P60&gt;0,IF(2&lt;=SemanaActual,INDEX('Cronograma R. Financiero'!$AI$5:$AI$1000,$N60),""),IF(INDEX('Cronograma R. Financiero'!$J$5:$J$1000,$N60)="","",INDEX('Cronograma R. Financiero'!$J$5:$J$1000,$N60))))</f>
        <v/>
      </c>
      <c r="H60" s="61">
        <f>IF($N60="","",IF($P60&gt;0,IF(3&lt;=SemanaActual,INDEX('Cronograma R. Financiero'!$AJ$5:$AJ$1000,$N60),""),IF(INDEX('Cronograma R. Financiero'!$K$5:$K$1000,$N60)="","",INDEX('Cronograma R. Financiero'!$K$5:$K$1000,$N60))))</f>
        <v/>
      </c>
      <c r="I60" s="61">
        <f>IF($N60="","",IF($P60&gt;0,IF(4&lt;=SemanaActual,INDEX('Cronograma R. Financiero'!$AK$5:$AK$1000,$N60),""),IF(INDEX('Cronograma R. Financiero'!$L$5:$L$1000,$N60)="","",INDEX('Cronograma R. Financiero'!$L$5:$L$1000,$N60))))</f>
        <v/>
      </c>
      <c r="J60" s="61">
        <f>IF($N60="","",INDEX('Cronograma R. Financiero'!$M$5:$M$1000,$N60))</f>
        <v/>
      </c>
      <c r="K60" s="56">
        <f>IF($N60="","",IF(N($J60)&gt;=1,"Completado",IF(AND(ISNUMBER($D60),$D60&lt;FechaRef),"Vencida",IF(N($J60)&gt;0,"En curso","Pendiente"))))</f>
        <v/>
      </c>
      <c r="L60" s="56">
        <f>IF($N60="","",INDEX('Cronograma R. Financiero'!$O$5:$O$1000,$N60)&amp;"")</f>
        <v/>
      </c>
      <c r="M60" s="62">
        <f>IF($N60="","",INDEX('Cronograma R. Financiero'!$Q$5:$Q$1000,$N60)&amp;"")</f>
        <v/>
      </c>
      <c r="N60">
        <f>IFERROR(MATCH(ROW()-4,rOrden_RF,0),"")</f>
        <v/>
      </c>
      <c r="O60">
        <f>IF($N60="","",INDEX('Cronograma R. Financiero'!$V$5:$V$1000,$N60))</f>
        <v/>
      </c>
      <c r="P60">
        <f>IF($N60="","",N(INDEX('Cronograma R. Financiero'!$W$5:$W$1000,$N60)))</f>
        <v/>
      </c>
      <c r="Q60">
        <f>IF(OR(LEFT($L60,7)="Vencida",LEFT($L60,5)="Vence"),SUMPRODUCT(--(LEFT($L$5:$L60,7)="Vencida"))+SUMPRODUCT(--(LEFT($L$5:$L60,5)="Vence")),"")</f>
        <v/>
      </c>
    </row>
    <row r="61">
      <c r="A61" s="56">
        <f>IF($N61="","",INDEX('Cronograma R. Financiero'!$A$5:$A$1000,$N61))</f>
        <v/>
      </c>
      <c r="B61" s="62">
        <f>IF($N61="","",IF($O61="Sub","      ↳  "&amp;INDEX('Cronograma R. Financiero'!$C$5:$C$1000,$N61),INDEX('Cronograma R. Financiero'!$C$5:$C$1000,$N61)&amp;""))</f>
        <v/>
      </c>
      <c r="C61" s="79">
        <f>IF($N61="","",IF(INDEX('Cronograma R. Financiero'!$AR$5:$AR$1000,$N61)="","",INDEX('Cronograma R. Financiero'!$AR$5:$AR$1000,$N61)))</f>
        <v/>
      </c>
      <c r="D61" s="79">
        <f>IF($N61="","",IF(INDEX('Cronograma R. Financiero'!$AS$5:$AS$1000,$N61)="","",INDEX('Cronograma R. Financiero'!$AS$5:$AS$1000,$N61)))</f>
        <v/>
      </c>
      <c r="E61" s="56">
        <f>IF($N61="","",IF(NOT(ISNUMBER($D61)),"",IF($D61&lt;InicioCiclo,"Antes del ciclo",IF($D61&gt;=InicioCiclo+28,"Después del ciclo","Semana "&amp;(INT(($D61-InicioCiclo)/7)+1)))))</f>
        <v/>
      </c>
      <c r="F61" s="61">
        <f>IF($N61="","",IF($P61&gt;0,IF(1&lt;=SemanaActual,INDEX('Cronograma R. Financiero'!$AH$5:$AH$1000,$N61),""),IF(INDEX('Cronograma R. Financiero'!$I$5:$I$1000,$N61)="","",INDEX('Cronograma R. Financiero'!$I$5:$I$1000,$N61))))</f>
        <v/>
      </c>
      <c r="G61" s="61">
        <f>IF($N61="","",IF($P61&gt;0,IF(2&lt;=SemanaActual,INDEX('Cronograma R. Financiero'!$AI$5:$AI$1000,$N61),""),IF(INDEX('Cronograma R. Financiero'!$J$5:$J$1000,$N61)="","",INDEX('Cronograma R. Financiero'!$J$5:$J$1000,$N61))))</f>
        <v/>
      </c>
      <c r="H61" s="61">
        <f>IF($N61="","",IF($P61&gt;0,IF(3&lt;=SemanaActual,INDEX('Cronograma R. Financiero'!$AJ$5:$AJ$1000,$N61),""),IF(INDEX('Cronograma R. Financiero'!$K$5:$K$1000,$N61)="","",INDEX('Cronograma R. Financiero'!$K$5:$K$1000,$N61))))</f>
        <v/>
      </c>
      <c r="I61" s="61">
        <f>IF($N61="","",IF($P61&gt;0,IF(4&lt;=SemanaActual,INDEX('Cronograma R. Financiero'!$AK$5:$AK$1000,$N61),""),IF(INDEX('Cronograma R. Financiero'!$L$5:$L$1000,$N61)="","",INDEX('Cronograma R. Financiero'!$L$5:$L$1000,$N61))))</f>
        <v/>
      </c>
      <c r="J61" s="61">
        <f>IF($N61="","",INDEX('Cronograma R. Financiero'!$M$5:$M$1000,$N61))</f>
        <v/>
      </c>
      <c r="K61" s="56">
        <f>IF($N61="","",IF(N($J61)&gt;=1,"Completado",IF(AND(ISNUMBER($D61),$D61&lt;FechaRef),"Vencida",IF(N($J61)&gt;0,"En curso","Pendiente"))))</f>
        <v/>
      </c>
      <c r="L61" s="56">
        <f>IF($N61="","",INDEX('Cronograma R. Financiero'!$O$5:$O$1000,$N61)&amp;"")</f>
        <v/>
      </c>
      <c r="M61" s="62">
        <f>IF($N61="","",INDEX('Cronograma R. Financiero'!$Q$5:$Q$1000,$N61)&amp;"")</f>
        <v/>
      </c>
      <c r="N61">
        <f>IFERROR(MATCH(ROW()-4,rOrden_RF,0),"")</f>
        <v/>
      </c>
      <c r="O61">
        <f>IF($N61="","",INDEX('Cronograma R. Financiero'!$V$5:$V$1000,$N61))</f>
        <v/>
      </c>
      <c r="P61">
        <f>IF($N61="","",N(INDEX('Cronograma R. Financiero'!$W$5:$W$1000,$N61)))</f>
        <v/>
      </c>
      <c r="Q61">
        <f>IF(OR(LEFT($L61,7)="Vencida",LEFT($L61,5)="Vence"),SUMPRODUCT(--(LEFT($L$5:$L61,7)="Vencida"))+SUMPRODUCT(--(LEFT($L$5:$L61,5)="Vence")),"")</f>
        <v/>
      </c>
    </row>
    <row r="62">
      <c r="A62" s="56">
        <f>IF($N62="","",INDEX('Cronograma R. Financiero'!$A$5:$A$1000,$N62))</f>
        <v/>
      </c>
      <c r="B62" s="62">
        <f>IF($N62="","",IF($O62="Sub","      ↳  "&amp;INDEX('Cronograma R. Financiero'!$C$5:$C$1000,$N62),INDEX('Cronograma R. Financiero'!$C$5:$C$1000,$N62)&amp;""))</f>
        <v/>
      </c>
      <c r="C62" s="79">
        <f>IF($N62="","",IF(INDEX('Cronograma R. Financiero'!$AR$5:$AR$1000,$N62)="","",INDEX('Cronograma R. Financiero'!$AR$5:$AR$1000,$N62)))</f>
        <v/>
      </c>
      <c r="D62" s="79">
        <f>IF($N62="","",IF(INDEX('Cronograma R. Financiero'!$AS$5:$AS$1000,$N62)="","",INDEX('Cronograma R. Financiero'!$AS$5:$AS$1000,$N62)))</f>
        <v/>
      </c>
      <c r="E62" s="56">
        <f>IF($N62="","",IF(NOT(ISNUMBER($D62)),"",IF($D62&lt;InicioCiclo,"Antes del ciclo",IF($D62&gt;=InicioCiclo+28,"Después del ciclo","Semana "&amp;(INT(($D62-InicioCiclo)/7)+1)))))</f>
        <v/>
      </c>
      <c r="F62" s="61">
        <f>IF($N62="","",IF($P62&gt;0,IF(1&lt;=SemanaActual,INDEX('Cronograma R. Financiero'!$AH$5:$AH$1000,$N62),""),IF(INDEX('Cronograma R. Financiero'!$I$5:$I$1000,$N62)="","",INDEX('Cronograma R. Financiero'!$I$5:$I$1000,$N62))))</f>
        <v/>
      </c>
      <c r="G62" s="61">
        <f>IF($N62="","",IF($P62&gt;0,IF(2&lt;=SemanaActual,INDEX('Cronograma R. Financiero'!$AI$5:$AI$1000,$N62),""),IF(INDEX('Cronograma R. Financiero'!$J$5:$J$1000,$N62)="","",INDEX('Cronograma R. Financiero'!$J$5:$J$1000,$N62))))</f>
        <v/>
      </c>
      <c r="H62" s="61">
        <f>IF($N62="","",IF($P62&gt;0,IF(3&lt;=SemanaActual,INDEX('Cronograma R. Financiero'!$AJ$5:$AJ$1000,$N62),""),IF(INDEX('Cronograma R. Financiero'!$K$5:$K$1000,$N62)="","",INDEX('Cronograma R. Financiero'!$K$5:$K$1000,$N62))))</f>
        <v/>
      </c>
      <c r="I62" s="61">
        <f>IF($N62="","",IF($P62&gt;0,IF(4&lt;=SemanaActual,INDEX('Cronograma R. Financiero'!$AK$5:$AK$1000,$N62),""),IF(INDEX('Cronograma R. Financiero'!$L$5:$L$1000,$N62)="","",INDEX('Cronograma R. Financiero'!$L$5:$L$1000,$N62))))</f>
        <v/>
      </c>
      <c r="J62" s="61">
        <f>IF($N62="","",INDEX('Cronograma R. Financiero'!$M$5:$M$1000,$N62))</f>
        <v/>
      </c>
      <c r="K62" s="56">
        <f>IF($N62="","",IF(N($J62)&gt;=1,"Completado",IF(AND(ISNUMBER($D62),$D62&lt;FechaRef),"Vencida",IF(N($J62)&gt;0,"En curso","Pendiente"))))</f>
        <v/>
      </c>
      <c r="L62" s="56">
        <f>IF($N62="","",INDEX('Cronograma R. Financiero'!$O$5:$O$1000,$N62)&amp;"")</f>
        <v/>
      </c>
      <c r="M62" s="62">
        <f>IF($N62="","",INDEX('Cronograma R. Financiero'!$Q$5:$Q$1000,$N62)&amp;"")</f>
        <v/>
      </c>
      <c r="N62">
        <f>IFERROR(MATCH(ROW()-4,rOrden_RF,0),"")</f>
        <v/>
      </c>
      <c r="O62">
        <f>IF($N62="","",INDEX('Cronograma R. Financiero'!$V$5:$V$1000,$N62))</f>
        <v/>
      </c>
      <c r="P62">
        <f>IF($N62="","",N(INDEX('Cronograma R. Financiero'!$W$5:$W$1000,$N62)))</f>
        <v/>
      </c>
      <c r="Q62">
        <f>IF(OR(LEFT($L62,7)="Vencida",LEFT($L62,5)="Vence"),SUMPRODUCT(--(LEFT($L$5:$L62,7)="Vencida"))+SUMPRODUCT(--(LEFT($L$5:$L62,5)="Vence")),"")</f>
        <v/>
      </c>
    </row>
    <row r="63">
      <c r="A63" s="56">
        <f>IF($N63="","",INDEX('Cronograma R. Financiero'!$A$5:$A$1000,$N63))</f>
        <v/>
      </c>
      <c r="B63" s="62">
        <f>IF($N63="","",IF($O63="Sub","      ↳  "&amp;INDEX('Cronograma R. Financiero'!$C$5:$C$1000,$N63),INDEX('Cronograma R. Financiero'!$C$5:$C$1000,$N63)&amp;""))</f>
        <v/>
      </c>
      <c r="C63" s="79">
        <f>IF($N63="","",IF(INDEX('Cronograma R. Financiero'!$AR$5:$AR$1000,$N63)="","",INDEX('Cronograma R. Financiero'!$AR$5:$AR$1000,$N63)))</f>
        <v/>
      </c>
      <c r="D63" s="79">
        <f>IF($N63="","",IF(INDEX('Cronograma R. Financiero'!$AS$5:$AS$1000,$N63)="","",INDEX('Cronograma R. Financiero'!$AS$5:$AS$1000,$N63)))</f>
        <v/>
      </c>
      <c r="E63" s="56">
        <f>IF($N63="","",IF(NOT(ISNUMBER($D63)),"",IF($D63&lt;InicioCiclo,"Antes del ciclo",IF($D63&gt;=InicioCiclo+28,"Después del ciclo","Semana "&amp;(INT(($D63-InicioCiclo)/7)+1)))))</f>
        <v/>
      </c>
      <c r="F63" s="61">
        <f>IF($N63="","",IF($P63&gt;0,IF(1&lt;=SemanaActual,INDEX('Cronograma R. Financiero'!$AH$5:$AH$1000,$N63),""),IF(INDEX('Cronograma R. Financiero'!$I$5:$I$1000,$N63)="","",INDEX('Cronograma R. Financiero'!$I$5:$I$1000,$N63))))</f>
        <v/>
      </c>
      <c r="G63" s="61">
        <f>IF($N63="","",IF($P63&gt;0,IF(2&lt;=SemanaActual,INDEX('Cronograma R. Financiero'!$AI$5:$AI$1000,$N63),""),IF(INDEX('Cronograma R. Financiero'!$J$5:$J$1000,$N63)="","",INDEX('Cronograma R. Financiero'!$J$5:$J$1000,$N63))))</f>
        <v/>
      </c>
      <c r="H63" s="61">
        <f>IF($N63="","",IF($P63&gt;0,IF(3&lt;=SemanaActual,INDEX('Cronograma R. Financiero'!$AJ$5:$AJ$1000,$N63),""),IF(INDEX('Cronograma R. Financiero'!$K$5:$K$1000,$N63)="","",INDEX('Cronograma R. Financiero'!$K$5:$K$1000,$N63))))</f>
        <v/>
      </c>
      <c r="I63" s="61">
        <f>IF($N63="","",IF($P63&gt;0,IF(4&lt;=SemanaActual,INDEX('Cronograma R. Financiero'!$AK$5:$AK$1000,$N63),""),IF(INDEX('Cronograma R. Financiero'!$L$5:$L$1000,$N63)="","",INDEX('Cronograma R. Financiero'!$L$5:$L$1000,$N63))))</f>
        <v/>
      </c>
      <c r="J63" s="61">
        <f>IF($N63="","",INDEX('Cronograma R. Financiero'!$M$5:$M$1000,$N63))</f>
        <v/>
      </c>
      <c r="K63" s="56">
        <f>IF($N63="","",IF(N($J63)&gt;=1,"Completado",IF(AND(ISNUMBER($D63),$D63&lt;FechaRef),"Vencida",IF(N($J63)&gt;0,"En curso","Pendiente"))))</f>
        <v/>
      </c>
      <c r="L63" s="56">
        <f>IF($N63="","",INDEX('Cronograma R. Financiero'!$O$5:$O$1000,$N63)&amp;"")</f>
        <v/>
      </c>
      <c r="M63" s="62">
        <f>IF($N63="","",INDEX('Cronograma R. Financiero'!$Q$5:$Q$1000,$N63)&amp;"")</f>
        <v/>
      </c>
      <c r="N63">
        <f>IFERROR(MATCH(ROW()-4,rOrden_RF,0),"")</f>
        <v/>
      </c>
      <c r="O63">
        <f>IF($N63="","",INDEX('Cronograma R. Financiero'!$V$5:$V$1000,$N63))</f>
        <v/>
      </c>
      <c r="P63">
        <f>IF($N63="","",N(INDEX('Cronograma R. Financiero'!$W$5:$W$1000,$N63)))</f>
        <v/>
      </c>
      <c r="Q63">
        <f>IF(OR(LEFT($L63,7)="Vencida",LEFT($L63,5)="Vence"),SUMPRODUCT(--(LEFT($L$5:$L63,7)="Vencida"))+SUMPRODUCT(--(LEFT($L$5:$L63,5)="Vence")),"")</f>
        <v/>
      </c>
    </row>
    <row r="64">
      <c r="A64" s="56">
        <f>IF($N64="","",INDEX('Cronograma R. Financiero'!$A$5:$A$1000,$N64))</f>
        <v/>
      </c>
      <c r="B64" s="62">
        <f>IF($N64="","",IF($O64="Sub","      ↳  "&amp;INDEX('Cronograma R. Financiero'!$C$5:$C$1000,$N64),INDEX('Cronograma R. Financiero'!$C$5:$C$1000,$N64)&amp;""))</f>
        <v/>
      </c>
      <c r="C64" s="79">
        <f>IF($N64="","",IF(INDEX('Cronograma R. Financiero'!$AR$5:$AR$1000,$N64)="","",INDEX('Cronograma R. Financiero'!$AR$5:$AR$1000,$N64)))</f>
        <v/>
      </c>
      <c r="D64" s="79">
        <f>IF($N64="","",IF(INDEX('Cronograma R. Financiero'!$AS$5:$AS$1000,$N64)="","",INDEX('Cronograma R. Financiero'!$AS$5:$AS$1000,$N64)))</f>
        <v/>
      </c>
      <c r="E64" s="56">
        <f>IF($N64="","",IF(NOT(ISNUMBER($D64)),"",IF($D64&lt;InicioCiclo,"Antes del ciclo",IF($D64&gt;=InicioCiclo+28,"Después del ciclo","Semana "&amp;(INT(($D64-InicioCiclo)/7)+1)))))</f>
        <v/>
      </c>
      <c r="F64" s="61">
        <f>IF($N64="","",IF($P64&gt;0,IF(1&lt;=SemanaActual,INDEX('Cronograma R. Financiero'!$AH$5:$AH$1000,$N64),""),IF(INDEX('Cronograma R. Financiero'!$I$5:$I$1000,$N64)="","",INDEX('Cronograma R. Financiero'!$I$5:$I$1000,$N64))))</f>
        <v/>
      </c>
      <c r="G64" s="61">
        <f>IF($N64="","",IF($P64&gt;0,IF(2&lt;=SemanaActual,INDEX('Cronograma R. Financiero'!$AI$5:$AI$1000,$N64),""),IF(INDEX('Cronograma R. Financiero'!$J$5:$J$1000,$N64)="","",INDEX('Cronograma R. Financiero'!$J$5:$J$1000,$N64))))</f>
        <v/>
      </c>
      <c r="H64" s="61">
        <f>IF($N64="","",IF($P64&gt;0,IF(3&lt;=SemanaActual,INDEX('Cronograma R. Financiero'!$AJ$5:$AJ$1000,$N64),""),IF(INDEX('Cronograma R. Financiero'!$K$5:$K$1000,$N64)="","",INDEX('Cronograma R. Financiero'!$K$5:$K$1000,$N64))))</f>
        <v/>
      </c>
      <c r="I64" s="61">
        <f>IF($N64="","",IF($P64&gt;0,IF(4&lt;=SemanaActual,INDEX('Cronograma R. Financiero'!$AK$5:$AK$1000,$N64),""),IF(INDEX('Cronograma R. Financiero'!$L$5:$L$1000,$N64)="","",INDEX('Cronograma R. Financiero'!$L$5:$L$1000,$N64))))</f>
        <v/>
      </c>
      <c r="J64" s="61">
        <f>IF($N64="","",INDEX('Cronograma R. Financiero'!$M$5:$M$1000,$N64))</f>
        <v/>
      </c>
      <c r="K64" s="56">
        <f>IF($N64="","",IF(N($J64)&gt;=1,"Completado",IF(AND(ISNUMBER($D64),$D64&lt;FechaRef),"Vencida",IF(N($J64)&gt;0,"En curso","Pendiente"))))</f>
        <v/>
      </c>
      <c r="L64" s="56">
        <f>IF($N64="","",INDEX('Cronograma R. Financiero'!$O$5:$O$1000,$N64)&amp;"")</f>
        <v/>
      </c>
      <c r="M64" s="62">
        <f>IF($N64="","",INDEX('Cronograma R. Financiero'!$Q$5:$Q$1000,$N64)&amp;"")</f>
        <v/>
      </c>
      <c r="N64">
        <f>IFERROR(MATCH(ROW()-4,rOrden_RF,0),"")</f>
        <v/>
      </c>
      <c r="O64">
        <f>IF($N64="","",INDEX('Cronograma R. Financiero'!$V$5:$V$1000,$N64))</f>
        <v/>
      </c>
      <c r="P64">
        <f>IF($N64="","",N(INDEX('Cronograma R. Financiero'!$W$5:$W$1000,$N64)))</f>
        <v/>
      </c>
      <c r="Q64">
        <f>IF(OR(LEFT($L64,7)="Vencida",LEFT($L64,5)="Vence"),SUMPRODUCT(--(LEFT($L$5:$L64,7)="Vencida"))+SUMPRODUCT(--(LEFT($L$5:$L64,5)="Vence")),"")</f>
        <v/>
      </c>
    </row>
    <row r="65">
      <c r="A65" s="56">
        <f>IF($N65="","",INDEX('Cronograma R. Financiero'!$A$5:$A$1000,$N65))</f>
        <v/>
      </c>
      <c r="B65" s="62">
        <f>IF($N65="","",IF($O65="Sub","      ↳  "&amp;INDEX('Cronograma R. Financiero'!$C$5:$C$1000,$N65),INDEX('Cronograma R. Financiero'!$C$5:$C$1000,$N65)&amp;""))</f>
        <v/>
      </c>
      <c r="C65" s="79">
        <f>IF($N65="","",IF(INDEX('Cronograma R. Financiero'!$AR$5:$AR$1000,$N65)="","",INDEX('Cronograma R. Financiero'!$AR$5:$AR$1000,$N65)))</f>
        <v/>
      </c>
      <c r="D65" s="79">
        <f>IF($N65="","",IF(INDEX('Cronograma R. Financiero'!$AS$5:$AS$1000,$N65)="","",INDEX('Cronograma R. Financiero'!$AS$5:$AS$1000,$N65)))</f>
        <v/>
      </c>
      <c r="E65" s="56">
        <f>IF($N65="","",IF(NOT(ISNUMBER($D65)),"",IF($D65&lt;InicioCiclo,"Antes del ciclo",IF($D65&gt;=InicioCiclo+28,"Después del ciclo","Semana "&amp;(INT(($D65-InicioCiclo)/7)+1)))))</f>
        <v/>
      </c>
      <c r="F65" s="61">
        <f>IF($N65="","",IF($P65&gt;0,IF(1&lt;=SemanaActual,INDEX('Cronograma R. Financiero'!$AH$5:$AH$1000,$N65),""),IF(INDEX('Cronograma R. Financiero'!$I$5:$I$1000,$N65)="","",INDEX('Cronograma R. Financiero'!$I$5:$I$1000,$N65))))</f>
        <v/>
      </c>
      <c r="G65" s="61">
        <f>IF($N65="","",IF($P65&gt;0,IF(2&lt;=SemanaActual,INDEX('Cronograma R. Financiero'!$AI$5:$AI$1000,$N65),""),IF(INDEX('Cronograma R. Financiero'!$J$5:$J$1000,$N65)="","",INDEX('Cronograma R. Financiero'!$J$5:$J$1000,$N65))))</f>
        <v/>
      </c>
      <c r="H65" s="61">
        <f>IF($N65="","",IF($P65&gt;0,IF(3&lt;=SemanaActual,INDEX('Cronograma R. Financiero'!$AJ$5:$AJ$1000,$N65),""),IF(INDEX('Cronograma R. Financiero'!$K$5:$K$1000,$N65)="","",INDEX('Cronograma R. Financiero'!$K$5:$K$1000,$N65))))</f>
        <v/>
      </c>
      <c r="I65" s="61">
        <f>IF($N65="","",IF($P65&gt;0,IF(4&lt;=SemanaActual,INDEX('Cronograma R. Financiero'!$AK$5:$AK$1000,$N65),""),IF(INDEX('Cronograma R. Financiero'!$L$5:$L$1000,$N65)="","",INDEX('Cronograma R. Financiero'!$L$5:$L$1000,$N65))))</f>
        <v/>
      </c>
      <c r="J65" s="61">
        <f>IF($N65="","",INDEX('Cronograma R. Financiero'!$M$5:$M$1000,$N65))</f>
        <v/>
      </c>
      <c r="K65" s="56">
        <f>IF($N65="","",IF(N($J65)&gt;=1,"Completado",IF(AND(ISNUMBER($D65),$D65&lt;FechaRef),"Vencida",IF(N($J65)&gt;0,"En curso","Pendiente"))))</f>
        <v/>
      </c>
      <c r="L65" s="56">
        <f>IF($N65="","",INDEX('Cronograma R. Financiero'!$O$5:$O$1000,$N65)&amp;"")</f>
        <v/>
      </c>
      <c r="M65" s="62">
        <f>IF($N65="","",INDEX('Cronograma R. Financiero'!$Q$5:$Q$1000,$N65)&amp;"")</f>
        <v/>
      </c>
      <c r="N65">
        <f>IFERROR(MATCH(ROW()-4,rOrden_RF,0),"")</f>
        <v/>
      </c>
      <c r="O65">
        <f>IF($N65="","",INDEX('Cronograma R. Financiero'!$V$5:$V$1000,$N65))</f>
        <v/>
      </c>
      <c r="P65">
        <f>IF($N65="","",N(INDEX('Cronograma R. Financiero'!$W$5:$W$1000,$N65)))</f>
        <v/>
      </c>
      <c r="Q65">
        <f>IF(OR(LEFT($L65,7)="Vencida",LEFT($L65,5)="Vence"),SUMPRODUCT(--(LEFT($L$5:$L65,7)="Vencida"))+SUMPRODUCT(--(LEFT($L$5:$L65,5)="Vence")),"")</f>
        <v/>
      </c>
    </row>
    <row r="66">
      <c r="A66" s="56">
        <f>IF($N66="","",INDEX('Cronograma R. Financiero'!$A$5:$A$1000,$N66))</f>
        <v/>
      </c>
      <c r="B66" s="62">
        <f>IF($N66="","",IF($O66="Sub","      ↳  "&amp;INDEX('Cronograma R. Financiero'!$C$5:$C$1000,$N66),INDEX('Cronograma R. Financiero'!$C$5:$C$1000,$N66)&amp;""))</f>
        <v/>
      </c>
      <c r="C66" s="79">
        <f>IF($N66="","",IF(INDEX('Cronograma R. Financiero'!$AR$5:$AR$1000,$N66)="","",INDEX('Cronograma R. Financiero'!$AR$5:$AR$1000,$N66)))</f>
        <v/>
      </c>
      <c r="D66" s="79">
        <f>IF($N66="","",IF(INDEX('Cronograma R. Financiero'!$AS$5:$AS$1000,$N66)="","",INDEX('Cronograma R. Financiero'!$AS$5:$AS$1000,$N66)))</f>
        <v/>
      </c>
      <c r="E66" s="56">
        <f>IF($N66="","",IF(NOT(ISNUMBER($D66)),"",IF($D66&lt;InicioCiclo,"Antes del ciclo",IF($D66&gt;=InicioCiclo+28,"Después del ciclo","Semana "&amp;(INT(($D66-InicioCiclo)/7)+1)))))</f>
        <v/>
      </c>
      <c r="F66" s="61">
        <f>IF($N66="","",IF($P66&gt;0,IF(1&lt;=SemanaActual,INDEX('Cronograma R. Financiero'!$AH$5:$AH$1000,$N66),""),IF(INDEX('Cronograma R. Financiero'!$I$5:$I$1000,$N66)="","",INDEX('Cronograma R. Financiero'!$I$5:$I$1000,$N66))))</f>
        <v/>
      </c>
      <c r="G66" s="61">
        <f>IF($N66="","",IF($P66&gt;0,IF(2&lt;=SemanaActual,INDEX('Cronograma R. Financiero'!$AI$5:$AI$1000,$N66),""),IF(INDEX('Cronograma R. Financiero'!$J$5:$J$1000,$N66)="","",INDEX('Cronograma R. Financiero'!$J$5:$J$1000,$N66))))</f>
        <v/>
      </c>
      <c r="H66" s="61">
        <f>IF($N66="","",IF($P66&gt;0,IF(3&lt;=SemanaActual,INDEX('Cronograma R. Financiero'!$AJ$5:$AJ$1000,$N66),""),IF(INDEX('Cronograma R. Financiero'!$K$5:$K$1000,$N66)="","",INDEX('Cronograma R. Financiero'!$K$5:$K$1000,$N66))))</f>
        <v/>
      </c>
      <c r="I66" s="61">
        <f>IF($N66="","",IF($P66&gt;0,IF(4&lt;=SemanaActual,INDEX('Cronograma R. Financiero'!$AK$5:$AK$1000,$N66),""),IF(INDEX('Cronograma R. Financiero'!$L$5:$L$1000,$N66)="","",INDEX('Cronograma R. Financiero'!$L$5:$L$1000,$N66))))</f>
        <v/>
      </c>
      <c r="J66" s="61">
        <f>IF($N66="","",INDEX('Cronograma R. Financiero'!$M$5:$M$1000,$N66))</f>
        <v/>
      </c>
      <c r="K66" s="56">
        <f>IF($N66="","",IF(N($J66)&gt;=1,"Completado",IF(AND(ISNUMBER($D66),$D66&lt;FechaRef),"Vencida",IF(N($J66)&gt;0,"En curso","Pendiente"))))</f>
        <v/>
      </c>
      <c r="L66" s="56">
        <f>IF($N66="","",INDEX('Cronograma R. Financiero'!$O$5:$O$1000,$N66)&amp;"")</f>
        <v/>
      </c>
      <c r="M66" s="62">
        <f>IF($N66="","",INDEX('Cronograma R. Financiero'!$Q$5:$Q$1000,$N66)&amp;"")</f>
        <v/>
      </c>
      <c r="N66">
        <f>IFERROR(MATCH(ROW()-4,rOrden_RF,0),"")</f>
        <v/>
      </c>
      <c r="O66">
        <f>IF($N66="","",INDEX('Cronograma R. Financiero'!$V$5:$V$1000,$N66))</f>
        <v/>
      </c>
      <c r="P66">
        <f>IF($N66="","",N(INDEX('Cronograma R. Financiero'!$W$5:$W$1000,$N66)))</f>
        <v/>
      </c>
      <c r="Q66">
        <f>IF(OR(LEFT($L66,7)="Vencida",LEFT($L66,5)="Vence"),SUMPRODUCT(--(LEFT($L$5:$L66,7)="Vencida"))+SUMPRODUCT(--(LEFT($L$5:$L66,5)="Vence")),"")</f>
        <v/>
      </c>
    </row>
    <row r="67">
      <c r="A67" s="56">
        <f>IF($N67="","",INDEX('Cronograma R. Financiero'!$A$5:$A$1000,$N67))</f>
        <v/>
      </c>
      <c r="B67" s="62">
        <f>IF($N67="","",IF($O67="Sub","      ↳  "&amp;INDEX('Cronograma R. Financiero'!$C$5:$C$1000,$N67),INDEX('Cronograma R. Financiero'!$C$5:$C$1000,$N67)&amp;""))</f>
        <v/>
      </c>
      <c r="C67" s="79">
        <f>IF($N67="","",IF(INDEX('Cronograma R. Financiero'!$AR$5:$AR$1000,$N67)="","",INDEX('Cronograma R. Financiero'!$AR$5:$AR$1000,$N67)))</f>
        <v/>
      </c>
      <c r="D67" s="79">
        <f>IF($N67="","",IF(INDEX('Cronograma R. Financiero'!$AS$5:$AS$1000,$N67)="","",INDEX('Cronograma R. Financiero'!$AS$5:$AS$1000,$N67)))</f>
        <v/>
      </c>
      <c r="E67" s="56">
        <f>IF($N67="","",IF(NOT(ISNUMBER($D67)),"",IF($D67&lt;InicioCiclo,"Antes del ciclo",IF($D67&gt;=InicioCiclo+28,"Después del ciclo","Semana "&amp;(INT(($D67-InicioCiclo)/7)+1)))))</f>
        <v/>
      </c>
      <c r="F67" s="61">
        <f>IF($N67="","",IF($P67&gt;0,IF(1&lt;=SemanaActual,INDEX('Cronograma R. Financiero'!$AH$5:$AH$1000,$N67),""),IF(INDEX('Cronograma R. Financiero'!$I$5:$I$1000,$N67)="","",INDEX('Cronograma R. Financiero'!$I$5:$I$1000,$N67))))</f>
        <v/>
      </c>
      <c r="G67" s="61">
        <f>IF($N67="","",IF($P67&gt;0,IF(2&lt;=SemanaActual,INDEX('Cronograma R. Financiero'!$AI$5:$AI$1000,$N67),""),IF(INDEX('Cronograma R. Financiero'!$J$5:$J$1000,$N67)="","",INDEX('Cronograma R. Financiero'!$J$5:$J$1000,$N67))))</f>
        <v/>
      </c>
      <c r="H67" s="61">
        <f>IF($N67="","",IF($P67&gt;0,IF(3&lt;=SemanaActual,INDEX('Cronograma R. Financiero'!$AJ$5:$AJ$1000,$N67),""),IF(INDEX('Cronograma R. Financiero'!$K$5:$K$1000,$N67)="","",INDEX('Cronograma R. Financiero'!$K$5:$K$1000,$N67))))</f>
        <v/>
      </c>
      <c r="I67" s="61">
        <f>IF($N67="","",IF($P67&gt;0,IF(4&lt;=SemanaActual,INDEX('Cronograma R. Financiero'!$AK$5:$AK$1000,$N67),""),IF(INDEX('Cronograma R. Financiero'!$L$5:$L$1000,$N67)="","",INDEX('Cronograma R. Financiero'!$L$5:$L$1000,$N67))))</f>
        <v/>
      </c>
      <c r="J67" s="61">
        <f>IF($N67="","",INDEX('Cronograma R. Financiero'!$M$5:$M$1000,$N67))</f>
        <v/>
      </c>
      <c r="K67" s="56">
        <f>IF($N67="","",IF(N($J67)&gt;=1,"Completado",IF(AND(ISNUMBER($D67),$D67&lt;FechaRef),"Vencida",IF(N($J67)&gt;0,"En curso","Pendiente"))))</f>
        <v/>
      </c>
      <c r="L67" s="56">
        <f>IF($N67="","",INDEX('Cronograma R. Financiero'!$O$5:$O$1000,$N67)&amp;"")</f>
        <v/>
      </c>
      <c r="M67" s="62">
        <f>IF($N67="","",INDEX('Cronograma R. Financiero'!$Q$5:$Q$1000,$N67)&amp;"")</f>
        <v/>
      </c>
      <c r="N67">
        <f>IFERROR(MATCH(ROW()-4,rOrden_RF,0),"")</f>
        <v/>
      </c>
      <c r="O67">
        <f>IF($N67="","",INDEX('Cronograma R. Financiero'!$V$5:$V$1000,$N67))</f>
        <v/>
      </c>
      <c r="P67">
        <f>IF($N67="","",N(INDEX('Cronograma R. Financiero'!$W$5:$W$1000,$N67)))</f>
        <v/>
      </c>
      <c r="Q67">
        <f>IF(OR(LEFT($L67,7)="Vencida",LEFT($L67,5)="Vence"),SUMPRODUCT(--(LEFT($L$5:$L67,7)="Vencida"))+SUMPRODUCT(--(LEFT($L$5:$L67,5)="Vence")),"")</f>
        <v/>
      </c>
    </row>
    <row r="68">
      <c r="A68" s="56">
        <f>IF($N68="","",INDEX('Cronograma R. Financiero'!$A$5:$A$1000,$N68))</f>
        <v/>
      </c>
      <c r="B68" s="62">
        <f>IF($N68="","",IF($O68="Sub","      ↳  "&amp;INDEX('Cronograma R. Financiero'!$C$5:$C$1000,$N68),INDEX('Cronograma R. Financiero'!$C$5:$C$1000,$N68)&amp;""))</f>
        <v/>
      </c>
      <c r="C68" s="79">
        <f>IF($N68="","",IF(INDEX('Cronograma R. Financiero'!$AR$5:$AR$1000,$N68)="","",INDEX('Cronograma R. Financiero'!$AR$5:$AR$1000,$N68)))</f>
        <v/>
      </c>
      <c r="D68" s="79">
        <f>IF($N68="","",IF(INDEX('Cronograma R. Financiero'!$AS$5:$AS$1000,$N68)="","",INDEX('Cronograma R. Financiero'!$AS$5:$AS$1000,$N68)))</f>
        <v/>
      </c>
      <c r="E68" s="56">
        <f>IF($N68="","",IF(NOT(ISNUMBER($D68)),"",IF($D68&lt;InicioCiclo,"Antes del ciclo",IF($D68&gt;=InicioCiclo+28,"Después del ciclo","Semana "&amp;(INT(($D68-InicioCiclo)/7)+1)))))</f>
        <v/>
      </c>
      <c r="F68" s="61">
        <f>IF($N68="","",IF($P68&gt;0,IF(1&lt;=SemanaActual,INDEX('Cronograma R. Financiero'!$AH$5:$AH$1000,$N68),""),IF(INDEX('Cronograma R. Financiero'!$I$5:$I$1000,$N68)="","",INDEX('Cronograma R. Financiero'!$I$5:$I$1000,$N68))))</f>
        <v/>
      </c>
      <c r="G68" s="61">
        <f>IF($N68="","",IF($P68&gt;0,IF(2&lt;=SemanaActual,INDEX('Cronograma R. Financiero'!$AI$5:$AI$1000,$N68),""),IF(INDEX('Cronograma R. Financiero'!$J$5:$J$1000,$N68)="","",INDEX('Cronograma R. Financiero'!$J$5:$J$1000,$N68))))</f>
        <v/>
      </c>
      <c r="H68" s="61">
        <f>IF($N68="","",IF($P68&gt;0,IF(3&lt;=SemanaActual,INDEX('Cronograma R. Financiero'!$AJ$5:$AJ$1000,$N68),""),IF(INDEX('Cronograma R. Financiero'!$K$5:$K$1000,$N68)="","",INDEX('Cronograma R. Financiero'!$K$5:$K$1000,$N68))))</f>
        <v/>
      </c>
      <c r="I68" s="61">
        <f>IF($N68="","",IF($P68&gt;0,IF(4&lt;=SemanaActual,INDEX('Cronograma R. Financiero'!$AK$5:$AK$1000,$N68),""),IF(INDEX('Cronograma R. Financiero'!$L$5:$L$1000,$N68)="","",INDEX('Cronograma R. Financiero'!$L$5:$L$1000,$N68))))</f>
        <v/>
      </c>
      <c r="J68" s="61">
        <f>IF($N68="","",INDEX('Cronograma R. Financiero'!$M$5:$M$1000,$N68))</f>
        <v/>
      </c>
      <c r="K68" s="56">
        <f>IF($N68="","",IF(N($J68)&gt;=1,"Completado",IF(AND(ISNUMBER($D68),$D68&lt;FechaRef),"Vencida",IF(N($J68)&gt;0,"En curso","Pendiente"))))</f>
        <v/>
      </c>
      <c r="L68" s="56">
        <f>IF($N68="","",INDEX('Cronograma R. Financiero'!$O$5:$O$1000,$N68)&amp;"")</f>
        <v/>
      </c>
      <c r="M68" s="62">
        <f>IF($N68="","",INDEX('Cronograma R. Financiero'!$Q$5:$Q$1000,$N68)&amp;"")</f>
        <v/>
      </c>
      <c r="N68">
        <f>IFERROR(MATCH(ROW()-4,rOrden_RF,0),"")</f>
        <v/>
      </c>
      <c r="O68">
        <f>IF($N68="","",INDEX('Cronograma R. Financiero'!$V$5:$V$1000,$N68))</f>
        <v/>
      </c>
      <c r="P68">
        <f>IF($N68="","",N(INDEX('Cronograma R. Financiero'!$W$5:$W$1000,$N68)))</f>
        <v/>
      </c>
      <c r="Q68">
        <f>IF(OR(LEFT($L68,7)="Vencida",LEFT($L68,5)="Vence"),SUMPRODUCT(--(LEFT($L$5:$L68,7)="Vencida"))+SUMPRODUCT(--(LEFT($L$5:$L68,5)="Vence")),"")</f>
        <v/>
      </c>
    </row>
    <row r="69">
      <c r="A69" s="56">
        <f>IF($N69="","",INDEX('Cronograma R. Financiero'!$A$5:$A$1000,$N69))</f>
        <v/>
      </c>
      <c r="B69" s="62">
        <f>IF($N69="","",IF($O69="Sub","      ↳  "&amp;INDEX('Cronograma R. Financiero'!$C$5:$C$1000,$N69),INDEX('Cronograma R. Financiero'!$C$5:$C$1000,$N69)&amp;""))</f>
        <v/>
      </c>
      <c r="C69" s="79">
        <f>IF($N69="","",IF(INDEX('Cronograma R. Financiero'!$AR$5:$AR$1000,$N69)="","",INDEX('Cronograma R. Financiero'!$AR$5:$AR$1000,$N69)))</f>
        <v/>
      </c>
      <c r="D69" s="79">
        <f>IF($N69="","",IF(INDEX('Cronograma R. Financiero'!$AS$5:$AS$1000,$N69)="","",INDEX('Cronograma R. Financiero'!$AS$5:$AS$1000,$N69)))</f>
        <v/>
      </c>
      <c r="E69" s="56">
        <f>IF($N69="","",IF(NOT(ISNUMBER($D69)),"",IF($D69&lt;InicioCiclo,"Antes del ciclo",IF($D69&gt;=InicioCiclo+28,"Después del ciclo","Semana "&amp;(INT(($D69-InicioCiclo)/7)+1)))))</f>
        <v/>
      </c>
      <c r="F69" s="61">
        <f>IF($N69="","",IF($P69&gt;0,IF(1&lt;=SemanaActual,INDEX('Cronograma R. Financiero'!$AH$5:$AH$1000,$N69),""),IF(INDEX('Cronograma R. Financiero'!$I$5:$I$1000,$N69)="","",INDEX('Cronograma R. Financiero'!$I$5:$I$1000,$N69))))</f>
        <v/>
      </c>
      <c r="G69" s="61">
        <f>IF($N69="","",IF($P69&gt;0,IF(2&lt;=SemanaActual,INDEX('Cronograma R. Financiero'!$AI$5:$AI$1000,$N69),""),IF(INDEX('Cronograma R. Financiero'!$J$5:$J$1000,$N69)="","",INDEX('Cronograma R. Financiero'!$J$5:$J$1000,$N69))))</f>
        <v/>
      </c>
      <c r="H69" s="61">
        <f>IF($N69="","",IF($P69&gt;0,IF(3&lt;=SemanaActual,INDEX('Cronograma R. Financiero'!$AJ$5:$AJ$1000,$N69),""),IF(INDEX('Cronograma R. Financiero'!$K$5:$K$1000,$N69)="","",INDEX('Cronograma R. Financiero'!$K$5:$K$1000,$N69))))</f>
        <v/>
      </c>
      <c r="I69" s="61">
        <f>IF($N69="","",IF($P69&gt;0,IF(4&lt;=SemanaActual,INDEX('Cronograma R. Financiero'!$AK$5:$AK$1000,$N69),""),IF(INDEX('Cronograma R. Financiero'!$L$5:$L$1000,$N69)="","",INDEX('Cronograma R. Financiero'!$L$5:$L$1000,$N69))))</f>
        <v/>
      </c>
      <c r="J69" s="61">
        <f>IF($N69="","",INDEX('Cronograma R. Financiero'!$M$5:$M$1000,$N69))</f>
        <v/>
      </c>
      <c r="K69" s="56">
        <f>IF($N69="","",IF(N($J69)&gt;=1,"Completado",IF(AND(ISNUMBER($D69),$D69&lt;FechaRef),"Vencida",IF(N($J69)&gt;0,"En curso","Pendiente"))))</f>
        <v/>
      </c>
      <c r="L69" s="56">
        <f>IF($N69="","",INDEX('Cronograma R. Financiero'!$O$5:$O$1000,$N69)&amp;"")</f>
        <v/>
      </c>
      <c r="M69" s="62">
        <f>IF($N69="","",INDEX('Cronograma R. Financiero'!$Q$5:$Q$1000,$N69)&amp;"")</f>
        <v/>
      </c>
      <c r="N69">
        <f>IFERROR(MATCH(ROW()-4,rOrden_RF,0),"")</f>
        <v/>
      </c>
      <c r="O69">
        <f>IF($N69="","",INDEX('Cronograma R. Financiero'!$V$5:$V$1000,$N69))</f>
        <v/>
      </c>
      <c r="P69">
        <f>IF($N69="","",N(INDEX('Cronograma R. Financiero'!$W$5:$W$1000,$N69)))</f>
        <v/>
      </c>
      <c r="Q69">
        <f>IF(OR(LEFT($L69,7)="Vencida",LEFT($L69,5)="Vence"),SUMPRODUCT(--(LEFT($L$5:$L69,7)="Vencida"))+SUMPRODUCT(--(LEFT($L$5:$L69,5)="Vence")),"")</f>
        <v/>
      </c>
    </row>
    <row r="70">
      <c r="A70" s="56">
        <f>IF($N70="","",INDEX('Cronograma R. Financiero'!$A$5:$A$1000,$N70))</f>
        <v/>
      </c>
      <c r="B70" s="62">
        <f>IF($N70="","",IF($O70="Sub","      ↳  "&amp;INDEX('Cronograma R. Financiero'!$C$5:$C$1000,$N70),INDEX('Cronograma R. Financiero'!$C$5:$C$1000,$N70)&amp;""))</f>
        <v/>
      </c>
      <c r="C70" s="79">
        <f>IF($N70="","",IF(INDEX('Cronograma R. Financiero'!$AR$5:$AR$1000,$N70)="","",INDEX('Cronograma R. Financiero'!$AR$5:$AR$1000,$N70)))</f>
        <v/>
      </c>
      <c r="D70" s="79">
        <f>IF($N70="","",IF(INDEX('Cronograma R. Financiero'!$AS$5:$AS$1000,$N70)="","",INDEX('Cronograma R. Financiero'!$AS$5:$AS$1000,$N70)))</f>
        <v/>
      </c>
      <c r="E70" s="56">
        <f>IF($N70="","",IF(NOT(ISNUMBER($D70)),"",IF($D70&lt;InicioCiclo,"Antes del ciclo",IF($D70&gt;=InicioCiclo+28,"Después del ciclo","Semana "&amp;(INT(($D70-InicioCiclo)/7)+1)))))</f>
        <v/>
      </c>
      <c r="F70" s="61">
        <f>IF($N70="","",IF($P70&gt;0,IF(1&lt;=SemanaActual,INDEX('Cronograma R. Financiero'!$AH$5:$AH$1000,$N70),""),IF(INDEX('Cronograma R. Financiero'!$I$5:$I$1000,$N70)="","",INDEX('Cronograma R. Financiero'!$I$5:$I$1000,$N70))))</f>
        <v/>
      </c>
      <c r="G70" s="61">
        <f>IF($N70="","",IF($P70&gt;0,IF(2&lt;=SemanaActual,INDEX('Cronograma R. Financiero'!$AI$5:$AI$1000,$N70),""),IF(INDEX('Cronograma R. Financiero'!$J$5:$J$1000,$N70)="","",INDEX('Cronograma R. Financiero'!$J$5:$J$1000,$N70))))</f>
        <v/>
      </c>
      <c r="H70" s="61">
        <f>IF($N70="","",IF($P70&gt;0,IF(3&lt;=SemanaActual,INDEX('Cronograma R. Financiero'!$AJ$5:$AJ$1000,$N70),""),IF(INDEX('Cronograma R. Financiero'!$K$5:$K$1000,$N70)="","",INDEX('Cronograma R. Financiero'!$K$5:$K$1000,$N70))))</f>
        <v/>
      </c>
      <c r="I70" s="61">
        <f>IF($N70="","",IF($P70&gt;0,IF(4&lt;=SemanaActual,INDEX('Cronograma R. Financiero'!$AK$5:$AK$1000,$N70),""),IF(INDEX('Cronograma R. Financiero'!$L$5:$L$1000,$N70)="","",INDEX('Cronograma R. Financiero'!$L$5:$L$1000,$N70))))</f>
        <v/>
      </c>
      <c r="J70" s="61">
        <f>IF($N70="","",INDEX('Cronograma R. Financiero'!$M$5:$M$1000,$N70))</f>
        <v/>
      </c>
      <c r="K70" s="56">
        <f>IF($N70="","",IF(N($J70)&gt;=1,"Completado",IF(AND(ISNUMBER($D70),$D70&lt;FechaRef),"Vencida",IF(N($J70)&gt;0,"En curso","Pendiente"))))</f>
        <v/>
      </c>
      <c r="L70" s="56">
        <f>IF($N70="","",INDEX('Cronograma R. Financiero'!$O$5:$O$1000,$N70)&amp;"")</f>
        <v/>
      </c>
      <c r="M70" s="62">
        <f>IF($N70="","",INDEX('Cronograma R. Financiero'!$Q$5:$Q$1000,$N70)&amp;"")</f>
        <v/>
      </c>
      <c r="N70">
        <f>IFERROR(MATCH(ROW()-4,rOrden_RF,0),"")</f>
        <v/>
      </c>
      <c r="O70">
        <f>IF($N70="","",INDEX('Cronograma R. Financiero'!$V$5:$V$1000,$N70))</f>
        <v/>
      </c>
      <c r="P70">
        <f>IF($N70="","",N(INDEX('Cronograma R. Financiero'!$W$5:$W$1000,$N70)))</f>
        <v/>
      </c>
      <c r="Q70">
        <f>IF(OR(LEFT($L70,7)="Vencida",LEFT($L70,5)="Vence"),SUMPRODUCT(--(LEFT($L$5:$L70,7)="Vencida"))+SUMPRODUCT(--(LEFT($L$5:$L70,5)="Vence")),"")</f>
        <v/>
      </c>
    </row>
    <row r="71">
      <c r="A71" s="56">
        <f>IF($N71="","",INDEX('Cronograma R. Financiero'!$A$5:$A$1000,$N71))</f>
        <v/>
      </c>
      <c r="B71" s="62">
        <f>IF($N71="","",IF($O71="Sub","      ↳  "&amp;INDEX('Cronograma R. Financiero'!$C$5:$C$1000,$N71),INDEX('Cronograma R. Financiero'!$C$5:$C$1000,$N71)&amp;""))</f>
        <v/>
      </c>
      <c r="C71" s="79">
        <f>IF($N71="","",IF(INDEX('Cronograma R. Financiero'!$AR$5:$AR$1000,$N71)="","",INDEX('Cronograma R. Financiero'!$AR$5:$AR$1000,$N71)))</f>
        <v/>
      </c>
      <c r="D71" s="79">
        <f>IF($N71="","",IF(INDEX('Cronograma R. Financiero'!$AS$5:$AS$1000,$N71)="","",INDEX('Cronograma R. Financiero'!$AS$5:$AS$1000,$N71)))</f>
        <v/>
      </c>
      <c r="E71" s="56">
        <f>IF($N71="","",IF(NOT(ISNUMBER($D71)),"",IF($D71&lt;InicioCiclo,"Antes del ciclo",IF($D71&gt;=InicioCiclo+28,"Después del ciclo","Semana "&amp;(INT(($D71-InicioCiclo)/7)+1)))))</f>
        <v/>
      </c>
      <c r="F71" s="61">
        <f>IF($N71="","",IF($P71&gt;0,IF(1&lt;=SemanaActual,INDEX('Cronograma R. Financiero'!$AH$5:$AH$1000,$N71),""),IF(INDEX('Cronograma R. Financiero'!$I$5:$I$1000,$N71)="","",INDEX('Cronograma R. Financiero'!$I$5:$I$1000,$N71))))</f>
        <v/>
      </c>
      <c r="G71" s="61">
        <f>IF($N71="","",IF($P71&gt;0,IF(2&lt;=SemanaActual,INDEX('Cronograma R. Financiero'!$AI$5:$AI$1000,$N71),""),IF(INDEX('Cronograma R. Financiero'!$J$5:$J$1000,$N71)="","",INDEX('Cronograma R. Financiero'!$J$5:$J$1000,$N71))))</f>
        <v/>
      </c>
      <c r="H71" s="61">
        <f>IF($N71="","",IF($P71&gt;0,IF(3&lt;=SemanaActual,INDEX('Cronograma R. Financiero'!$AJ$5:$AJ$1000,$N71),""),IF(INDEX('Cronograma R. Financiero'!$K$5:$K$1000,$N71)="","",INDEX('Cronograma R. Financiero'!$K$5:$K$1000,$N71))))</f>
        <v/>
      </c>
      <c r="I71" s="61">
        <f>IF($N71="","",IF($P71&gt;0,IF(4&lt;=SemanaActual,INDEX('Cronograma R. Financiero'!$AK$5:$AK$1000,$N71),""),IF(INDEX('Cronograma R. Financiero'!$L$5:$L$1000,$N71)="","",INDEX('Cronograma R. Financiero'!$L$5:$L$1000,$N71))))</f>
        <v/>
      </c>
      <c r="J71" s="61">
        <f>IF($N71="","",INDEX('Cronograma R. Financiero'!$M$5:$M$1000,$N71))</f>
        <v/>
      </c>
      <c r="K71" s="56">
        <f>IF($N71="","",IF(N($J71)&gt;=1,"Completado",IF(AND(ISNUMBER($D71),$D71&lt;FechaRef),"Vencida",IF(N($J71)&gt;0,"En curso","Pendiente"))))</f>
        <v/>
      </c>
      <c r="L71" s="56">
        <f>IF($N71="","",INDEX('Cronograma R. Financiero'!$O$5:$O$1000,$N71)&amp;"")</f>
        <v/>
      </c>
      <c r="M71" s="62">
        <f>IF($N71="","",INDEX('Cronograma R. Financiero'!$Q$5:$Q$1000,$N71)&amp;"")</f>
        <v/>
      </c>
      <c r="N71">
        <f>IFERROR(MATCH(ROW()-4,rOrden_RF,0),"")</f>
        <v/>
      </c>
      <c r="O71">
        <f>IF($N71="","",INDEX('Cronograma R. Financiero'!$V$5:$V$1000,$N71))</f>
        <v/>
      </c>
      <c r="P71">
        <f>IF($N71="","",N(INDEX('Cronograma R. Financiero'!$W$5:$W$1000,$N71)))</f>
        <v/>
      </c>
      <c r="Q71">
        <f>IF(OR(LEFT($L71,7)="Vencida",LEFT($L71,5)="Vence"),SUMPRODUCT(--(LEFT($L$5:$L71,7)="Vencida"))+SUMPRODUCT(--(LEFT($L$5:$L71,5)="Vence")),"")</f>
        <v/>
      </c>
    </row>
    <row r="72">
      <c r="A72" s="56">
        <f>IF($N72="","",INDEX('Cronograma R. Financiero'!$A$5:$A$1000,$N72))</f>
        <v/>
      </c>
      <c r="B72" s="62">
        <f>IF($N72="","",IF($O72="Sub","      ↳  "&amp;INDEX('Cronograma R. Financiero'!$C$5:$C$1000,$N72),INDEX('Cronograma R. Financiero'!$C$5:$C$1000,$N72)&amp;""))</f>
        <v/>
      </c>
      <c r="C72" s="79">
        <f>IF($N72="","",IF(INDEX('Cronograma R. Financiero'!$AR$5:$AR$1000,$N72)="","",INDEX('Cronograma R. Financiero'!$AR$5:$AR$1000,$N72)))</f>
        <v/>
      </c>
      <c r="D72" s="79">
        <f>IF($N72="","",IF(INDEX('Cronograma R. Financiero'!$AS$5:$AS$1000,$N72)="","",INDEX('Cronograma R. Financiero'!$AS$5:$AS$1000,$N72)))</f>
        <v/>
      </c>
      <c r="E72" s="56">
        <f>IF($N72="","",IF(NOT(ISNUMBER($D72)),"",IF($D72&lt;InicioCiclo,"Antes del ciclo",IF($D72&gt;=InicioCiclo+28,"Después del ciclo","Semana "&amp;(INT(($D72-InicioCiclo)/7)+1)))))</f>
        <v/>
      </c>
      <c r="F72" s="61">
        <f>IF($N72="","",IF($P72&gt;0,IF(1&lt;=SemanaActual,INDEX('Cronograma R. Financiero'!$AH$5:$AH$1000,$N72),""),IF(INDEX('Cronograma R. Financiero'!$I$5:$I$1000,$N72)="","",INDEX('Cronograma R. Financiero'!$I$5:$I$1000,$N72))))</f>
        <v/>
      </c>
      <c r="G72" s="61">
        <f>IF($N72="","",IF($P72&gt;0,IF(2&lt;=SemanaActual,INDEX('Cronograma R. Financiero'!$AI$5:$AI$1000,$N72),""),IF(INDEX('Cronograma R. Financiero'!$J$5:$J$1000,$N72)="","",INDEX('Cronograma R. Financiero'!$J$5:$J$1000,$N72))))</f>
        <v/>
      </c>
      <c r="H72" s="61">
        <f>IF($N72="","",IF($P72&gt;0,IF(3&lt;=SemanaActual,INDEX('Cronograma R. Financiero'!$AJ$5:$AJ$1000,$N72),""),IF(INDEX('Cronograma R. Financiero'!$K$5:$K$1000,$N72)="","",INDEX('Cronograma R. Financiero'!$K$5:$K$1000,$N72))))</f>
        <v/>
      </c>
      <c r="I72" s="61">
        <f>IF($N72="","",IF($P72&gt;0,IF(4&lt;=SemanaActual,INDEX('Cronograma R. Financiero'!$AK$5:$AK$1000,$N72),""),IF(INDEX('Cronograma R. Financiero'!$L$5:$L$1000,$N72)="","",INDEX('Cronograma R. Financiero'!$L$5:$L$1000,$N72))))</f>
        <v/>
      </c>
      <c r="J72" s="61">
        <f>IF($N72="","",INDEX('Cronograma R. Financiero'!$M$5:$M$1000,$N72))</f>
        <v/>
      </c>
      <c r="K72" s="56">
        <f>IF($N72="","",IF(N($J72)&gt;=1,"Completado",IF(AND(ISNUMBER($D72),$D72&lt;FechaRef),"Vencida",IF(N($J72)&gt;0,"En curso","Pendiente"))))</f>
        <v/>
      </c>
      <c r="L72" s="56">
        <f>IF($N72="","",INDEX('Cronograma R. Financiero'!$O$5:$O$1000,$N72)&amp;"")</f>
        <v/>
      </c>
      <c r="M72" s="62">
        <f>IF($N72="","",INDEX('Cronograma R. Financiero'!$Q$5:$Q$1000,$N72)&amp;"")</f>
        <v/>
      </c>
      <c r="N72">
        <f>IFERROR(MATCH(ROW()-4,rOrden_RF,0),"")</f>
        <v/>
      </c>
      <c r="O72">
        <f>IF($N72="","",INDEX('Cronograma R. Financiero'!$V$5:$V$1000,$N72))</f>
        <v/>
      </c>
      <c r="P72">
        <f>IF($N72="","",N(INDEX('Cronograma R. Financiero'!$W$5:$W$1000,$N72)))</f>
        <v/>
      </c>
      <c r="Q72">
        <f>IF(OR(LEFT($L72,7)="Vencida",LEFT($L72,5)="Vence"),SUMPRODUCT(--(LEFT($L$5:$L72,7)="Vencida"))+SUMPRODUCT(--(LEFT($L$5:$L72,5)="Vence")),"")</f>
        <v/>
      </c>
    </row>
    <row r="73">
      <c r="A73" s="56">
        <f>IF($N73="","",INDEX('Cronograma R. Financiero'!$A$5:$A$1000,$N73))</f>
        <v/>
      </c>
      <c r="B73" s="62">
        <f>IF($N73="","",IF($O73="Sub","      ↳  "&amp;INDEX('Cronograma R. Financiero'!$C$5:$C$1000,$N73),INDEX('Cronograma R. Financiero'!$C$5:$C$1000,$N73)&amp;""))</f>
        <v/>
      </c>
      <c r="C73" s="79">
        <f>IF($N73="","",IF(INDEX('Cronograma R. Financiero'!$AR$5:$AR$1000,$N73)="","",INDEX('Cronograma R. Financiero'!$AR$5:$AR$1000,$N73)))</f>
        <v/>
      </c>
      <c r="D73" s="79">
        <f>IF($N73="","",IF(INDEX('Cronograma R. Financiero'!$AS$5:$AS$1000,$N73)="","",INDEX('Cronograma R. Financiero'!$AS$5:$AS$1000,$N73)))</f>
        <v/>
      </c>
      <c r="E73" s="56">
        <f>IF($N73="","",IF(NOT(ISNUMBER($D73)),"",IF($D73&lt;InicioCiclo,"Antes del ciclo",IF($D73&gt;=InicioCiclo+28,"Después del ciclo","Semana "&amp;(INT(($D73-InicioCiclo)/7)+1)))))</f>
        <v/>
      </c>
      <c r="F73" s="61">
        <f>IF($N73="","",IF($P73&gt;0,IF(1&lt;=SemanaActual,INDEX('Cronograma R. Financiero'!$AH$5:$AH$1000,$N73),""),IF(INDEX('Cronograma R. Financiero'!$I$5:$I$1000,$N73)="","",INDEX('Cronograma R. Financiero'!$I$5:$I$1000,$N73))))</f>
        <v/>
      </c>
      <c r="G73" s="61">
        <f>IF($N73="","",IF($P73&gt;0,IF(2&lt;=SemanaActual,INDEX('Cronograma R. Financiero'!$AI$5:$AI$1000,$N73),""),IF(INDEX('Cronograma R. Financiero'!$J$5:$J$1000,$N73)="","",INDEX('Cronograma R. Financiero'!$J$5:$J$1000,$N73))))</f>
        <v/>
      </c>
      <c r="H73" s="61">
        <f>IF($N73="","",IF($P73&gt;0,IF(3&lt;=SemanaActual,INDEX('Cronograma R. Financiero'!$AJ$5:$AJ$1000,$N73),""),IF(INDEX('Cronograma R. Financiero'!$K$5:$K$1000,$N73)="","",INDEX('Cronograma R. Financiero'!$K$5:$K$1000,$N73))))</f>
        <v/>
      </c>
      <c r="I73" s="61">
        <f>IF($N73="","",IF($P73&gt;0,IF(4&lt;=SemanaActual,INDEX('Cronograma R. Financiero'!$AK$5:$AK$1000,$N73),""),IF(INDEX('Cronograma R. Financiero'!$L$5:$L$1000,$N73)="","",INDEX('Cronograma R. Financiero'!$L$5:$L$1000,$N73))))</f>
        <v/>
      </c>
      <c r="J73" s="61">
        <f>IF($N73="","",INDEX('Cronograma R. Financiero'!$M$5:$M$1000,$N73))</f>
        <v/>
      </c>
      <c r="K73" s="56">
        <f>IF($N73="","",IF(N($J73)&gt;=1,"Completado",IF(AND(ISNUMBER($D73),$D73&lt;FechaRef),"Vencida",IF(N($J73)&gt;0,"En curso","Pendiente"))))</f>
        <v/>
      </c>
      <c r="L73" s="56">
        <f>IF($N73="","",INDEX('Cronograma R. Financiero'!$O$5:$O$1000,$N73)&amp;"")</f>
        <v/>
      </c>
      <c r="M73" s="62">
        <f>IF($N73="","",INDEX('Cronograma R. Financiero'!$Q$5:$Q$1000,$N73)&amp;"")</f>
        <v/>
      </c>
      <c r="N73">
        <f>IFERROR(MATCH(ROW()-4,rOrden_RF,0),"")</f>
        <v/>
      </c>
      <c r="O73">
        <f>IF($N73="","",INDEX('Cronograma R. Financiero'!$V$5:$V$1000,$N73))</f>
        <v/>
      </c>
      <c r="P73">
        <f>IF($N73="","",N(INDEX('Cronograma R. Financiero'!$W$5:$W$1000,$N73)))</f>
        <v/>
      </c>
      <c r="Q73">
        <f>IF(OR(LEFT($L73,7)="Vencida",LEFT($L73,5)="Vence"),SUMPRODUCT(--(LEFT($L$5:$L73,7)="Vencida"))+SUMPRODUCT(--(LEFT($L$5:$L73,5)="Vence")),"")</f>
        <v/>
      </c>
    </row>
    <row r="74">
      <c r="A74" s="56">
        <f>IF($N74="","",INDEX('Cronograma R. Financiero'!$A$5:$A$1000,$N74))</f>
        <v/>
      </c>
      <c r="B74" s="62">
        <f>IF($N74="","",IF($O74="Sub","      ↳  "&amp;INDEX('Cronograma R. Financiero'!$C$5:$C$1000,$N74),INDEX('Cronograma R. Financiero'!$C$5:$C$1000,$N74)&amp;""))</f>
        <v/>
      </c>
      <c r="C74" s="79">
        <f>IF($N74="","",IF(INDEX('Cronograma R. Financiero'!$AR$5:$AR$1000,$N74)="","",INDEX('Cronograma R. Financiero'!$AR$5:$AR$1000,$N74)))</f>
        <v/>
      </c>
      <c r="D74" s="79">
        <f>IF($N74="","",IF(INDEX('Cronograma R. Financiero'!$AS$5:$AS$1000,$N74)="","",INDEX('Cronograma R. Financiero'!$AS$5:$AS$1000,$N74)))</f>
        <v/>
      </c>
      <c r="E74" s="56">
        <f>IF($N74="","",IF(NOT(ISNUMBER($D74)),"",IF($D74&lt;InicioCiclo,"Antes del ciclo",IF($D74&gt;=InicioCiclo+28,"Después del ciclo","Semana "&amp;(INT(($D74-InicioCiclo)/7)+1)))))</f>
        <v/>
      </c>
      <c r="F74" s="61">
        <f>IF($N74="","",IF($P74&gt;0,IF(1&lt;=SemanaActual,INDEX('Cronograma R. Financiero'!$AH$5:$AH$1000,$N74),""),IF(INDEX('Cronograma R. Financiero'!$I$5:$I$1000,$N74)="","",INDEX('Cronograma R. Financiero'!$I$5:$I$1000,$N74))))</f>
        <v/>
      </c>
      <c r="G74" s="61">
        <f>IF($N74="","",IF($P74&gt;0,IF(2&lt;=SemanaActual,INDEX('Cronograma R. Financiero'!$AI$5:$AI$1000,$N74),""),IF(INDEX('Cronograma R. Financiero'!$J$5:$J$1000,$N74)="","",INDEX('Cronograma R. Financiero'!$J$5:$J$1000,$N74))))</f>
        <v/>
      </c>
      <c r="H74" s="61">
        <f>IF($N74="","",IF($P74&gt;0,IF(3&lt;=SemanaActual,INDEX('Cronograma R. Financiero'!$AJ$5:$AJ$1000,$N74),""),IF(INDEX('Cronograma R. Financiero'!$K$5:$K$1000,$N74)="","",INDEX('Cronograma R. Financiero'!$K$5:$K$1000,$N74))))</f>
        <v/>
      </c>
      <c r="I74" s="61">
        <f>IF($N74="","",IF($P74&gt;0,IF(4&lt;=SemanaActual,INDEX('Cronograma R. Financiero'!$AK$5:$AK$1000,$N74),""),IF(INDEX('Cronograma R. Financiero'!$L$5:$L$1000,$N74)="","",INDEX('Cronograma R. Financiero'!$L$5:$L$1000,$N74))))</f>
        <v/>
      </c>
      <c r="J74" s="61">
        <f>IF($N74="","",INDEX('Cronograma R. Financiero'!$M$5:$M$1000,$N74))</f>
        <v/>
      </c>
      <c r="K74" s="56">
        <f>IF($N74="","",IF(N($J74)&gt;=1,"Completado",IF(AND(ISNUMBER($D74),$D74&lt;FechaRef),"Vencida",IF(N($J74)&gt;0,"En curso","Pendiente"))))</f>
        <v/>
      </c>
      <c r="L74" s="56">
        <f>IF($N74="","",INDEX('Cronograma R. Financiero'!$O$5:$O$1000,$N74)&amp;"")</f>
        <v/>
      </c>
      <c r="M74" s="62">
        <f>IF($N74="","",INDEX('Cronograma R. Financiero'!$Q$5:$Q$1000,$N74)&amp;"")</f>
        <v/>
      </c>
      <c r="N74">
        <f>IFERROR(MATCH(ROW()-4,rOrden_RF,0),"")</f>
        <v/>
      </c>
      <c r="O74">
        <f>IF($N74="","",INDEX('Cronograma R. Financiero'!$V$5:$V$1000,$N74))</f>
        <v/>
      </c>
      <c r="P74">
        <f>IF($N74="","",N(INDEX('Cronograma R. Financiero'!$W$5:$W$1000,$N74)))</f>
        <v/>
      </c>
      <c r="Q74">
        <f>IF(OR(LEFT($L74,7)="Vencida",LEFT($L74,5)="Vence"),SUMPRODUCT(--(LEFT($L$5:$L74,7)="Vencida"))+SUMPRODUCT(--(LEFT($L$5:$L74,5)="Vence")),"")</f>
        <v/>
      </c>
    </row>
    <row r="75">
      <c r="A75" s="56">
        <f>IF($N75="","",INDEX('Cronograma R. Financiero'!$A$5:$A$1000,$N75))</f>
        <v/>
      </c>
      <c r="B75" s="62">
        <f>IF($N75="","",IF($O75="Sub","      ↳  "&amp;INDEX('Cronograma R. Financiero'!$C$5:$C$1000,$N75),INDEX('Cronograma R. Financiero'!$C$5:$C$1000,$N75)&amp;""))</f>
        <v/>
      </c>
      <c r="C75" s="79">
        <f>IF($N75="","",IF(INDEX('Cronograma R. Financiero'!$AR$5:$AR$1000,$N75)="","",INDEX('Cronograma R. Financiero'!$AR$5:$AR$1000,$N75)))</f>
        <v/>
      </c>
      <c r="D75" s="79">
        <f>IF($N75="","",IF(INDEX('Cronograma R. Financiero'!$AS$5:$AS$1000,$N75)="","",INDEX('Cronograma R. Financiero'!$AS$5:$AS$1000,$N75)))</f>
        <v/>
      </c>
      <c r="E75" s="56">
        <f>IF($N75="","",IF(NOT(ISNUMBER($D75)),"",IF($D75&lt;InicioCiclo,"Antes del ciclo",IF($D75&gt;=InicioCiclo+28,"Después del ciclo","Semana "&amp;(INT(($D75-InicioCiclo)/7)+1)))))</f>
        <v/>
      </c>
      <c r="F75" s="61">
        <f>IF($N75="","",IF($P75&gt;0,IF(1&lt;=SemanaActual,INDEX('Cronograma R. Financiero'!$AH$5:$AH$1000,$N75),""),IF(INDEX('Cronograma R. Financiero'!$I$5:$I$1000,$N75)="","",INDEX('Cronograma R. Financiero'!$I$5:$I$1000,$N75))))</f>
        <v/>
      </c>
      <c r="G75" s="61">
        <f>IF($N75="","",IF($P75&gt;0,IF(2&lt;=SemanaActual,INDEX('Cronograma R. Financiero'!$AI$5:$AI$1000,$N75),""),IF(INDEX('Cronograma R. Financiero'!$J$5:$J$1000,$N75)="","",INDEX('Cronograma R. Financiero'!$J$5:$J$1000,$N75))))</f>
        <v/>
      </c>
      <c r="H75" s="61">
        <f>IF($N75="","",IF($P75&gt;0,IF(3&lt;=SemanaActual,INDEX('Cronograma R. Financiero'!$AJ$5:$AJ$1000,$N75),""),IF(INDEX('Cronograma R. Financiero'!$K$5:$K$1000,$N75)="","",INDEX('Cronograma R. Financiero'!$K$5:$K$1000,$N75))))</f>
        <v/>
      </c>
      <c r="I75" s="61">
        <f>IF($N75="","",IF($P75&gt;0,IF(4&lt;=SemanaActual,INDEX('Cronograma R. Financiero'!$AK$5:$AK$1000,$N75),""),IF(INDEX('Cronograma R. Financiero'!$L$5:$L$1000,$N75)="","",INDEX('Cronograma R. Financiero'!$L$5:$L$1000,$N75))))</f>
        <v/>
      </c>
      <c r="J75" s="61">
        <f>IF($N75="","",INDEX('Cronograma R. Financiero'!$M$5:$M$1000,$N75))</f>
        <v/>
      </c>
      <c r="K75" s="56">
        <f>IF($N75="","",IF(N($J75)&gt;=1,"Completado",IF(AND(ISNUMBER($D75),$D75&lt;FechaRef),"Vencida",IF(N($J75)&gt;0,"En curso","Pendiente"))))</f>
        <v/>
      </c>
      <c r="L75" s="56">
        <f>IF($N75="","",INDEX('Cronograma R. Financiero'!$O$5:$O$1000,$N75)&amp;"")</f>
        <v/>
      </c>
      <c r="M75" s="62">
        <f>IF($N75="","",INDEX('Cronograma R. Financiero'!$Q$5:$Q$1000,$N75)&amp;"")</f>
        <v/>
      </c>
      <c r="N75">
        <f>IFERROR(MATCH(ROW()-4,rOrden_RF,0),"")</f>
        <v/>
      </c>
      <c r="O75">
        <f>IF($N75="","",INDEX('Cronograma R. Financiero'!$V$5:$V$1000,$N75))</f>
        <v/>
      </c>
      <c r="P75">
        <f>IF($N75="","",N(INDEX('Cronograma R. Financiero'!$W$5:$W$1000,$N75)))</f>
        <v/>
      </c>
      <c r="Q75">
        <f>IF(OR(LEFT($L75,7)="Vencida",LEFT($L75,5)="Vence"),SUMPRODUCT(--(LEFT($L$5:$L75,7)="Vencida"))+SUMPRODUCT(--(LEFT($L$5:$L75,5)="Vence")),"")</f>
        <v/>
      </c>
    </row>
    <row r="76">
      <c r="A76" s="56">
        <f>IF($N76="","",INDEX('Cronograma R. Financiero'!$A$5:$A$1000,$N76))</f>
        <v/>
      </c>
      <c r="B76" s="62">
        <f>IF($N76="","",IF($O76="Sub","      ↳  "&amp;INDEX('Cronograma R. Financiero'!$C$5:$C$1000,$N76),INDEX('Cronograma R. Financiero'!$C$5:$C$1000,$N76)&amp;""))</f>
        <v/>
      </c>
      <c r="C76" s="79">
        <f>IF($N76="","",IF(INDEX('Cronograma R. Financiero'!$AR$5:$AR$1000,$N76)="","",INDEX('Cronograma R. Financiero'!$AR$5:$AR$1000,$N76)))</f>
        <v/>
      </c>
      <c r="D76" s="79">
        <f>IF($N76="","",IF(INDEX('Cronograma R. Financiero'!$AS$5:$AS$1000,$N76)="","",INDEX('Cronograma R. Financiero'!$AS$5:$AS$1000,$N76)))</f>
        <v/>
      </c>
      <c r="E76" s="56">
        <f>IF($N76="","",IF(NOT(ISNUMBER($D76)),"",IF($D76&lt;InicioCiclo,"Antes del ciclo",IF($D76&gt;=InicioCiclo+28,"Después del ciclo","Semana "&amp;(INT(($D76-InicioCiclo)/7)+1)))))</f>
        <v/>
      </c>
      <c r="F76" s="61">
        <f>IF($N76="","",IF($P76&gt;0,IF(1&lt;=SemanaActual,INDEX('Cronograma R. Financiero'!$AH$5:$AH$1000,$N76),""),IF(INDEX('Cronograma R. Financiero'!$I$5:$I$1000,$N76)="","",INDEX('Cronograma R. Financiero'!$I$5:$I$1000,$N76))))</f>
        <v/>
      </c>
      <c r="G76" s="61">
        <f>IF($N76="","",IF($P76&gt;0,IF(2&lt;=SemanaActual,INDEX('Cronograma R. Financiero'!$AI$5:$AI$1000,$N76),""),IF(INDEX('Cronograma R. Financiero'!$J$5:$J$1000,$N76)="","",INDEX('Cronograma R. Financiero'!$J$5:$J$1000,$N76))))</f>
        <v/>
      </c>
      <c r="H76" s="61">
        <f>IF($N76="","",IF($P76&gt;0,IF(3&lt;=SemanaActual,INDEX('Cronograma R. Financiero'!$AJ$5:$AJ$1000,$N76),""),IF(INDEX('Cronograma R. Financiero'!$K$5:$K$1000,$N76)="","",INDEX('Cronograma R. Financiero'!$K$5:$K$1000,$N76))))</f>
        <v/>
      </c>
      <c r="I76" s="61">
        <f>IF($N76="","",IF($P76&gt;0,IF(4&lt;=SemanaActual,INDEX('Cronograma R. Financiero'!$AK$5:$AK$1000,$N76),""),IF(INDEX('Cronograma R. Financiero'!$L$5:$L$1000,$N76)="","",INDEX('Cronograma R. Financiero'!$L$5:$L$1000,$N76))))</f>
        <v/>
      </c>
      <c r="J76" s="61">
        <f>IF($N76="","",INDEX('Cronograma R. Financiero'!$M$5:$M$1000,$N76))</f>
        <v/>
      </c>
      <c r="K76" s="56">
        <f>IF($N76="","",IF(N($J76)&gt;=1,"Completado",IF(AND(ISNUMBER($D76),$D76&lt;FechaRef),"Vencida",IF(N($J76)&gt;0,"En curso","Pendiente"))))</f>
        <v/>
      </c>
      <c r="L76" s="56">
        <f>IF($N76="","",INDEX('Cronograma R. Financiero'!$O$5:$O$1000,$N76)&amp;"")</f>
        <v/>
      </c>
      <c r="M76" s="62">
        <f>IF($N76="","",INDEX('Cronograma R. Financiero'!$Q$5:$Q$1000,$N76)&amp;"")</f>
        <v/>
      </c>
      <c r="N76">
        <f>IFERROR(MATCH(ROW()-4,rOrden_RF,0),"")</f>
        <v/>
      </c>
      <c r="O76">
        <f>IF($N76="","",INDEX('Cronograma R. Financiero'!$V$5:$V$1000,$N76))</f>
        <v/>
      </c>
      <c r="P76">
        <f>IF($N76="","",N(INDEX('Cronograma R. Financiero'!$W$5:$W$1000,$N76)))</f>
        <v/>
      </c>
      <c r="Q76">
        <f>IF(OR(LEFT($L76,7)="Vencida",LEFT($L76,5)="Vence"),SUMPRODUCT(--(LEFT($L$5:$L76,7)="Vencida"))+SUMPRODUCT(--(LEFT($L$5:$L76,5)="Vence")),"")</f>
        <v/>
      </c>
    </row>
    <row r="77">
      <c r="A77" s="56">
        <f>IF($N77="","",INDEX('Cronograma R. Financiero'!$A$5:$A$1000,$N77))</f>
        <v/>
      </c>
      <c r="B77" s="62">
        <f>IF($N77="","",IF($O77="Sub","      ↳  "&amp;INDEX('Cronograma R. Financiero'!$C$5:$C$1000,$N77),INDEX('Cronograma R. Financiero'!$C$5:$C$1000,$N77)&amp;""))</f>
        <v/>
      </c>
      <c r="C77" s="79">
        <f>IF($N77="","",IF(INDEX('Cronograma R. Financiero'!$AR$5:$AR$1000,$N77)="","",INDEX('Cronograma R. Financiero'!$AR$5:$AR$1000,$N77)))</f>
        <v/>
      </c>
      <c r="D77" s="79">
        <f>IF($N77="","",IF(INDEX('Cronograma R. Financiero'!$AS$5:$AS$1000,$N77)="","",INDEX('Cronograma R. Financiero'!$AS$5:$AS$1000,$N77)))</f>
        <v/>
      </c>
      <c r="E77" s="56">
        <f>IF($N77="","",IF(NOT(ISNUMBER($D77)),"",IF($D77&lt;InicioCiclo,"Antes del ciclo",IF($D77&gt;=InicioCiclo+28,"Después del ciclo","Semana "&amp;(INT(($D77-InicioCiclo)/7)+1)))))</f>
        <v/>
      </c>
      <c r="F77" s="61">
        <f>IF($N77="","",IF($P77&gt;0,IF(1&lt;=SemanaActual,INDEX('Cronograma R. Financiero'!$AH$5:$AH$1000,$N77),""),IF(INDEX('Cronograma R. Financiero'!$I$5:$I$1000,$N77)="","",INDEX('Cronograma R. Financiero'!$I$5:$I$1000,$N77))))</f>
        <v/>
      </c>
      <c r="G77" s="61">
        <f>IF($N77="","",IF($P77&gt;0,IF(2&lt;=SemanaActual,INDEX('Cronograma R. Financiero'!$AI$5:$AI$1000,$N77),""),IF(INDEX('Cronograma R. Financiero'!$J$5:$J$1000,$N77)="","",INDEX('Cronograma R. Financiero'!$J$5:$J$1000,$N77))))</f>
        <v/>
      </c>
      <c r="H77" s="61">
        <f>IF($N77="","",IF($P77&gt;0,IF(3&lt;=SemanaActual,INDEX('Cronograma R. Financiero'!$AJ$5:$AJ$1000,$N77),""),IF(INDEX('Cronograma R. Financiero'!$K$5:$K$1000,$N77)="","",INDEX('Cronograma R. Financiero'!$K$5:$K$1000,$N77))))</f>
        <v/>
      </c>
      <c r="I77" s="61">
        <f>IF($N77="","",IF($P77&gt;0,IF(4&lt;=SemanaActual,INDEX('Cronograma R. Financiero'!$AK$5:$AK$1000,$N77),""),IF(INDEX('Cronograma R. Financiero'!$L$5:$L$1000,$N77)="","",INDEX('Cronograma R. Financiero'!$L$5:$L$1000,$N77))))</f>
        <v/>
      </c>
      <c r="J77" s="61">
        <f>IF($N77="","",INDEX('Cronograma R. Financiero'!$M$5:$M$1000,$N77))</f>
        <v/>
      </c>
      <c r="K77" s="56">
        <f>IF($N77="","",IF(N($J77)&gt;=1,"Completado",IF(AND(ISNUMBER($D77),$D77&lt;FechaRef),"Vencida",IF(N($J77)&gt;0,"En curso","Pendiente"))))</f>
        <v/>
      </c>
      <c r="L77" s="56">
        <f>IF($N77="","",INDEX('Cronograma R. Financiero'!$O$5:$O$1000,$N77)&amp;"")</f>
        <v/>
      </c>
      <c r="M77" s="62">
        <f>IF($N77="","",INDEX('Cronograma R. Financiero'!$Q$5:$Q$1000,$N77)&amp;"")</f>
        <v/>
      </c>
      <c r="N77">
        <f>IFERROR(MATCH(ROW()-4,rOrden_RF,0),"")</f>
        <v/>
      </c>
      <c r="O77">
        <f>IF($N77="","",INDEX('Cronograma R. Financiero'!$V$5:$V$1000,$N77))</f>
        <v/>
      </c>
      <c r="P77">
        <f>IF($N77="","",N(INDEX('Cronograma R. Financiero'!$W$5:$W$1000,$N77)))</f>
        <v/>
      </c>
      <c r="Q77">
        <f>IF(OR(LEFT($L77,7)="Vencida",LEFT($L77,5)="Vence"),SUMPRODUCT(--(LEFT($L$5:$L77,7)="Vencida"))+SUMPRODUCT(--(LEFT($L$5:$L77,5)="Vence")),"")</f>
        <v/>
      </c>
    </row>
    <row r="78">
      <c r="A78" s="56">
        <f>IF($N78="","",INDEX('Cronograma R. Financiero'!$A$5:$A$1000,$N78))</f>
        <v/>
      </c>
      <c r="B78" s="62">
        <f>IF($N78="","",IF($O78="Sub","      ↳  "&amp;INDEX('Cronograma R. Financiero'!$C$5:$C$1000,$N78),INDEX('Cronograma R. Financiero'!$C$5:$C$1000,$N78)&amp;""))</f>
        <v/>
      </c>
      <c r="C78" s="79">
        <f>IF($N78="","",IF(INDEX('Cronograma R. Financiero'!$AR$5:$AR$1000,$N78)="","",INDEX('Cronograma R. Financiero'!$AR$5:$AR$1000,$N78)))</f>
        <v/>
      </c>
      <c r="D78" s="79">
        <f>IF($N78="","",IF(INDEX('Cronograma R. Financiero'!$AS$5:$AS$1000,$N78)="","",INDEX('Cronograma R. Financiero'!$AS$5:$AS$1000,$N78)))</f>
        <v/>
      </c>
      <c r="E78" s="56">
        <f>IF($N78="","",IF(NOT(ISNUMBER($D78)),"",IF($D78&lt;InicioCiclo,"Antes del ciclo",IF($D78&gt;=InicioCiclo+28,"Después del ciclo","Semana "&amp;(INT(($D78-InicioCiclo)/7)+1)))))</f>
        <v/>
      </c>
      <c r="F78" s="61">
        <f>IF($N78="","",IF($P78&gt;0,IF(1&lt;=SemanaActual,INDEX('Cronograma R. Financiero'!$AH$5:$AH$1000,$N78),""),IF(INDEX('Cronograma R. Financiero'!$I$5:$I$1000,$N78)="","",INDEX('Cronograma R. Financiero'!$I$5:$I$1000,$N78))))</f>
        <v/>
      </c>
      <c r="G78" s="61">
        <f>IF($N78="","",IF($P78&gt;0,IF(2&lt;=SemanaActual,INDEX('Cronograma R. Financiero'!$AI$5:$AI$1000,$N78),""),IF(INDEX('Cronograma R. Financiero'!$J$5:$J$1000,$N78)="","",INDEX('Cronograma R. Financiero'!$J$5:$J$1000,$N78))))</f>
        <v/>
      </c>
      <c r="H78" s="61">
        <f>IF($N78="","",IF($P78&gt;0,IF(3&lt;=SemanaActual,INDEX('Cronograma R. Financiero'!$AJ$5:$AJ$1000,$N78),""),IF(INDEX('Cronograma R. Financiero'!$K$5:$K$1000,$N78)="","",INDEX('Cronograma R. Financiero'!$K$5:$K$1000,$N78))))</f>
        <v/>
      </c>
      <c r="I78" s="61">
        <f>IF($N78="","",IF($P78&gt;0,IF(4&lt;=SemanaActual,INDEX('Cronograma R. Financiero'!$AK$5:$AK$1000,$N78),""),IF(INDEX('Cronograma R. Financiero'!$L$5:$L$1000,$N78)="","",INDEX('Cronograma R. Financiero'!$L$5:$L$1000,$N78))))</f>
        <v/>
      </c>
      <c r="J78" s="61">
        <f>IF($N78="","",INDEX('Cronograma R. Financiero'!$M$5:$M$1000,$N78))</f>
        <v/>
      </c>
      <c r="K78" s="56">
        <f>IF($N78="","",IF(N($J78)&gt;=1,"Completado",IF(AND(ISNUMBER($D78),$D78&lt;FechaRef),"Vencida",IF(N($J78)&gt;0,"En curso","Pendiente"))))</f>
        <v/>
      </c>
      <c r="L78" s="56">
        <f>IF($N78="","",INDEX('Cronograma R. Financiero'!$O$5:$O$1000,$N78)&amp;"")</f>
        <v/>
      </c>
      <c r="M78" s="62">
        <f>IF($N78="","",INDEX('Cronograma R. Financiero'!$Q$5:$Q$1000,$N78)&amp;"")</f>
        <v/>
      </c>
      <c r="N78">
        <f>IFERROR(MATCH(ROW()-4,rOrden_RF,0),"")</f>
        <v/>
      </c>
      <c r="O78">
        <f>IF($N78="","",INDEX('Cronograma R. Financiero'!$V$5:$V$1000,$N78))</f>
        <v/>
      </c>
      <c r="P78">
        <f>IF($N78="","",N(INDEX('Cronograma R. Financiero'!$W$5:$W$1000,$N78)))</f>
        <v/>
      </c>
      <c r="Q78">
        <f>IF(OR(LEFT($L78,7)="Vencida",LEFT($L78,5)="Vence"),SUMPRODUCT(--(LEFT($L$5:$L78,7)="Vencida"))+SUMPRODUCT(--(LEFT($L$5:$L78,5)="Vence")),"")</f>
        <v/>
      </c>
    </row>
    <row r="79">
      <c r="A79" s="56">
        <f>IF($N79="","",INDEX('Cronograma R. Financiero'!$A$5:$A$1000,$N79))</f>
        <v/>
      </c>
      <c r="B79" s="62">
        <f>IF($N79="","",IF($O79="Sub","      ↳  "&amp;INDEX('Cronograma R. Financiero'!$C$5:$C$1000,$N79),INDEX('Cronograma R. Financiero'!$C$5:$C$1000,$N79)&amp;""))</f>
        <v/>
      </c>
      <c r="C79" s="79">
        <f>IF($N79="","",IF(INDEX('Cronograma R. Financiero'!$AR$5:$AR$1000,$N79)="","",INDEX('Cronograma R. Financiero'!$AR$5:$AR$1000,$N79)))</f>
        <v/>
      </c>
      <c r="D79" s="79">
        <f>IF($N79="","",IF(INDEX('Cronograma R. Financiero'!$AS$5:$AS$1000,$N79)="","",INDEX('Cronograma R. Financiero'!$AS$5:$AS$1000,$N79)))</f>
        <v/>
      </c>
      <c r="E79" s="56">
        <f>IF($N79="","",IF(NOT(ISNUMBER($D79)),"",IF($D79&lt;InicioCiclo,"Antes del ciclo",IF($D79&gt;=InicioCiclo+28,"Después del ciclo","Semana "&amp;(INT(($D79-InicioCiclo)/7)+1)))))</f>
        <v/>
      </c>
      <c r="F79" s="61">
        <f>IF($N79="","",IF($P79&gt;0,IF(1&lt;=SemanaActual,INDEX('Cronograma R. Financiero'!$AH$5:$AH$1000,$N79),""),IF(INDEX('Cronograma R. Financiero'!$I$5:$I$1000,$N79)="","",INDEX('Cronograma R. Financiero'!$I$5:$I$1000,$N79))))</f>
        <v/>
      </c>
      <c r="G79" s="61">
        <f>IF($N79="","",IF($P79&gt;0,IF(2&lt;=SemanaActual,INDEX('Cronograma R. Financiero'!$AI$5:$AI$1000,$N79),""),IF(INDEX('Cronograma R. Financiero'!$J$5:$J$1000,$N79)="","",INDEX('Cronograma R. Financiero'!$J$5:$J$1000,$N79))))</f>
        <v/>
      </c>
      <c r="H79" s="61">
        <f>IF($N79="","",IF($P79&gt;0,IF(3&lt;=SemanaActual,INDEX('Cronograma R. Financiero'!$AJ$5:$AJ$1000,$N79),""),IF(INDEX('Cronograma R. Financiero'!$K$5:$K$1000,$N79)="","",INDEX('Cronograma R. Financiero'!$K$5:$K$1000,$N79))))</f>
        <v/>
      </c>
      <c r="I79" s="61">
        <f>IF($N79="","",IF($P79&gt;0,IF(4&lt;=SemanaActual,INDEX('Cronograma R. Financiero'!$AK$5:$AK$1000,$N79),""),IF(INDEX('Cronograma R. Financiero'!$L$5:$L$1000,$N79)="","",INDEX('Cronograma R. Financiero'!$L$5:$L$1000,$N79))))</f>
        <v/>
      </c>
      <c r="J79" s="61">
        <f>IF($N79="","",INDEX('Cronograma R. Financiero'!$M$5:$M$1000,$N79))</f>
        <v/>
      </c>
      <c r="K79" s="56">
        <f>IF($N79="","",IF(N($J79)&gt;=1,"Completado",IF(AND(ISNUMBER($D79),$D79&lt;FechaRef),"Vencida",IF(N($J79)&gt;0,"En curso","Pendiente"))))</f>
        <v/>
      </c>
      <c r="L79" s="56">
        <f>IF($N79="","",INDEX('Cronograma R. Financiero'!$O$5:$O$1000,$N79)&amp;"")</f>
        <v/>
      </c>
      <c r="M79" s="62">
        <f>IF($N79="","",INDEX('Cronograma R. Financiero'!$Q$5:$Q$1000,$N79)&amp;"")</f>
        <v/>
      </c>
      <c r="N79">
        <f>IFERROR(MATCH(ROW()-4,rOrden_RF,0),"")</f>
        <v/>
      </c>
      <c r="O79">
        <f>IF($N79="","",INDEX('Cronograma R. Financiero'!$V$5:$V$1000,$N79))</f>
        <v/>
      </c>
      <c r="P79">
        <f>IF($N79="","",N(INDEX('Cronograma R. Financiero'!$W$5:$W$1000,$N79)))</f>
        <v/>
      </c>
      <c r="Q79">
        <f>IF(OR(LEFT($L79,7)="Vencida",LEFT($L79,5)="Vence"),SUMPRODUCT(--(LEFT($L$5:$L79,7)="Vencida"))+SUMPRODUCT(--(LEFT($L$5:$L79,5)="Vence")),"")</f>
        <v/>
      </c>
    </row>
    <row r="80">
      <c r="A80" s="56">
        <f>IF($N80="","",INDEX('Cronograma R. Financiero'!$A$5:$A$1000,$N80))</f>
        <v/>
      </c>
      <c r="B80" s="62">
        <f>IF($N80="","",IF($O80="Sub","      ↳  "&amp;INDEX('Cronograma R. Financiero'!$C$5:$C$1000,$N80),INDEX('Cronograma R. Financiero'!$C$5:$C$1000,$N80)&amp;""))</f>
        <v/>
      </c>
      <c r="C80" s="79">
        <f>IF($N80="","",IF(INDEX('Cronograma R. Financiero'!$AR$5:$AR$1000,$N80)="","",INDEX('Cronograma R. Financiero'!$AR$5:$AR$1000,$N80)))</f>
        <v/>
      </c>
      <c r="D80" s="79">
        <f>IF($N80="","",IF(INDEX('Cronograma R. Financiero'!$AS$5:$AS$1000,$N80)="","",INDEX('Cronograma R. Financiero'!$AS$5:$AS$1000,$N80)))</f>
        <v/>
      </c>
      <c r="E80" s="56">
        <f>IF($N80="","",IF(NOT(ISNUMBER($D80)),"",IF($D80&lt;InicioCiclo,"Antes del ciclo",IF($D80&gt;=InicioCiclo+28,"Después del ciclo","Semana "&amp;(INT(($D80-InicioCiclo)/7)+1)))))</f>
        <v/>
      </c>
      <c r="F80" s="61">
        <f>IF($N80="","",IF($P80&gt;0,IF(1&lt;=SemanaActual,INDEX('Cronograma R. Financiero'!$AH$5:$AH$1000,$N80),""),IF(INDEX('Cronograma R. Financiero'!$I$5:$I$1000,$N80)="","",INDEX('Cronograma R. Financiero'!$I$5:$I$1000,$N80))))</f>
        <v/>
      </c>
      <c r="G80" s="61">
        <f>IF($N80="","",IF($P80&gt;0,IF(2&lt;=SemanaActual,INDEX('Cronograma R. Financiero'!$AI$5:$AI$1000,$N80),""),IF(INDEX('Cronograma R. Financiero'!$J$5:$J$1000,$N80)="","",INDEX('Cronograma R. Financiero'!$J$5:$J$1000,$N80))))</f>
        <v/>
      </c>
      <c r="H80" s="61">
        <f>IF($N80="","",IF($P80&gt;0,IF(3&lt;=SemanaActual,INDEX('Cronograma R. Financiero'!$AJ$5:$AJ$1000,$N80),""),IF(INDEX('Cronograma R. Financiero'!$K$5:$K$1000,$N80)="","",INDEX('Cronograma R. Financiero'!$K$5:$K$1000,$N80))))</f>
        <v/>
      </c>
      <c r="I80" s="61">
        <f>IF($N80="","",IF($P80&gt;0,IF(4&lt;=SemanaActual,INDEX('Cronograma R. Financiero'!$AK$5:$AK$1000,$N80),""),IF(INDEX('Cronograma R. Financiero'!$L$5:$L$1000,$N80)="","",INDEX('Cronograma R. Financiero'!$L$5:$L$1000,$N80))))</f>
        <v/>
      </c>
      <c r="J80" s="61">
        <f>IF($N80="","",INDEX('Cronograma R. Financiero'!$M$5:$M$1000,$N80))</f>
        <v/>
      </c>
      <c r="K80" s="56">
        <f>IF($N80="","",IF(N($J80)&gt;=1,"Completado",IF(AND(ISNUMBER($D80),$D80&lt;FechaRef),"Vencida",IF(N($J80)&gt;0,"En curso","Pendiente"))))</f>
        <v/>
      </c>
      <c r="L80" s="56">
        <f>IF($N80="","",INDEX('Cronograma R. Financiero'!$O$5:$O$1000,$N80)&amp;"")</f>
        <v/>
      </c>
      <c r="M80" s="62">
        <f>IF($N80="","",INDEX('Cronograma R. Financiero'!$Q$5:$Q$1000,$N80)&amp;"")</f>
        <v/>
      </c>
      <c r="N80">
        <f>IFERROR(MATCH(ROW()-4,rOrden_RF,0),"")</f>
        <v/>
      </c>
      <c r="O80">
        <f>IF($N80="","",INDEX('Cronograma R. Financiero'!$V$5:$V$1000,$N80))</f>
        <v/>
      </c>
      <c r="P80">
        <f>IF($N80="","",N(INDEX('Cronograma R. Financiero'!$W$5:$W$1000,$N80)))</f>
        <v/>
      </c>
      <c r="Q80">
        <f>IF(OR(LEFT($L80,7)="Vencida",LEFT($L80,5)="Vence"),SUMPRODUCT(--(LEFT($L$5:$L80,7)="Vencida"))+SUMPRODUCT(--(LEFT($L$5:$L80,5)="Vence")),"")</f>
        <v/>
      </c>
    </row>
    <row r="81">
      <c r="A81" s="56">
        <f>IF($N81="","",INDEX('Cronograma R. Financiero'!$A$5:$A$1000,$N81))</f>
        <v/>
      </c>
      <c r="B81" s="62">
        <f>IF($N81="","",IF($O81="Sub","      ↳  "&amp;INDEX('Cronograma R. Financiero'!$C$5:$C$1000,$N81),INDEX('Cronograma R. Financiero'!$C$5:$C$1000,$N81)&amp;""))</f>
        <v/>
      </c>
      <c r="C81" s="79">
        <f>IF($N81="","",IF(INDEX('Cronograma R. Financiero'!$AR$5:$AR$1000,$N81)="","",INDEX('Cronograma R. Financiero'!$AR$5:$AR$1000,$N81)))</f>
        <v/>
      </c>
      <c r="D81" s="79">
        <f>IF($N81="","",IF(INDEX('Cronograma R. Financiero'!$AS$5:$AS$1000,$N81)="","",INDEX('Cronograma R. Financiero'!$AS$5:$AS$1000,$N81)))</f>
        <v/>
      </c>
      <c r="E81" s="56">
        <f>IF($N81="","",IF(NOT(ISNUMBER($D81)),"",IF($D81&lt;InicioCiclo,"Antes del ciclo",IF($D81&gt;=InicioCiclo+28,"Después del ciclo","Semana "&amp;(INT(($D81-InicioCiclo)/7)+1)))))</f>
        <v/>
      </c>
      <c r="F81" s="61">
        <f>IF($N81="","",IF($P81&gt;0,IF(1&lt;=SemanaActual,INDEX('Cronograma R. Financiero'!$AH$5:$AH$1000,$N81),""),IF(INDEX('Cronograma R. Financiero'!$I$5:$I$1000,$N81)="","",INDEX('Cronograma R. Financiero'!$I$5:$I$1000,$N81))))</f>
        <v/>
      </c>
      <c r="G81" s="61">
        <f>IF($N81="","",IF($P81&gt;0,IF(2&lt;=SemanaActual,INDEX('Cronograma R. Financiero'!$AI$5:$AI$1000,$N81),""),IF(INDEX('Cronograma R. Financiero'!$J$5:$J$1000,$N81)="","",INDEX('Cronograma R. Financiero'!$J$5:$J$1000,$N81))))</f>
        <v/>
      </c>
      <c r="H81" s="61">
        <f>IF($N81="","",IF($P81&gt;0,IF(3&lt;=SemanaActual,INDEX('Cronograma R. Financiero'!$AJ$5:$AJ$1000,$N81),""),IF(INDEX('Cronograma R. Financiero'!$K$5:$K$1000,$N81)="","",INDEX('Cronograma R. Financiero'!$K$5:$K$1000,$N81))))</f>
        <v/>
      </c>
      <c r="I81" s="61">
        <f>IF($N81="","",IF($P81&gt;0,IF(4&lt;=SemanaActual,INDEX('Cronograma R. Financiero'!$AK$5:$AK$1000,$N81),""),IF(INDEX('Cronograma R. Financiero'!$L$5:$L$1000,$N81)="","",INDEX('Cronograma R. Financiero'!$L$5:$L$1000,$N81))))</f>
        <v/>
      </c>
      <c r="J81" s="61">
        <f>IF($N81="","",INDEX('Cronograma R. Financiero'!$M$5:$M$1000,$N81))</f>
        <v/>
      </c>
      <c r="K81" s="56">
        <f>IF($N81="","",IF(N($J81)&gt;=1,"Completado",IF(AND(ISNUMBER($D81),$D81&lt;FechaRef),"Vencida",IF(N($J81)&gt;0,"En curso","Pendiente"))))</f>
        <v/>
      </c>
      <c r="L81" s="56">
        <f>IF($N81="","",INDEX('Cronograma R. Financiero'!$O$5:$O$1000,$N81)&amp;"")</f>
        <v/>
      </c>
      <c r="M81" s="62">
        <f>IF($N81="","",INDEX('Cronograma R. Financiero'!$Q$5:$Q$1000,$N81)&amp;"")</f>
        <v/>
      </c>
      <c r="N81">
        <f>IFERROR(MATCH(ROW()-4,rOrden_RF,0),"")</f>
        <v/>
      </c>
      <c r="O81">
        <f>IF($N81="","",INDEX('Cronograma R. Financiero'!$V$5:$V$1000,$N81))</f>
        <v/>
      </c>
      <c r="P81">
        <f>IF($N81="","",N(INDEX('Cronograma R. Financiero'!$W$5:$W$1000,$N81)))</f>
        <v/>
      </c>
      <c r="Q81">
        <f>IF(OR(LEFT($L81,7)="Vencida",LEFT($L81,5)="Vence"),SUMPRODUCT(--(LEFT($L$5:$L81,7)="Vencida"))+SUMPRODUCT(--(LEFT($L$5:$L81,5)="Vence")),"")</f>
        <v/>
      </c>
    </row>
    <row r="82">
      <c r="A82" s="56">
        <f>IF($N82="","",INDEX('Cronograma R. Financiero'!$A$5:$A$1000,$N82))</f>
        <v/>
      </c>
      <c r="B82" s="62">
        <f>IF($N82="","",IF($O82="Sub","      ↳  "&amp;INDEX('Cronograma R. Financiero'!$C$5:$C$1000,$N82),INDEX('Cronograma R. Financiero'!$C$5:$C$1000,$N82)&amp;""))</f>
        <v/>
      </c>
      <c r="C82" s="79">
        <f>IF($N82="","",IF(INDEX('Cronograma R. Financiero'!$AR$5:$AR$1000,$N82)="","",INDEX('Cronograma R. Financiero'!$AR$5:$AR$1000,$N82)))</f>
        <v/>
      </c>
      <c r="D82" s="79">
        <f>IF($N82="","",IF(INDEX('Cronograma R. Financiero'!$AS$5:$AS$1000,$N82)="","",INDEX('Cronograma R. Financiero'!$AS$5:$AS$1000,$N82)))</f>
        <v/>
      </c>
      <c r="E82" s="56">
        <f>IF($N82="","",IF(NOT(ISNUMBER($D82)),"",IF($D82&lt;InicioCiclo,"Antes del ciclo",IF($D82&gt;=InicioCiclo+28,"Después del ciclo","Semana "&amp;(INT(($D82-InicioCiclo)/7)+1)))))</f>
        <v/>
      </c>
      <c r="F82" s="61">
        <f>IF($N82="","",IF($P82&gt;0,IF(1&lt;=SemanaActual,INDEX('Cronograma R. Financiero'!$AH$5:$AH$1000,$N82),""),IF(INDEX('Cronograma R. Financiero'!$I$5:$I$1000,$N82)="","",INDEX('Cronograma R. Financiero'!$I$5:$I$1000,$N82))))</f>
        <v/>
      </c>
      <c r="G82" s="61">
        <f>IF($N82="","",IF($P82&gt;0,IF(2&lt;=SemanaActual,INDEX('Cronograma R. Financiero'!$AI$5:$AI$1000,$N82),""),IF(INDEX('Cronograma R. Financiero'!$J$5:$J$1000,$N82)="","",INDEX('Cronograma R. Financiero'!$J$5:$J$1000,$N82))))</f>
        <v/>
      </c>
      <c r="H82" s="61">
        <f>IF($N82="","",IF($P82&gt;0,IF(3&lt;=SemanaActual,INDEX('Cronograma R. Financiero'!$AJ$5:$AJ$1000,$N82),""),IF(INDEX('Cronograma R. Financiero'!$K$5:$K$1000,$N82)="","",INDEX('Cronograma R. Financiero'!$K$5:$K$1000,$N82))))</f>
        <v/>
      </c>
      <c r="I82" s="61">
        <f>IF($N82="","",IF($P82&gt;0,IF(4&lt;=SemanaActual,INDEX('Cronograma R. Financiero'!$AK$5:$AK$1000,$N82),""),IF(INDEX('Cronograma R. Financiero'!$L$5:$L$1000,$N82)="","",INDEX('Cronograma R. Financiero'!$L$5:$L$1000,$N82))))</f>
        <v/>
      </c>
      <c r="J82" s="61">
        <f>IF($N82="","",INDEX('Cronograma R. Financiero'!$M$5:$M$1000,$N82))</f>
        <v/>
      </c>
      <c r="K82" s="56">
        <f>IF($N82="","",IF(N($J82)&gt;=1,"Completado",IF(AND(ISNUMBER($D82),$D82&lt;FechaRef),"Vencida",IF(N($J82)&gt;0,"En curso","Pendiente"))))</f>
        <v/>
      </c>
      <c r="L82" s="56">
        <f>IF($N82="","",INDEX('Cronograma R. Financiero'!$O$5:$O$1000,$N82)&amp;"")</f>
        <v/>
      </c>
      <c r="M82" s="62">
        <f>IF($N82="","",INDEX('Cronograma R. Financiero'!$Q$5:$Q$1000,$N82)&amp;"")</f>
        <v/>
      </c>
      <c r="N82">
        <f>IFERROR(MATCH(ROW()-4,rOrden_RF,0),"")</f>
        <v/>
      </c>
      <c r="O82">
        <f>IF($N82="","",INDEX('Cronograma R. Financiero'!$V$5:$V$1000,$N82))</f>
        <v/>
      </c>
      <c r="P82">
        <f>IF($N82="","",N(INDEX('Cronograma R. Financiero'!$W$5:$W$1000,$N82)))</f>
        <v/>
      </c>
      <c r="Q82">
        <f>IF(OR(LEFT($L82,7)="Vencida",LEFT($L82,5)="Vence"),SUMPRODUCT(--(LEFT($L$5:$L82,7)="Vencida"))+SUMPRODUCT(--(LEFT($L$5:$L82,5)="Vence")),"")</f>
        <v/>
      </c>
    </row>
    <row r="83">
      <c r="A83" s="56">
        <f>IF($N83="","",INDEX('Cronograma R. Financiero'!$A$5:$A$1000,$N83))</f>
        <v/>
      </c>
      <c r="B83" s="62">
        <f>IF($N83="","",IF($O83="Sub","      ↳  "&amp;INDEX('Cronograma R. Financiero'!$C$5:$C$1000,$N83),INDEX('Cronograma R. Financiero'!$C$5:$C$1000,$N83)&amp;""))</f>
        <v/>
      </c>
      <c r="C83" s="79">
        <f>IF($N83="","",IF(INDEX('Cronograma R. Financiero'!$AR$5:$AR$1000,$N83)="","",INDEX('Cronograma R. Financiero'!$AR$5:$AR$1000,$N83)))</f>
        <v/>
      </c>
      <c r="D83" s="79">
        <f>IF($N83="","",IF(INDEX('Cronograma R. Financiero'!$AS$5:$AS$1000,$N83)="","",INDEX('Cronograma R. Financiero'!$AS$5:$AS$1000,$N83)))</f>
        <v/>
      </c>
      <c r="E83" s="56">
        <f>IF($N83="","",IF(NOT(ISNUMBER($D83)),"",IF($D83&lt;InicioCiclo,"Antes del ciclo",IF($D83&gt;=InicioCiclo+28,"Después del ciclo","Semana "&amp;(INT(($D83-InicioCiclo)/7)+1)))))</f>
        <v/>
      </c>
      <c r="F83" s="61">
        <f>IF($N83="","",IF($P83&gt;0,IF(1&lt;=SemanaActual,INDEX('Cronograma R. Financiero'!$AH$5:$AH$1000,$N83),""),IF(INDEX('Cronograma R. Financiero'!$I$5:$I$1000,$N83)="","",INDEX('Cronograma R. Financiero'!$I$5:$I$1000,$N83))))</f>
        <v/>
      </c>
      <c r="G83" s="61">
        <f>IF($N83="","",IF($P83&gt;0,IF(2&lt;=SemanaActual,INDEX('Cronograma R. Financiero'!$AI$5:$AI$1000,$N83),""),IF(INDEX('Cronograma R. Financiero'!$J$5:$J$1000,$N83)="","",INDEX('Cronograma R. Financiero'!$J$5:$J$1000,$N83))))</f>
        <v/>
      </c>
      <c r="H83" s="61">
        <f>IF($N83="","",IF($P83&gt;0,IF(3&lt;=SemanaActual,INDEX('Cronograma R. Financiero'!$AJ$5:$AJ$1000,$N83),""),IF(INDEX('Cronograma R. Financiero'!$K$5:$K$1000,$N83)="","",INDEX('Cronograma R. Financiero'!$K$5:$K$1000,$N83))))</f>
        <v/>
      </c>
      <c r="I83" s="61">
        <f>IF($N83="","",IF($P83&gt;0,IF(4&lt;=SemanaActual,INDEX('Cronograma R. Financiero'!$AK$5:$AK$1000,$N83),""),IF(INDEX('Cronograma R. Financiero'!$L$5:$L$1000,$N83)="","",INDEX('Cronograma R. Financiero'!$L$5:$L$1000,$N83))))</f>
        <v/>
      </c>
      <c r="J83" s="61">
        <f>IF($N83="","",INDEX('Cronograma R. Financiero'!$M$5:$M$1000,$N83))</f>
        <v/>
      </c>
      <c r="K83" s="56">
        <f>IF($N83="","",IF(N($J83)&gt;=1,"Completado",IF(AND(ISNUMBER($D83),$D83&lt;FechaRef),"Vencida",IF(N($J83)&gt;0,"En curso","Pendiente"))))</f>
        <v/>
      </c>
      <c r="L83" s="56">
        <f>IF($N83="","",INDEX('Cronograma R. Financiero'!$O$5:$O$1000,$N83)&amp;"")</f>
        <v/>
      </c>
      <c r="M83" s="62">
        <f>IF($N83="","",INDEX('Cronograma R. Financiero'!$Q$5:$Q$1000,$N83)&amp;"")</f>
        <v/>
      </c>
      <c r="N83">
        <f>IFERROR(MATCH(ROW()-4,rOrden_RF,0),"")</f>
        <v/>
      </c>
      <c r="O83">
        <f>IF($N83="","",INDEX('Cronograma R. Financiero'!$V$5:$V$1000,$N83))</f>
        <v/>
      </c>
      <c r="P83">
        <f>IF($N83="","",N(INDEX('Cronograma R. Financiero'!$W$5:$W$1000,$N83)))</f>
        <v/>
      </c>
      <c r="Q83">
        <f>IF(OR(LEFT($L83,7)="Vencida",LEFT($L83,5)="Vence"),SUMPRODUCT(--(LEFT($L$5:$L83,7)="Vencida"))+SUMPRODUCT(--(LEFT($L$5:$L83,5)="Vence")),"")</f>
        <v/>
      </c>
    </row>
    <row r="84">
      <c r="A84" s="56">
        <f>IF($N84="","",INDEX('Cronograma R. Financiero'!$A$5:$A$1000,$N84))</f>
        <v/>
      </c>
      <c r="B84" s="62">
        <f>IF($N84="","",IF($O84="Sub","      ↳  "&amp;INDEX('Cronograma R. Financiero'!$C$5:$C$1000,$N84),INDEX('Cronograma R. Financiero'!$C$5:$C$1000,$N84)&amp;""))</f>
        <v/>
      </c>
      <c r="C84" s="79">
        <f>IF($N84="","",IF(INDEX('Cronograma R. Financiero'!$AR$5:$AR$1000,$N84)="","",INDEX('Cronograma R. Financiero'!$AR$5:$AR$1000,$N84)))</f>
        <v/>
      </c>
      <c r="D84" s="79">
        <f>IF($N84="","",IF(INDEX('Cronograma R. Financiero'!$AS$5:$AS$1000,$N84)="","",INDEX('Cronograma R. Financiero'!$AS$5:$AS$1000,$N84)))</f>
        <v/>
      </c>
      <c r="E84" s="56">
        <f>IF($N84="","",IF(NOT(ISNUMBER($D84)),"",IF($D84&lt;InicioCiclo,"Antes del ciclo",IF($D84&gt;=InicioCiclo+28,"Después del ciclo","Semana "&amp;(INT(($D84-InicioCiclo)/7)+1)))))</f>
        <v/>
      </c>
      <c r="F84" s="61">
        <f>IF($N84="","",IF($P84&gt;0,IF(1&lt;=SemanaActual,INDEX('Cronograma R. Financiero'!$AH$5:$AH$1000,$N84),""),IF(INDEX('Cronograma R. Financiero'!$I$5:$I$1000,$N84)="","",INDEX('Cronograma R. Financiero'!$I$5:$I$1000,$N84))))</f>
        <v/>
      </c>
      <c r="G84" s="61">
        <f>IF($N84="","",IF($P84&gt;0,IF(2&lt;=SemanaActual,INDEX('Cronograma R. Financiero'!$AI$5:$AI$1000,$N84),""),IF(INDEX('Cronograma R. Financiero'!$J$5:$J$1000,$N84)="","",INDEX('Cronograma R. Financiero'!$J$5:$J$1000,$N84))))</f>
        <v/>
      </c>
      <c r="H84" s="61">
        <f>IF($N84="","",IF($P84&gt;0,IF(3&lt;=SemanaActual,INDEX('Cronograma R. Financiero'!$AJ$5:$AJ$1000,$N84),""),IF(INDEX('Cronograma R. Financiero'!$K$5:$K$1000,$N84)="","",INDEX('Cronograma R. Financiero'!$K$5:$K$1000,$N84))))</f>
        <v/>
      </c>
      <c r="I84" s="61">
        <f>IF($N84="","",IF($P84&gt;0,IF(4&lt;=SemanaActual,INDEX('Cronograma R. Financiero'!$AK$5:$AK$1000,$N84),""),IF(INDEX('Cronograma R. Financiero'!$L$5:$L$1000,$N84)="","",INDEX('Cronograma R. Financiero'!$L$5:$L$1000,$N84))))</f>
        <v/>
      </c>
      <c r="J84" s="61">
        <f>IF($N84="","",INDEX('Cronograma R. Financiero'!$M$5:$M$1000,$N84))</f>
        <v/>
      </c>
      <c r="K84" s="56">
        <f>IF($N84="","",IF(N($J84)&gt;=1,"Completado",IF(AND(ISNUMBER($D84),$D84&lt;FechaRef),"Vencida",IF(N($J84)&gt;0,"En curso","Pendiente"))))</f>
        <v/>
      </c>
      <c r="L84" s="56">
        <f>IF($N84="","",INDEX('Cronograma R. Financiero'!$O$5:$O$1000,$N84)&amp;"")</f>
        <v/>
      </c>
      <c r="M84" s="62">
        <f>IF($N84="","",INDEX('Cronograma R. Financiero'!$Q$5:$Q$1000,$N84)&amp;"")</f>
        <v/>
      </c>
      <c r="N84">
        <f>IFERROR(MATCH(ROW()-4,rOrden_RF,0),"")</f>
        <v/>
      </c>
      <c r="O84">
        <f>IF($N84="","",INDEX('Cronograma R. Financiero'!$V$5:$V$1000,$N84))</f>
        <v/>
      </c>
      <c r="P84">
        <f>IF($N84="","",N(INDEX('Cronograma R. Financiero'!$W$5:$W$1000,$N84)))</f>
        <v/>
      </c>
      <c r="Q84">
        <f>IF(OR(LEFT($L84,7)="Vencida",LEFT($L84,5)="Vence"),SUMPRODUCT(--(LEFT($L$5:$L84,7)="Vencida"))+SUMPRODUCT(--(LEFT($L$5:$L84,5)="Vence")),"")</f>
        <v/>
      </c>
    </row>
    <row r="85">
      <c r="A85" s="56">
        <f>IF($N85="","",INDEX('Cronograma R. Financiero'!$A$5:$A$1000,$N85))</f>
        <v/>
      </c>
      <c r="B85" s="62">
        <f>IF($N85="","",IF($O85="Sub","      ↳  "&amp;INDEX('Cronograma R. Financiero'!$C$5:$C$1000,$N85),INDEX('Cronograma R. Financiero'!$C$5:$C$1000,$N85)&amp;""))</f>
        <v/>
      </c>
      <c r="C85" s="79">
        <f>IF($N85="","",IF(INDEX('Cronograma R. Financiero'!$AR$5:$AR$1000,$N85)="","",INDEX('Cronograma R. Financiero'!$AR$5:$AR$1000,$N85)))</f>
        <v/>
      </c>
      <c r="D85" s="79">
        <f>IF($N85="","",IF(INDEX('Cronograma R. Financiero'!$AS$5:$AS$1000,$N85)="","",INDEX('Cronograma R. Financiero'!$AS$5:$AS$1000,$N85)))</f>
        <v/>
      </c>
      <c r="E85" s="56">
        <f>IF($N85="","",IF(NOT(ISNUMBER($D85)),"",IF($D85&lt;InicioCiclo,"Antes del ciclo",IF($D85&gt;=InicioCiclo+28,"Después del ciclo","Semana "&amp;(INT(($D85-InicioCiclo)/7)+1)))))</f>
        <v/>
      </c>
      <c r="F85" s="61">
        <f>IF($N85="","",IF($P85&gt;0,IF(1&lt;=SemanaActual,INDEX('Cronograma R. Financiero'!$AH$5:$AH$1000,$N85),""),IF(INDEX('Cronograma R. Financiero'!$I$5:$I$1000,$N85)="","",INDEX('Cronograma R. Financiero'!$I$5:$I$1000,$N85))))</f>
        <v/>
      </c>
      <c r="G85" s="61">
        <f>IF($N85="","",IF($P85&gt;0,IF(2&lt;=SemanaActual,INDEX('Cronograma R. Financiero'!$AI$5:$AI$1000,$N85),""),IF(INDEX('Cronograma R. Financiero'!$J$5:$J$1000,$N85)="","",INDEX('Cronograma R. Financiero'!$J$5:$J$1000,$N85))))</f>
        <v/>
      </c>
      <c r="H85" s="61">
        <f>IF($N85="","",IF($P85&gt;0,IF(3&lt;=SemanaActual,INDEX('Cronograma R. Financiero'!$AJ$5:$AJ$1000,$N85),""),IF(INDEX('Cronograma R. Financiero'!$K$5:$K$1000,$N85)="","",INDEX('Cronograma R. Financiero'!$K$5:$K$1000,$N85))))</f>
        <v/>
      </c>
      <c r="I85" s="61">
        <f>IF($N85="","",IF($P85&gt;0,IF(4&lt;=SemanaActual,INDEX('Cronograma R. Financiero'!$AK$5:$AK$1000,$N85),""),IF(INDEX('Cronograma R. Financiero'!$L$5:$L$1000,$N85)="","",INDEX('Cronograma R. Financiero'!$L$5:$L$1000,$N85))))</f>
        <v/>
      </c>
      <c r="J85" s="61">
        <f>IF($N85="","",INDEX('Cronograma R. Financiero'!$M$5:$M$1000,$N85))</f>
        <v/>
      </c>
      <c r="K85" s="56">
        <f>IF($N85="","",IF(N($J85)&gt;=1,"Completado",IF(AND(ISNUMBER($D85),$D85&lt;FechaRef),"Vencida",IF(N($J85)&gt;0,"En curso","Pendiente"))))</f>
        <v/>
      </c>
      <c r="L85" s="56">
        <f>IF($N85="","",INDEX('Cronograma R. Financiero'!$O$5:$O$1000,$N85)&amp;"")</f>
        <v/>
      </c>
      <c r="M85" s="62">
        <f>IF($N85="","",INDEX('Cronograma R. Financiero'!$Q$5:$Q$1000,$N85)&amp;"")</f>
        <v/>
      </c>
      <c r="N85">
        <f>IFERROR(MATCH(ROW()-4,rOrden_RF,0),"")</f>
        <v/>
      </c>
      <c r="O85">
        <f>IF($N85="","",INDEX('Cronograma R. Financiero'!$V$5:$V$1000,$N85))</f>
        <v/>
      </c>
      <c r="P85">
        <f>IF($N85="","",N(INDEX('Cronograma R. Financiero'!$W$5:$W$1000,$N85)))</f>
        <v/>
      </c>
      <c r="Q85">
        <f>IF(OR(LEFT($L85,7)="Vencida",LEFT($L85,5)="Vence"),SUMPRODUCT(--(LEFT($L$5:$L85,7)="Vencida"))+SUMPRODUCT(--(LEFT($L$5:$L85,5)="Vence")),"")</f>
        <v/>
      </c>
    </row>
    <row r="86">
      <c r="A86" s="56">
        <f>IF($N86="","",INDEX('Cronograma R. Financiero'!$A$5:$A$1000,$N86))</f>
        <v/>
      </c>
      <c r="B86" s="62">
        <f>IF($N86="","",IF($O86="Sub","      ↳  "&amp;INDEX('Cronograma R. Financiero'!$C$5:$C$1000,$N86),INDEX('Cronograma R. Financiero'!$C$5:$C$1000,$N86)&amp;""))</f>
        <v/>
      </c>
      <c r="C86" s="79">
        <f>IF($N86="","",IF(INDEX('Cronograma R. Financiero'!$AR$5:$AR$1000,$N86)="","",INDEX('Cronograma R. Financiero'!$AR$5:$AR$1000,$N86)))</f>
        <v/>
      </c>
      <c r="D86" s="79">
        <f>IF($N86="","",IF(INDEX('Cronograma R. Financiero'!$AS$5:$AS$1000,$N86)="","",INDEX('Cronograma R. Financiero'!$AS$5:$AS$1000,$N86)))</f>
        <v/>
      </c>
      <c r="E86" s="56">
        <f>IF($N86="","",IF(NOT(ISNUMBER($D86)),"",IF($D86&lt;InicioCiclo,"Antes del ciclo",IF($D86&gt;=InicioCiclo+28,"Después del ciclo","Semana "&amp;(INT(($D86-InicioCiclo)/7)+1)))))</f>
        <v/>
      </c>
      <c r="F86" s="61">
        <f>IF($N86="","",IF($P86&gt;0,IF(1&lt;=SemanaActual,INDEX('Cronograma R. Financiero'!$AH$5:$AH$1000,$N86),""),IF(INDEX('Cronograma R. Financiero'!$I$5:$I$1000,$N86)="","",INDEX('Cronograma R. Financiero'!$I$5:$I$1000,$N86))))</f>
        <v/>
      </c>
      <c r="G86" s="61">
        <f>IF($N86="","",IF($P86&gt;0,IF(2&lt;=SemanaActual,INDEX('Cronograma R. Financiero'!$AI$5:$AI$1000,$N86),""),IF(INDEX('Cronograma R. Financiero'!$J$5:$J$1000,$N86)="","",INDEX('Cronograma R. Financiero'!$J$5:$J$1000,$N86))))</f>
        <v/>
      </c>
      <c r="H86" s="61">
        <f>IF($N86="","",IF($P86&gt;0,IF(3&lt;=SemanaActual,INDEX('Cronograma R. Financiero'!$AJ$5:$AJ$1000,$N86),""),IF(INDEX('Cronograma R. Financiero'!$K$5:$K$1000,$N86)="","",INDEX('Cronograma R. Financiero'!$K$5:$K$1000,$N86))))</f>
        <v/>
      </c>
      <c r="I86" s="61">
        <f>IF($N86="","",IF($P86&gt;0,IF(4&lt;=SemanaActual,INDEX('Cronograma R. Financiero'!$AK$5:$AK$1000,$N86),""),IF(INDEX('Cronograma R. Financiero'!$L$5:$L$1000,$N86)="","",INDEX('Cronograma R. Financiero'!$L$5:$L$1000,$N86))))</f>
        <v/>
      </c>
      <c r="J86" s="61">
        <f>IF($N86="","",INDEX('Cronograma R. Financiero'!$M$5:$M$1000,$N86))</f>
        <v/>
      </c>
      <c r="K86" s="56">
        <f>IF($N86="","",IF(N($J86)&gt;=1,"Completado",IF(AND(ISNUMBER($D86),$D86&lt;FechaRef),"Vencida",IF(N($J86)&gt;0,"En curso","Pendiente"))))</f>
        <v/>
      </c>
      <c r="L86" s="56">
        <f>IF($N86="","",INDEX('Cronograma R. Financiero'!$O$5:$O$1000,$N86)&amp;"")</f>
        <v/>
      </c>
      <c r="M86" s="62">
        <f>IF($N86="","",INDEX('Cronograma R. Financiero'!$Q$5:$Q$1000,$N86)&amp;"")</f>
        <v/>
      </c>
      <c r="N86">
        <f>IFERROR(MATCH(ROW()-4,rOrden_RF,0),"")</f>
        <v/>
      </c>
      <c r="O86">
        <f>IF($N86="","",INDEX('Cronograma R. Financiero'!$V$5:$V$1000,$N86))</f>
        <v/>
      </c>
      <c r="P86">
        <f>IF($N86="","",N(INDEX('Cronograma R. Financiero'!$W$5:$W$1000,$N86)))</f>
        <v/>
      </c>
      <c r="Q86">
        <f>IF(OR(LEFT($L86,7)="Vencida",LEFT($L86,5)="Vence"),SUMPRODUCT(--(LEFT($L$5:$L86,7)="Vencida"))+SUMPRODUCT(--(LEFT($L$5:$L86,5)="Vence")),"")</f>
        <v/>
      </c>
    </row>
    <row r="87">
      <c r="A87" s="56">
        <f>IF($N87="","",INDEX('Cronograma R. Financiero'!$A$5:$A$1000,$N87))</f>
        <v/>
      </c>
      <c r="B87" s="62">
        <f>IF($N87="","",IF($O87="Sub","      ↳  "&amp;INDEX('Cronograma R. Financiero'!$C$5:$C$1000,$N87),INDEX('Cronograma R. Financiero'!$C$5:$C$1000,$N87)&amp;""))</f>
        <v/>
      </c>
      <c r="C87" s="79">
        <f>IF($N87="","",IF(INDEX('Cronograma R. Financiero'!$AR$5:$AR$1000,$N87)="","",INDEX('Cronograma R. Financiero'!$AR$5:$AR$1000,$N87)))</f>
        <v/>
      </c>
      <c r="D87" s="79">
        <f>IF($N87="","",IF(INDEX('Cronograma R. Financiero'!$AS$5:$AS$1000,$N87)="","",INDEX('Cronograma R. Financiero'!$AS$5:$AS$1000,$N87)))</f>
        <v/>
      </c>
      <c r="E87" s="56">
        <f>IF($N87="","",IF(NOT(ISNUMBER($D87)),"",IF($D87&lt;InicioCiclo,"Antes del ciclo",IF($D87&gt;=InicioCiclo+28,"Después del ciclo","Semana "&amp;(INT(($D87-InicioCiclo)/7)+1)))))</f>
        <v/>
      </c>
      <c r="F87" s="61">
        <f>IF($N87="","",IF($P87&gt;0,IF(1&lt;=SemanaActual,INDEX('Cronograma R. Financiero'!$AH$5:$AH$1000,$N87),""),IF(INDEX('Cronograma R. Financiero'!$I$5:$I$1000,$N87)="","",INDEX('Cronograma R. Financiero'!$I$5:$I$1000,$N87))))</f>
        <v/>
      </c>
      <c r="G87" s="61">
        <f>IF($N87="","",IF($P87&gt;0,IF(2&lt;=SemanaActual,INDEX('Cronograma R. Financiero'!$AI$5:$AI$1000,$N87),""),IF(INDEX('Cronograma R. Financiero'!$J$5:$J$1000,$N87)="","",INDEX('Cronograma R. Financiero'!$J$5:$J$1000,$N87))))</f>
        <v/>
      </c>
      <c r="H87" s="61">
        <f>IF($N87="","",IF($P87&gt;0,IF(3&lt;=SemanaActual,INDEX('Cronograma R. Financiero'!$AJ$5:$AJ$1000,$N87),""),IF(INDEX('Cronograma R. Financiero'!$K$5:$K$1000,$N87)="","",INDEX('Cronograma R. Financiero'!$K$5:$K$1000,$N87))))</f>
        <v/>
      </c>
      <c r="I87" s="61">
        <f>IF($N87="","",IF($P87&gt;0,IF(4&lt;=SemanaActual,INDEX('Cronograma R. Financiero'!$AK$5:$AK$1000,$N87),""),IF(INDEX('Cronograma R. Financiero'!$L$5:$L$1000,$N87)="","",INDEX('Cronograma R. Financiero'!$L$5:$L$1000,$N87))))</f>
        <v/>
      </c>
      <c r="J87" s="61">
        <f>IF($N87="","",INDEX('Cronograma R. Financiero'!$M$5:$M$1000,$N87))</f>
        <v/>
      </c>
      <c r="K87" s="56">
        <f>IF($N87="","",IF(N($J87)&gt;=1,"Completado",IF(AND(ISNUMBER($D87),$D87&lt;FechaRef),"Vencida",IF(N($J87)&gt;0,"En curso","Pendiente"))))</f>
        <v/>
      </c>
      <c r="L87" s="56">
        <f>IF($N87="","",INDEX('Cronograma R. Financiero'!$O$5:$O$1000,$N87)&amp;"")</f>
        <v/>
      </c>
      <c r="M87" s="62">
        <f>IF($N87="","",INDEX('Cronograma R. Financiero'!$Q$5:$Q$1000,$N87)&amp;"")</f>
        <v/>
      </c>
      <c r="N87">
        <f>IFERROR(MATCH(ROW()-4,rOrden_RF,0),"")</f>
        <v/>
      </c>
      <c r="O87">
        <f>IF($N87="","",INDEX('Cronograma R. Financiero'!$V$5:$V$1000,$N87))</f>
        <v/>
      </c>
      <c r="P87">
        <f>IF($N87="","",N(INDEX('Cronograma R. Financiero'!$W$5:$W$1000,$N87)))</f>
        <v/>
      </c>
      <c r="Q87">
        <f>IF(OR(LEFT($L87,7)="Vencida",LEFT($L87,5)="Vence"),SUMPRODUCT(--(LEFT($L$5:$L87,7)="Vencida"))+SUMPRODUCT(--(LEFT($L$5:$L87,5)="Vence")),"")</f>
        <v/>
      </c>
    </row>
    <row r="88">
      <c r="A88" s="56">
        <f>IF($N88="","",INDEX('Cronograma R. Financiero'!$A$5:$A$1000,$N88))</f>
        <v/>
      </c>
      <c r="B88" s="62">
        <f>IF($N88="","",IF($O88="Sub","      ↳  "&amp;INDEX('Cronograma R. Financiero'!$C$5:$C$1000,$N88),INDEX('Cronograma R. Financiero'!$C$5:$C$1000,$N88)&amp;""))</f>
        <v/>
      </c>
      <c r="C88" s="79">
        <f>IF($N88="","",IF(INDEX('Cronograma R. Financiero'!$AR$5:$AR$1000,$N88)="","",INDEX('Cronograma R. Financiero'!$AR$5:$AR$1000,$N88)))</f>
        <v/>
      </c>
      <c r="D88" s="79">
        <f>IF($N88="","",IF(INDEX('Cronograma R. Financiero'!$AS$5:$AS$1000,$N88)="","",INDEX('Cronograma R. Financiero'!$AS$5:$AS$1000,$N88)))</f>
        <v/>
      </c>
      <c r="E88" s="56">
        <f>IF($N88="","",IF(NOT(ISNUMBER($D88)),"",IF($D88&lt;InicioCiclo,"Antes del ciclo",IF($D88&gt;=InicioCiclo+28,"Después del ciclo","Semana "&amp;(INT(($D88-InicioCiclo)/7)+1)))))</f>
        <v/>
      </c>
      <c r="F88" s="61">
        <f>IF($N88="","",IF($P88&gt;0,IF(1&lt;=SemanaActual,INDEX('Cronograma R. Financiero'!$AH$5:$AH$1000,$N88),""),IF(INDEX('Cronograma R. Financiero'!$I$5:$I$1000,$N88)="","",INDEX('Cronograma R. Financiero'!$I$5:$I$1000,$N88))))</f>
        <v/>
      </c>
      <c r="G88" s="61">
        <f>IF($N88="","",IF($P88&gt;0,IF(2&lt;=SemanaActual,INDEX('Cronograma R. Financiero'!$AI$5:$AI$1000,$N88),""),IF(INDEX('Cronograma R. Financiero'!$J$5:$J$1000,$N88)="","",INDEX('Cronograma R. Financiero'!$J$5:$J$1000,$N88))))</f>
        <v/>
      </c>
      <c r="H88" s="61">
        <f>IF($N88="","",IF($P88&gt;0,IF(3&lt;=SemanaActual,INDEX('Cronograma R. Financiero'!$AJ$5:$AJ$1000,$N88),""),IF(INDEX('Cronograma R. Financiero'!$K$5:$K$1000,$N88)="","",INDEX('Cronograma R. Financiero'!$K$5:$K$1000,$N88))))</f>
        <v/>
      </c>
      <c r="I88" s="61">
        <f>IF($N88="","",IF($P88&gt;0,IF(4&lt;=SemanaActual,INDEX('Cronograma R. Financiero'!$AK$5:$AK$1000,$N88),""),IF(INDEX('Cronograma R. Financiero'!$L$5:$L$1000,$N88)="","",INDEX('Cronograma R. Financiero'!$L$5:$L$1000,$N88))))</f>
        <v/>
      </c>
      <c r="J88" s="61">
        <f>IF($N88="","",INDEX('Cronograma R. Financiero'!$M$5:$M$1000,$N88))</f>
        <v/>
      </c>
      <c r="K88" s="56">
        <f>IF($N88="","",IF(N($J88)&gt;=1,"Completado",IF(AND(ISNUMBER($D88),$D88&lt;FechaRef),"Vencida",IF(N($J88)&gt;0,"En curso","Pendiente"))))</f>
        <v/>
      </c>
      <c r="L88" s="56">
        <f>IF($N88="","",INDEX('Cronograma R. Financiero'!$O$5:$O$1000,$N88)&amp;"")</f>
        <v/>
      </c>
      <c r="M88" s="62">
        <f>IF($N88="","",INDEX('Cronograma R. Financiero'!$Q$5:$Q$1000,$N88)&amp;"")</f>
        <v/>
      </c>
      <c r="N88">
        <f>IFERROR(MATCH(ROW()-4,rOrden_RF,0),"")</f>
        <v/>
      </c>
      <c r="O88">
        <f>IF($N88="","",INDEX('Cronograma R. Financiero'!$V$5:$V$1000,$N88))</f>
        <v/>
      </c>
      <c r="P88">
        <f>IF($N88="","",N(INDEX('Cronograma R. Financiero'!$W$5:$W$1000,$N88)))</f>
        <v/>
      </c>
      <c r="Q88">
        <f>IF(OR(LEFT($L88,7)="Vencida",LEFT($L88,5)="Vence"),SUMPRODUCT(--(LEFT($L$5:$L88,7)="Vencida"))+SUMPRODUCT(--(LEFT($L$5:$L88,5)="Vence")),"")</f>
        <v/>
      </c>
    </row>
    <row r="89">
      <c r="A89" s="56">
        <f>IF($N89="","",INDEX('Cronograma R. Financiero'!$A$5:$A$1000,$N89))</f>
        <v/>
      </c>
      <c r="B89" s="62">
        <f>IF($N89="","",IF($O89="Sub","      ↳  "&amp;INDEX('Cronograma R. Financiero'!$C$5:$C$1000,$N89),INDEX('Cronograma R. Financiero'!$C$5:$C$1000,$N89)&amp;""))</f>
        <v/>
      </c>
      <c r="C89" s="79">
        <f>IF($N89="","",IF(INDEX('Cronograma R. Financiero'!$AR$5:$AR$1000,$N89)="","",INDEX('Cronograma R. Financiero'!$AR$5:$AR$1000,$N89)))</f>
        <v/>
      </c>
      <c r="D89" s="79">
        <f>IF($N89="","",IF(INDEX('Cronograma R. Financiero'!$AS$5:$AS$1000,$N89)="","",INDEX('Cronograma R. Financiero'!$AS$5:$AS$1000,$N89)))</f>
        <v/>
      </c>
      <c r="E89" s="56">
        <f>IF($N89="","",IF(NOT(ISNUMBER($D89)),"",IF($D89&lt;InicioCiclo,"Antes del ciclo",IF($D89&gt;=InicioCiclo+28,"Después del ciclo","Semana "&amp;(INT(($D89-InicioCiclo)/7)+1)))))</f>
        <v/>
      </c>
      <c r="F89" s="61">
        <f>IF($N89="","",IF($P89&gt;0,IF(1&lt;=SemanaActual,INDEX('Cronograma R. Financiero'!$AH$5:$AH$1000,$N89),""),IF(INDEX('Cronograma R. Financiero'!$I$5:$I$1000,$N89)="","",INDEX('Cronograma R. Financiero'!$I$5:$I$1000,$N89))))</f>
        <v/>
      </c>
      <c r="G89" s="61">
        <f>IF($N89="","",IF($P89&gt;0,IF(2&lt;=SemanaActual,INDEX('Cronograma R. Financiero'!$AI$5:$AI$1000,$N89),""),IF(INDEX('Cronograma R. Financiero'!$J$5:$J$1000,$N89)="","",INDEX('Cronograma R. Financiero'!$J$5:$J$1000,$N89))))</f>
        <v/>
      </c>
      <c r="H89" s="61">
        <f>IF($N89="","",IF($P89&gt;0,IF(3&lt;=SemanaActual,INDEX('Cronograma R. Financiero'!$AJ$5:$AJ$1000,$N89),""),IF(INDEX('Cronograma R. Financiero'!$K$5:$K$1000,$N89)="","",INDEX('Cronograma R. Financiero'!$K$5:$K$1000,$N89))))</f>
        <v/>
      </c>
      <c r="I89" s="61">
        <f>IF($N89="","",IF($P89&gt;0,IF(4&lt;=SemanaActual,INDEX('Cronograma R. Financiero'!$AK$5:$AK$1000,$N89),""),IF(INDEX('Cronograma R. Financiero'!$L$5:$L$1000,$N89)="","",INDEX('Cronograma R. Financiero'!$L$5:$L$1000,$N89))))</f>
        <v/>
      </c>
      <c r="J89" s="61">
        <f>IF($N89="","",INDEX('Cronograma R. Financiero'!$M$5:$M$1000,$N89))</f>
        <v/>
      </c>
      <c r="K89" s="56">
        <f>IF($N89="","",IF(N($J89)&gt;=1,"Completado",IF(AND(ISNUMBER($D89),$D89&lt;FechaRef),"Vencida",IF(N($J89)&gt;0,"En curso","Pendiente"))))</f>
        <v/>
      </c>
      <c r="L89" s="56">
        <f>IF($N89="","",INDEX('Cronograma R. Financiero'!$O$5:$O$1000,$N89)&amp;"")</f>
        <v/>
      </c>
      <c r="M89" s="62">
        <f>IF($N89="","",INDEX('Cronograma R. Financiero'!$Q$5:$Q$1000,$N89)&amp;"")</f>
        <v/>
      </c>
      <c r="N89">
        <f>IFERROR(MATCH(ROW()-4,rOrden_RF,0),"")</f>
        <v/>
      </c>
      <c r="O89">
        <f>IF($N89="","",INDEX('Cronograma R. Financiero'!$V$5:$V$1000,$N89))</f>
        <v/>
      </c>
      <c r="P89">
        <f>IF($N89="","",N(INDEX('Cronograma R. Financiero'!$W$5:$W$1000,$N89)))</f>
        <v/>
      </c>
      <c r="Q89">
        <f>IF(OR(LEFT($L89,7)="Vencida",LEFT($L89,5)="Vence"),SUMPRODUCT(--(LEFT($L$5:$L89,7)="Vencida"))+SUMPRODUCT(--(LEFT($L$5:$L89,5)="Vence")),"")</f>
        <v/>
      </c>
    </row>
    <row r="90">
      <c r="A90" s="56">
        <f>IF($N90="","",INDEX('Cronograma R. Financiero'!$A$5:$A$1000,$N90))</f>
        <v/>
      </c>
      <c r="B90" s="62">
        <f>IF($N90="","",IF($O90="Sub","      ↳  "&amp;INDEX('Cronograma R. Financiero'!$C$5:$C$1000,$N90),INDEX('Cronograma R. Financiero'!$C$5:$C$1000,$N90)&amp;""))</f>
        <v/>
      </c>
      <c r="C90" s="79">
        <f>IF($N90="","",IF(INDEX('Cronograma R. Financiero'!$AR$5:$AR$1000,$N90)="","",INDEX('Cronograma R. Financiero'!$AR$5:$AR$1000,$N90)))</f>
        <v/>
      </c>
      <c r="D90" s="79">
        <f>IF($N90="","",IF(INDEX('Cronograma R. Financiero'!$AS$5:$AS$1000,$N90)="","",INDEX('Cronograma R. Financiero'!$AS$5:$AS$1000,$N90)))</f>
        <v/>
      </c>
      <c r="E90" s="56">
        <f>IF($N90="","",IF(NOT(ISNUMBER($D90)),"",IF($D90&lt;InicioCiclo,"Antes del ciclo",IF($D90&gt;=InicioCiclo+28,"Después del ciclo","Semana "&amp;(INT(($D90-InicioCiclo)/7)+1)))))</f>
        <v/>
      </c>
      <c r="F90" s="61">
        <f>IF($N90="","",IF($P90&gt;0,IF(1&lt;=SemanaActual,INDEX('Cronograma R. Financiero'!$AH$5:$AH$1000,$N90),""),IF(INDEX('Cronograma R. Financiero'!$I$5:$I$1000,$N90)="","",INDEX('Cronograma R. Financiero'!$I$5:$I$1000,$N90))))</f>
        <v/>
      </c>
      <c r="G90" s="61">
        <f>IF($N90="","",IF($P90&gt;0,IF(2&lt;=SemanaActual,INDEX('Cronograma R. Financiero'!$AI$5:$AI$1000,$N90),""),IF(INDEX('Cronograma R. Financiero'!$J$5:$J$1000,$N90)="","",INDEX('Cronograma R. Financiero'!$J$5:$J$1000,$N90))))</f>
        <v/>
      </c>
      <c r="H90" s="61">
        <f>IF($N90="","",IF($P90&gt;0,IF(3&lt;=SemanaActual,INDEX('Cronograma R. Financiero'!$AJ$5:$AJ$1000,$N90),""),IF(INDEX('Cronograma R. Financiero'!$K$5:$K$1000,$N90)="","",INDEX('Cronograma R. Financiero'!$K$5:$K$1000,$N90))))</f>
        <v/>
      </c>
      <c r="I90" s="61">
        <f>IF($N90="","",IF($P90&gt;0,IF(4&lt;=SemanaActual,INDEX('Cronograma R. Financiero'!$AK$5:$AK$1000,$N90),""),IF(INDEX('Cronograma R. Financiero'!$L$5:$L$1000,$N90)="","",INDEX('Cronograma R. Financiero'!$L$5:$L$1000,$N90))))</f>
        <v/>
      </c>
      <c r="J90" s="61">
        <f>IF($N90="","",INDEX('Cronograma R. Financiero'!$M$5:$M$1000,$N90))</f>
        <v/>
      </c>
      <c r="K90" s="56">
        <f>IF($N90="","",IF(N($J90)&gt;=1,"Completado",IF(AND(ISNUMBER($D90),$D90&lt;FechaRef),"Vencida",IF(N($J90)&gt;0,"En curso","Pendiente"))))</f>
        <v/>
      </c>
      <c r="L90" s="56">
        <f>IF($N90="","",INDEX('Cronograma R. Financiero'!$O$5:$O$1000,$N90)&amp;"")</f>
        <v/>
      </c>
      <c r="M90" s="62">
        <f>IF($N90="","",INDEX('Cronograma R. Financiero'!$Q$5:$Q$1000,$N90)&amp;"")</f>
        <v/>
      </c>
      <c r="N90">
        <f>IFERROR(MATCH(ROW()-4,rOrden_RF,0),"")</f>
        <v/>
      </c>
      <c r="O90">
        <f>IF($N90="","",INDEX('Cronograma R. Financiero'!$V$5:$V$1000,$N90))</f>
        <v/>
      </c>
      <c r="P90">
        <f>IF($N90="","",N(INDEX('Cronograma R. Financiero'!$W$5:$W$1000,$N90)))</f>
        <v/>
      </c>
      <c r="Q90">
        <f>IF(OR(LEFT($L90,7)="Vencida",LEFT($L90,5)="Vence"),SUMPRODUCT(--(LEFT($L$5:$L90,7)="Vencida"))+SUMPRODUCT(--(LEFT($L$5:$L90,5)="Vence")),"")</f>
        <v/>
      </c>
    </row>
    <row r="91">
      <c r="A91" s="56">
        <f>IF($N91="","",INDEX('Cronograma R. Financiero'!$A$5:$A$1000,$N91))</f>
        <v/>
      </c>
      <c r="B91" s="62">
        <f>IF($N91="","",IF($O91="Sub","      ↳  "&amp;INDEX('Cronograma R. Financiero'!$C$5:$C$1000,$N91),INDEX('Cronograma R. Financiero'!$C$5:$C$1000,$N91)&amp;""))</f>
        <v/>
      </c>
      <c r="C91" s="79">
        <f>IF($N91="","",IF(INDEX('Cronograma R. Financiero'!$AR$5:$AR$1000,$N91)="","",INDEX('Cronograma R. Financiero'!$AR$5:$AR$1000,$N91)))</f>
        <v/>
      </c>
      <c r="D91" s="79">
        <f>IF($N91="","",IF(INDEX('Cronograma R. Financiero'!$AS$5:$AS$1000,$N91)="","",INDEX('Cronograma R. Financiero'!$AS$5:$AS$1000,$N91)))</f>
        <v/>
      </c>
      <c r="E91" s="56">
        <f>IF($N91="","",IF(NOT(ISNUMBER($D91)),"",IF($D91&lt;InicioCiclo,"Antes del ciclo",IF($D91&gt;=InicioCiclo+28,"Después del ciclo","Semana "&amp;(INT(($D91-InicioCiclo)/7)+1)))))</f>
        <v/>
      </c>
      <c r="F91" s="61">
        <f>IF($N91="","",IF($P91&gt;0,IF(1&lt;=SemanaActual,INDEX('Cronograma R. Financiero'!$AH$5:$AH$1000,$N91),""),IF(INDEX('Cronograma R. Financiero'!$I$5:$I$1000,$N91)="","",INDEX('Cronograma R. Financiero'!$I$5:$I$1000,$N91))))</f>
        <v/>
      </c>
      <c r="G91" s="61">
        <f>IF($N91="","",IF($P91&gt;0,IF(2&lt;=SemanaActual,INDEX('Cronograma R. Financiero'!$AI$5:$AI$1000,$N91),""),IF(INDEX('Cronograma R. Financiero'!$J$5:$J$1000,$N91)="","",INDEX('Cronograma R. Financiero'!$J$5:$J$1000,$N91))))</f>
        <v/>
      </c>
      <c r="H91" s="61">
        <f>IF($N91="","",IF($P91&gt;0,IF(3&lt;=SemanaActual,INDEX('Cronograma R. Financiero'!$AJ$5:$AJ$1000,$N91),""),IF(INDEX('Cronograma R. Financiero'!$K$5:$K$1000,$N91)="","",INDEX('Cronograma R. Financiero'!$K$5:$K$1000,$N91))))</f>
        <v/>
      </c>
      <c r="I91" s="61">
        <f>IF($N91="","",IF($P91&gt;0,IF(4&lt;=SemanaActual,INDEX('Cronograma R. Financiero'!$AK$5:$AK$1000,$N91),""),IF(INDEX('Cronograma R. Financiero'!$L$5:$L$1000,$N91)="","",INDEX('Cronograma R. Financiero'!$L$5:$L$1000,$N91))))</f>
        <v/>
      </c>
      <c r="J91" s="61">
        <f>IF($N91="","",INDEX('Cronograma R. Financiero'!$M$5:$M$1000,$N91))</f>
        <v/>
      </c>
      <c r="K91" s="56">
        <f>IF($N91="","",IF(N($J91)&gt;=1,"Completado",IF(AND(ISNUMBER($D91),$D91&lt;FechaRef),"Vencida",IF(N($J91)&gt;0,"En curso","Pendiente"))))</f>
        <v/>
      </c>
      <c r="L91" s="56">
        <f>IF($N91="","",INDEX('Cronograma R. Financiero'!$O$5:$O$1000,$N91)&amp;"")</f>
        <v/>
      </c>
      <c r="M91" s="62">
        <f>IF($N91="","",INDEX('Cronograma R. Financiero'!$Q$5:$Q$1000,$N91)&amp;"")</f>
        <v/>
      </c>
      <c r="N91">
        <f>IFERROR(MATCH(ROW()-4,rOrden_RF,0),"")</f>
        <v/>
      </c>
      <c r="O91">
        <f>IF($N91="","",INDEX('Cronograma R. Financiero'!$V$5:$V$1000,$N91))</f>
        <v/>
      </c>
      <c r="P91">
        <f>IF($N91="","",N(INDEX('Cronograma R. Financiero'!$W$5:$W$1000,$N91)))</f>
        <v/>
      </c>
      <c r="Q91">
        <f>IF(OR(LEFT($L91,7)="Vencida",LEFT($L91,5)="Vence"),SUMPRODUCT(--(LEFT($L$5:$L91,7)="Vencida"))+SUMPRODUCT(--(LEFT($L$5:$L91,5)="Vence")),"")</f>
        <v/>
      </c>
    </row>
    <row r="92">
      <c r="A92" s="56">
        <f>IF($N92="","",INDEX('Cronograma R. Financiero'!$A$5:$A$1000,$N92))</f>
        <v/>
      </c>
      <c r="B92" s="62">
        <f>IF($N92="","",IF($O92="Sub","      ↳  "&amp;INDEX('Cronograma R. Financiero'!$C$5:$C$1000,$N92),INDEX('Cronograma R. Financiero'!$C$5:$C$1000,$N92)&amp;""))</f>
        <v/>
      </c>
      <c r="C92" s="79">
        <f>IF($N92="","",IF(INDEX('Cronograma R. Financiero'!$AR$5:$AR$1000,$N92)="","",INDEX('Cronograma R. Financiero'!$AR$5:$AR$1000,$N92)))</f>
        <v/>
      </c>
      <c r="D92" s="79">
        <f>IF($N92="","",IF(INDEX('Cronograma R. Financiero'!$AS$5:$AS$1000,$N92)="","",INDEX('Cronograma R. Financiero'!$AS$5:$AS$1000,$N92)))</f>
        <v/>
      </c>
      <c r="E92" s="56">
        <f>IF($N92="","",IF(NOT(ISNUMBER($D92)),"",IF($D92&lt;InicioCiclo,"Antes del ciclo",IF($D92&gt;=InicioCiclo+28,"Después del ciclo","Semana "&amp;(INT(($D92-InicioCiclo)/7)+1)))))</f>
        <v/>
      </c>
      <c r="F92" s="61">
        <f>IF($N92="","",IF($P92&gt;0,IF(1&lt;=SemanaActual,INDEX('Cronograma R. Financiero'!$AH$5:$AH$1000,$N92),""),IF(INDEX('Cronograma R. Financiero'!$I$5:$I$1000,$N92)="","",INDEX('Cronograma R. Financiero'!$I$5:$I$1000,$N92))))</f>
        <v/>
      </c>
      <c r="G92" s="61">
        <f>IF($N92="","",IF($P92&gt;0,IF(2&lt;=SemanaActual,INDEX('Cronograma R. Financiero'!$AI$5:$AI$1000,$N92),""),IF(INDEX('Cronograma R. Financiero'!$J$5:$J$1000,$N92)="","",INDEX('Cronograma R. Financiero'!$J$5:$J$1000,$N92))))</f>
        <v/>
      </c>
      <c r="H92" s="61">
        <f>IF($N92="","",IF($P92&gt;0,IF(3&lt;=SemanaActual,INDEX('Cronograma R. Financiero'!$AJ$5:$AJ$1000,$N92),""),IF(INDEX('Cronograma R. Financiero'!$K$5:$K$1000,$N92)="","",INDEX('Cronograma R. Financiero'!$K$5:$K$1000,$N92))))</f>
        <v/>
      </c>
      <c r="I92" s="61">
        <f>IF($N92="","",IF($P92&gt;0,IF(4&lt;=SemanaActual,INDEX('Cronograma R. Financiero'!$AK$5:$AK$1000,$N92),""),IF(INDEX('Cronograma R. Financiero'!$L$5:$L$1000,$N92)="","",INDEX('Cronograma R. Financiero'!$L$5:$L$1000,$N92))))</f>
        <v/>
      </c>
      <c r="J92" s="61">
        <f>IF($N92="","",INDEX('Cronograma R. Financiero'!$M$5:$M$1000,$N92))</f>
        <v/>
      </c>
      <c r="K92" s="56">
        <f>IF($N92="","",IF(N($J92)&gt;=1,"Completado",IF(AND(ISNUMBER($D92),$D92&lt;FechaRef),"Vencida",IF(N($J92)&gt;0,"En curso","Pendiente"))))</f>
        <v/>
      </c>
      <c r="L92" s="56">
        <f>IF($N92="","",INDEX('Cronograma R. Financiero'!$O$5:$O$1000,$N92)&amp;"")</f>
        <v/>
      </c>
      <c r="M92" s="62">
        <f>IF($N92="","",INDEX('Cronograma R. Financiero'!$Q$5:$Q$1000,$N92)&amp;"")</f>
        <v/>
      </c>
      <c r="N92">
        <f>IFERROR(MATCH(ROW()-4,rOrden_RF,0),"")</f>
        <v/>
      </c>
      <c r="O92">
        <f>IF($N92="","",INDEX('Cronograma R. Financiero'!$V$5:$V$1000,$N92))</f>
        <v/>
      </c>
      <c r="P92">
        <f>IF($N92="","",N(INDEX('Cronograma R. Financiero'!$W$5:$W$1000,$N92)))</f>
        <v/>
      </c>
      <c r="Q92">
        <f>IF(OR(LEFT($L92,7)="Vencida",LEFT($L92,5)="Vence"),SUMPRODUCT(--(LEFT($L$5:$L92,7)="Vencida"))+SUMPRODUCT(--(LEFT($L$5:$L92,5)="Vence")),"")</f>
        <v/>
      </c>
    </row>
    <row r="93">
      <c r="A93" s="56">
        <f>IF($N93="","",INDEX('Cronograma R. Financiero'!$A$5:$A$1000,$N93))</f>
        <v/>
      </c>
      <c r="B93" s="62">
        <f>IF($N93="","",IF($O93="Sub","      ↳  "&amp;INDEX('Cronograma R. Financiero'!$C$5:$C$1000,$N93),INDEX('Cronograma R. Financiero'!$C$5:$C$1000,$N93)&amp;""))</f>
        <v/>
      </c>
      <c r="C93" s="79">
        <f>IF($N93="","",IF(INDEX('Cronograma R. Financiero'!$AR$5:$AR$1000,$N93)="","",INDEX('Cronograma R. Financiero'!$AR$5:$AR$1000,$N93)))</f>
        <v/>
      </c>
      <c r="D93" s="79">
        <f>IF($N93="","",IF(INDEX('Cronograma R. Financiero'!$AS$5:$AS$1000,$N93)="","",INDEX('Cronograma R. Financiero'!$AS$5:$AS$1000,$N93)))</f>
        <v/>
      </c>
      <c r="E93" s="56">
        <f>IF($N93="","",IF(NOT(ISNUMBER($D93)),"",IF($D93&lt;InicioCiclo,"Antes del ciclo",IF($D93&gt;=InicioCiclo+28,"Después del ciclo","Semana "&amp;(INT(($D93-InicioCiclo)/7)+1)))))</f>
        <v/>
      </c>
      <c r="F93" s="61">
        <f>IF($N93="","",IF($P93&gt;0,IF(1&lt;=SemanaActual,INDEX('Cronograma R. Financiero'!$AH$5:$AH$1000,$N93),""),IF(INDEX('Cronograma R. Financiero'!$I$5:$I$1000,$N93)="","",INDEX('Cronograma R. Financiero'!$I$5:$I$1000,$N93))))</f>
        <v/>
      </c>
      <c r="G93" s="61">
        <f>IF($N93="","",IF($P93&gt;0,IF(2&lt;=SemanaActual,INDEX('Cronograma R. Financiero'!$AI$5:$AI$1000,$N93),""),IF(INDEX('Cronograma R. Financiero'!$J$5:$J$1000,$N93)="","",INDEX('Cronograma R. Financiero'!$J$5:$J$1000,$N93))))</f>
        <v/>
      </c>
      <c r="H93" s="61">
        <f>IF($N93="","",IF($P93&gt;0,IF(3&lt;=SemanaActual,INDEX('Cronograma R. Financiero'!$AJ$5:$AJ$1000,$N93),""),IF(INDEX('Cronograma R. Financiero'!$K$5:$K$1000,$N93)="","",INDEX('Cronograma R. Financiero'!$K$5:$K$1000,$N93))))</f>
        <v/>
      </c>
      <c r="I93" s="61">
        <f>IF($N93="","",IF($P93&gt;0,IF(4&lt;=SemanaActual,INDEX('Cronograma R. Financiero'!$AK$5:$AK$1000,$N93),""),IF(INDEX('Cronograma R. Financiero'!$L$5:$L$1000,$N93)="","",INDEX('Cronograma R. Financiero'!$L$5:$L$1000,$N93))))</f>
        <v/>
      </c>
      <c r="J93" s="61">
        <f>IF($N93="","",INDEX('Cronograma R. Financiero'!$M$5:$M$1000,$N93))</f>
        <v/>
      </c>
      <c r="K93" s="56">
        <f>IF($N93="","",IF(N($J93)&gt;=1,"Completado",IF(AND(ISNUMBER($D93),$D93&lt;FechaRef),"Vencida",IF(N($J93)&gt;0,"En curso","Pendiente"))))</f>
        <v/>
      </c>
      <c r="L93" s="56">
        <f>IF($N93="","",INDEX('Cronograma R. Financiero'!$O$5:$O$1000,$N93)&amp;"")</f>
        <v/>
      </c>
      <c r="M93" s="62">
        <f>IF($N93="","",INDEX('Cronograma R. Financiero'!$Q$5:$Q$1000,$N93)&amp;"")</f>
        <v/>
      </c>
      <c r="N93">
        <f>IFERROR(MATCH(ROW()-4,rOrden_RF,0),"")</f>
        <v/>
      </c>
      <c r="O93">
        <f>IF($N93="","",INDEX('Cronograma R. Financiero'!$V$5:$V$1000,$N93))</f>
        <v/>
      </c>
      <c r="P93">
        <f>IF($N93="","",N(INDEX('Cronograma R. Financiero'!$W$5:$W$1000,$N93)))</f>
        <v/>
      </c>
      <c r="Q93">
        <f>IF(OR(LEFT($L93,7)="Vencida",LEFT($L93,5)="Vence"),SUMPRODUCT(--(LEFT($L$5:$L93,7)="Vencida"))+SUMPRODUCT(--(LEFT($L$5:$L93,5)="Vence")),"")</f>
        <v/>
      </c>
    </row>
    <row r="94">
      <c r="A94" s="56">
        <f>IF($N94="","",INDEX('Cronograma R. Financiero'!$A$5:$A$1000,$N94))</f>
        <v/>
      </c>
      <c r="B94" s="62">
        <f>IF($N94="","",IF($O94="Sub","      ↳  "&amp;INDEX('Cronograma R. Financiero'!$C$5:$C$1000,$N94),INDEX('Cronograma R. Financiero'!$C$5:$C$1000,$N94)&amp;""))</f>
        <v/>
      </c>
      <c r="C94" s="79">
        <f>IF($N94="","",IF(INDEX('Cronograma R. Financiero'!$AR$5:$AR$1000,$N94)="","",INDEX('Cronograma R. Financiero'!$AR$5:$AR$1000,$N94)))</f>
        <v/>
      </c>
      <c r="D94" s="79">
        <f>IF($N94="","",IF(INDEX('Cronograma R. Financiero'!$AS$5:$AS$1000,$N94)="","",INDEX('Cronograma R. Financiero'!$AS$5:$AS$1000,$N94)))</f>
        <v/>
      </c>
      <c r="E94" s="56">
        <f>IF($N94="","",IF(NOT(ISNUMBER($D94)),"",IF($D94&lt;InicioCiclo,"Antes del ciclo",IF($D94&gt;=InicioCiclo+28,"Después del ciclo","Semana "&amp;(INT(($D94-InicioCiclo)/7)+1)))))</f>
        <v/>
      </c>
      <c r="F94" s="61">
        <f>IF($N94="","",IF($P94&gt;0,IF(1&lt;=SemanaActual,INDEX('Cronograma R. Financiero'!$AH$5:$AH$1000,$N94),""),IF(INDEX('Cronograma R. Financiero'!$I$5:$I$1000,$N94)="","",INDEX('Cronograma R. Financiero'!$I$5:$I$1000,$N94))))</f>
        <v/>
      </c>
      <c r="G94" s="61">
        <f>IF($N94="","",IF($P94&gt;0,IF(2&lt;=SemanaActual,INDEX('Cronograma R. Financiero'!$AI$5:$AI$1000,$N94),""),IF(INDEX('Cronograma R. Financiero'!$J$5:$J$1000,$N94)="","",INDEX('Cronograma R. Financiero'!$J$5:$J$1000,$N94))))</f>
        <v/>
      </c>
      <c r="H94" s="61">
        <f>IF($N94="","",IF($P94&gt;0,IF(3&lt;=SemanaActual,INDEX('Cronograma R. Financiero'!$AJ$5:$AJ$1000,$N94),""),IF(INDEX('Cronograma R. Financiero'!$K$5:$K$1000,$N94)="","",INDEX('Cronograma R. Financiero'!$K$5:$K$1000,$N94))))</f>
        <v/>
      </c>
      <c r="I94" s="61">
        <f>IF($N94="","",IF($P94&gt;0,IF(4&lt;=SemanaActual,INDEX('Cronograma R. Financiero'!$AK$5:$AK$1000,$N94),""),IF(INDEX('Cronograma R. Financiero'!$L$5:$L$1000,$N94)="","",INDEX('Cronograma R. Financiero'!$L$5:$L$1000,$N94))))</f>
        <v/>
      </c>
      <c r="J94" s="61">
        <f>IF($N94="","",INDEX('Cronograma R. Financiero'!$M$5:$M$1000,$N94))</f>
        <v/>
      </c>
      <c r="K94" s="56">
        <f>IF($N94="","",IF(N($J94)&gt;=1,"Completado",IF(AND(ISNUMBER($D94),$D94&lt;FechaRef),"Vencida",IF(N($J94)&gt;0,"En curso","Pendiente"))))</f>
        <v/>
      </c>
      <c r="L94" s="56">
        <f>IF($N94="","",INDEX('Cronograma R. Financiero'!$O$5:$O$1000,$N94)&amp;"")</f>
        <v/>
      </c>
      <c r="M94" s="62">
        <f>IF($N94="","",INDEX('Cronograma R. Financiero'!$Q$5:$Q$1000,$N94)&amp;"")</f>
        <v/>
      </c>
      <c r="N94">
        <f>IFERROR(MATCH(ROW()-4,rOrden_RF,0),"")</f>
        <v/>
      </c>
      <c r="O94">
        <f>IF($N94="","",INDEX('Cronograma R. Financiero'!$V$5:$V$1000,$N94))</f>
        <v/>
      </c>
      <c r="P94">
        <f>IF($N94="","",N(INDEX('Cronograma R. Financiero'!$W$5:$W$1000,$N94)))</f>
        <v/>
      </c>
      <c r="Q94">
        <f>IF(OR(LEFT($L94,7)="Vencida",LEFT($L94,5)="Vence"),SUMPRODUCT(--(LEFT($L$5:$L94,7)="Vencida"))+SUMPRODUCT(--(LEFT($L$5:$L94,5)="Vence")),"")</f>
        <v/>
      </c>
    </row>
    <row r="95">
      <c r="A95" s="56">
        <f>IF($N95="","",INDEX('Cronograma R. Financiero'!$A$5:$A$1000,$N95))</f>
        <v/>
      </c>
      <c r="B95" s="62">
        <f>IF($N95="","",IF($O95="Sub","      ↳  "&amp;INDEX('Cronograma R. Financiero'!$C$5:$C$1000,$N95),INDEX('Cronograma R. Financiero'!$C$5:$C$1000,$N95)&amp;""))</f>
        <v/>
      </c>
      <c r="C95" s="79">
        <f>IF($N95="","",IF(INDEX('Cronograma R. Financiero'!$AR$5:$AR$1000,$N95)="","",INDEX('Cronograma R. Financiero'!$AR$5:$AR$1000,$N95)))</f>
        <v/>
      </c>
      <c r="D95" s="79">
        <f>IF($N95="","",IF(INDEX('Cronograma R. Financiero'!$AS$5:$AS$1000,$N95)="","",INDEX('Cronograma R. Financiero'!$AS$5:$AS$1000,$N95)))</f>
        <v/>
      </c>
      <c r="E95" s="56">
        <f>IF($N95="","",IF(NOT(ISNUMBER($D95)),"",IF($D95&lt;InicioCiclo,"Antes del ciclo",IF($D95&gt;=InicioCiclo+28,"Después del ciclo","Semana "&amp;(INT(($D95-InicioCiclo)/7)+1)))))</f>
        <v/>
      </c>
      <c r="F95" s="61">
        <f>IF($N95="","",IF($P95&gt;0,IF(1&lt;=SemanaActual,INDEX('Cronograma R. Financiero'!$AH$5:$AH$1000,$N95),""),IF(INDEX('Cronograma R. Financiero'!$I$5:$I$1000,$N95)="","",INDEX('Cronograma R. Financiero'!$I$5:$I$1000,$N95))))</f>
        <v/>
      </c>
      <c r="G95" s="61">
        <f>IF($N95="","",IF($P95&gt;0,IF(2&lt;=SemanaActual,INDEX('Cronograma R. Financiero'!$AI$5:$AI$1000,$N95),""),IF(INDEX('Cronograma R. Financiero'!$J$5:$J$1000,$N95)="","",INDEX('Cronograma R. Financiero'!$J$5:$J$1000,$N95))))</f>
        <v/>
      </c>
      <c r="H95" s="61">
        <f>IF($N95="","",IF($P95&gt;0,IF(3&lt;=SemanaActual,INDEX('Cronograma R. Financiero'!$AJ$5:$AJ$1000,$N95),""),IF(INDEX('Cronograma R. Financiero'!$K$5:$K$1000,$N95)="","",INDEX('Cronograma R. Financiero'!$K$5:$K$1000,$N95))))</f>
        <v/>
      </c>
      <c r="I95" s="61">
        <f>IF($N95="","",IF($P95&gt;0,IF(4&lt;=SemanaActual,INDEX('Cronograma R. Financiero'!$AK$5:$AK$1000,$N95),""),IF(INDEX('Cronograma R. Financiero'!$L$5:$L$1000,$N95)="","",INDEX('Cronograma R. Financiero'!$L$5:$L$1000,$N95))))</f>
        <v/>
      </c>
      <c r="J95" s="61">
        <f>IF($N95="","",INDEX('Cronograma R. Financiero'!$M$5:$M$1000,$N95))</f>
        <v/>
      </c>
      <c r="K95" s="56">
        <f>IF($N95="","",IF(N($J95)&gt;=1,"Completado",IF(AND(ISNUMBER($D95),$D95&lt;FechaRef),"Vencida",IF(N($J95)&gt;0,"En curso","Pendiente"))))</f>
        <v/>
      </c>
      <c r="L95" s="56">
        <f>IF($N95="","",INDEX('Cronograma R. Financiero'!$O$5:$O$1000,$N95)&amp;"")</f>
        <v/>
      </c>
      <c r="M95" s="62">
        <f>IF($N95="","",INDEX('Cronograma R. Financiero'!$Q$5:$Q$1000,$N95)&amp;"")</f>
        <v/>
      </c>
      <c r="N95">
        <f>IFERROR(MATCH(ROW()-4,rOrden_RF,0),"")</f>
        <v/>
      </c>
      <c r="O95">
        <f>IF($N95="","",INDEX('Cronograma R. Financiero'!$V$5:$V$1000,$N95))</f>
        <v/>
      </c>
      <c r="P95">
        <f>IF($N95="","",N(INDEX('Cronograma R. Financiero'!$W$5:$W$1000,$N95)))</f>
        <v/>
      </c>
      <c r="Q95">
        <f>IF(OR(LEFT($L95,7)="Vencida",LEFT($L95,5)="Vence"),SUMPRODUCT(--(LEFT($L$5:$L95,7)="Vencida"))+SUMPRODUCT(--(LEFT($L$5:$L95,5)="Vence")),"")</f>
        <v/>
      </c>
    </row>
    <row r="96">
      <c r="A96" s="56">
        <f>IF($N96="","",INDEX('Cronograma R. Financiero'!$A$5:$A$1000,$N96))</f>
        <v/>
      </c>
      <c r="B96" s="62">
        <f>IF($N96="","",IF($O96="Sub","      ↳  "&amp;INDEX('Cronograma R. Financiero'!$C$5:$C$1000,$N96),INDEX('Cronograma R. Financiero'!$C$5:$C$1000,$N96)&amp;""))</f>
        <v/>
      </c>
      <c r="C96" s="79">
        <f>IF($N96="","",IF(INDEX('Cronograma R. Financiero'!$AR$5:$AR$1000,$N96)="","",INDEX('Cronograma R. Financiero'!$AR$5:$AR$1000,$N96)))</f>
        <v/>
      </c>
      <c r="D96" s="79">
        <f>IF($N96="","",IF(INDEX('Cronograma R. Financiero'!$AS$5:$AS$1000,$N96)="","",INDEX('Cronograma R. Financiero'!$AS$5:$AS$1000,$N96)))</f>
        <v/>
      </c>
      <c r="E96" s="56">
        <f>IF($N96="","",IF(NOT(ISNUMBER($D96)),"",IF($D96&lt;InicioCiclo,"Antes del ciclo",IF($D96&gt;=InicioCiclo+28,"Después del ciclo","Semana "&amp;(INT(($D96-InicioCiclo)/7)+1)))))</f>
        <v/>
      </c>
      <c r="F96" s="61">
        <f>IF($N96="","",IF($P96&gt;0,IF(1&lt;=SemanaActual,INDEX('Cronograma R. Financiero'!$AH$5:$AH$1000,$N96),""),IF(INDEX('Cronograma R. Financiero'!$I$5:$I$1000,$N96)="","",INDEX('Cronograma R. Financiero'!$I$5:$I$1000,$N96))))</f>
        <v/>
      </c>
      <c r="G96" s="61">
        <f>IF($N96="","",IF($P96&gt;0,IF(2&lt;=SemanaActual,INDEX('Cronograma R. Financiero'!$AI$5:$AI$1000,$N96),""),IF(INDEX('Cronograma R. Financiero'!$J$5:$J$1000,$N96)="","",INDEX('Cronograma R. Financiero'!$J$5:$J$1000,$N96))))</f>
        <v/>
      </c>
      <c r="H96" s="61">
        <f>IF($N96="","",IF($P96&gt;0,IF(3&lt;=SemanaActual,INDEX('Cronograma R. Financiero'!$AJ$5:$AJ$1000,$N96),""),IF(INDEX('Cronograma R. Financiero'!$K$5:$K$1000,$N96)="","",INDEX('Cronograma R. Financiero'!$K$5:$K$1000,$N96))))</f>
        <v/>
      </c>
      <c r="I96" s="61">
        <f>IF($N96="","",IF($P96&gt;0,IF(4&lt;=SemanaActual,INDEX('Cronograma R. Financiero'!$AK$5:$AK$1000,$N96),""),IF(INDEX('Cronograma R. Financiero'!$L$5:$L$1000,$N96)="","",INDEX('Cronograma R. Financiero'!$L$5:$L$1000,$N96))))</f>
        <v/>
      </c>
      <c r="J96" s="61">
        <f>IF($N96="","",INDEX('Cronograma R. Financiero'!$M$5:$M$1000,$N96))</f>
        <v/>
      </c>
      <c r="K96" s="56">
        <f>IF($N96="","",IF(N($J96)&gt;=1,"Completado",IF(AND(ISNUMBER($D96),$D96&lt;FechaRef),"Vencida",IF(N($J96)&gt;0,"En curso","Pendiente"))))</f>
        <v/>
      </c>
      <c r="L96" s="56">
        <f>IF($N96="","",INDEX('Cronograma R. Financiero'!$O$5:$O$1000,$N96)&amp;"")</f>
        <v/>
      </c>
      <c r="M96" s="62">
        <f>IF($N96="","",INDEX('Cronograma R. Financiero'!$Q$5:$Q$1000,$N96)&amp;"")</f>
        <v/>
      </c>
      <c r="N96">
        <f>IFERROR(MATCH(ROW()-4,rOrden_RF,0),"")</f>
        <v/>
      </c>
      <c r="O96">
        <f>IF($N96="","",INDEX('Cronograma R. Financiero'!$V$5:$V$1000,$N96))</f>
        <v/>
      </c>
      <c r="P96">
        <f>IF($N96="","",N(INDEX('Cronograma R. Financiero'!$W$5:$W$1000,$N96)))</f>
        <v/>
      </c>
      <c r="Q96">
        <f>IF(OR(LEFT($L96,7)="Vencida",LEFT($L96,5)="Vence"),SUMPRODUCT(--(LEFT($L$5:$L96,7)="Vencida"))+SUMPRODUCT(--(LEFT($L$5:$L96,5)="Vence")),"")</f>
        <v/>
      </c>
    </row>
    <row r="97">
      <c r="A97" s="56">
        <f>IF($N97="","",INDEX('Cronograma R. Financiero'!$A$5:$A$1000,$N97))</f>
        <v/>
      </c>
      <c r="B97" s="62">
        <f>IF($N97="","",IF($O97="Sub","      ↳  "&amp;INDEX('Cronograma R. Financiero'!$C$5:$C$1000,$N97),INDEX('Cronograma R. Financiero'!$C$5:$C$1000,$N97)&amp;""))</f>
        <v/>
      </c>
      <c r="C97" s="79">
        <f>IF($N97="","",IF(INDEX('Cronograma R. Financiero'!$AR$5:$AR$1000,$N97)="","",INDEX('Cronograma R. Financiero'!$AR$5:$AR$1000,$N97)))</f>
        <v/>
      </c>
      <c r="D97" s="79">
        <f>IF($N97="","",IF(INDEX('Cronograma R. Financiero'!$AS$5:$AS$1000,$N97)="","",INDEX('Cronograma R. Financiero'!$AS$5:$AS$1000,$N97)))</f>
        <v/>
      </c>
      <c r="E97" s="56">
        <f>IF($N97="","",IF(NOT(ISNUMBER($D97)),"",IF($D97&lt;InicioCiclo,"Antes del ciclo",IF($D97&gt;=InicioCiclo+28,"Después del ciclo","Semana "&amp;(INT(($D97-InicioCiclo)/7)+1)))))</f>
        <v/>
      </c>
      <c r="F97" s="61">
        <f>IF($N97="","",IF($P97&gt;0,IF(1&lt;=SemanaActual,INDEX('Cronograma R. Financiero'!$AH$5:$AH$1000,$N97),""),IF(INDEX('Cronograma R. Financiero'!$I$5:$I$1000,$N97)="","",INDEX('Cronograma R. Financiero'!$I$5:$I$1000,$N97))))</f>
        <v/>
      </c>
      <c r="G97" s="61">
        <f>IF($N97="","",IF($P97&gt;0,IF(2&lt;=SemanaActual,INDEX('Cronograma R. Financiero'!$AI$5:$AI$1000,$N97),""),IF(INDEX('Cronograma R. Financiero'!$J$5:$J$1000,$N97)="","",INDEX('Cronograma R. Financiero'!$J$5:$J$1000,$N97))))</f>
        <v/>
      </c>
      <c r="H97" s="61">
        <f>IF($N97="","",IF($P97&gt;0,IF(3&lt;=SemanaActual,INDEX('Cronograma R. Financiero'!$AJ$5:$AJ$1000,$N97),""),IF(INDEX('Cronograma R. Financiero'!$K$5:$K$1000,$N97)="","",INDEX('Cronograma R. Financiero'!$K$5:$K$1000,$N97))))</f>
        <v/>
      </c>
      <c r="I97" s="61">
        <f>IF($N97="","",IF($P97&gt;0,IF(4&lt;=SemanaActual,INDEX('Cronograma R. Financiero'!$AK$5:$AK$1000,$N97),""),IF(INDEX('Cronograma R. Financiero'!$L$5:$L$1000,$N97)="","",INDEX('Cronograma R. Financiero'!$L$5:$L$1000,$N97))))</f>
        <v/>
      </c>
      <c r="J97" s="61">
        <f>IF($N97="","",INDEX('Cronograma R. Financiero'!$M$5:$M$1000,$N97))</f>
        <v/>
      </c>
      <c r="K97" s="56">
        <f>IF($N97="","",IF(N($J97)&gt;=1,"Completado",IF(AND(ISNUMBER($D97),$D97&lt;FechaRef),"Vencida",IF(N($J97)&gt;0,"En curso","Pendiente"))))</f>
        <v/>
      </c>
      <c r="L97" s="56">
        <f>IF($N97="","",INDEX('Cronograma R. Financiero'!$O$5:$O$1000,$N97)&amp;"")</f>
        <v/>
      </c>
      <c r="M97" s="62">
        <f>IF($N97="","",INDEX('Cronograma R. Financiero'!$Q$5:$Q$1000,$N97)&amp;"")</f>
        <v/>
      </c>
      <c r="N97">
        <f>IFERROR(MATCH(ROW()-4,rOrden_RF,0),"")</f>
        <v/>
      </c>
      <c r="O97">
        <f>IF($N97="","",INDEX('Cronograma R. Financiero'!$V$5:$V$1000,$N97))</f>
        <v/>
      </c>
      <c r="P97">
        <f>IF($N97="","",N(INDEX('Cronograma R. Financiero'!$W$5:$W$1000,$N97)))</f>
        <v/>
      </c>
      <c r="Q97">
        <f>IF(OR(LEFT($L97,7)="Vencida",LEFT($L97,5)="Vence"),SUMPRODUCT(--(LEFT($L$5:$L97,7)="Vencida"))+SUMPRODUCT(--(LEFT($L$5:$L97,5)="Vence")),"")</f>
        <v/>
      </c>
    </row>
    <row r="98">
      <c r="A98" s="56">
        <f>IF($N98="","",INDEX('Cronograma R. Financiero'!$A$5:$A$1000,$N98))</f>
        <v/>
      </c>
      <c r="B98" s="62">
        <f>IF($N98="","",IF($O98="Sub","      ↳  "&amp;INDEX('Cronograma R. Financiero'!$C$5:$C$1000,$N98),INDEX('Cronograma R. Financiero'!$C$5:$C$1000,$N98)&amp;""))</f>
        <v/>
      </c>
      <c r="C98" s="79">
        <f>IF($N98="","",IF(INDEX('Cronograma R. Financiero'!$AR$5:$AR$1000,$N98)="","",INDEX('Cronograma R. Financiero'!$AR$5:$AR$1000,$N98)))</f>
        <v/>
      </c>
      <c r="D98" s="79">
        <f>IF($N98="","",IF(INDEX('Cronograma R. Financiero'!$AS$5:$AS$1000,$N98)="","",INDEX('Cronograma R. Financiero'!$AS$5:$AS$1000,$N98)))</f>
        <v/>
      </c>
      <c r="E98" s="56">
        <f>IF($N98="","",IF(NOT(ISNUMBER($D98)),"",IF($D98&lt;InicioCiclo,"Antes del ciclo",IF($D98&gt;=InicioCiclo+28,"Después del ciclo","Semana "&amp;(INT(($D98-InicioCiclo)/7)+1)))))</f>
        <v/>
      </c>
      <c r="F98" s="61">
        <f>IF($N98="","",IF($P98&gt;0,IF(1&lt;=SemanaActual,INDEX('Cronograma R. Financiero'!$AH$5:$AH$1000,$N98),""),IF(INDEX('Cronograma R. Financiero'!$I$5:$I$1000,$N98)="","",INDEX('Cronograma R. Financiero'!$I$5:$I$1000,$N98))))</f>
        <v/>
      </c>
      <c r="G98" s="61">
        <f>IF($N98="","",IF($P98&gt;0,IF(2&lt;=SemanaActual,INDEX('Cronograma R. Financiero'!$AI$5:$AI$1000,$N98),""),IF(INDEX('Cronograma R. Financiero'!$J$5:$J$1000,$N98)="","",INDEX('Cronograma R. Financiero'!$J$5:$J$1000,$N98))))</f>
        <v/>
      </c>
      <c r="H98" s="61">
        <f>IF($N98="","",IF($P98&gt;0,IF(3&lt;=SemanaActual,INDEX('Cronograma R. Financiero'!$AJ$5:$AJ$1000,$N98),""),IF(INDEX('Cronograma R. Financiero'!$K$5:$K$1000,$N98)="","",INDEX('Cronograma R. Financiero'!$K$5:$K$1000,$N98))))</f>
        <v/>
      </c>
      <c r="I98" s="61">
        <f>IF($N98="","",IF($P98&gt;0,IF(4&lt;=SemanaActual,INDEX('Cronograma R. Financiero'!$AK$5:$AK$1000,$N98),""),IF(INDEX('Cronograma R. Financiero'!$L$5:$L$1000,$N98)="","",INDEX('Cronograma R. Financiero'!$L$5:$L$1000,$N98))))</f>
        <v/>
      </c>
      <c r="J98" s="61">
        <f>IF($N98="","",INDEX('Cronograma R. Financiero'!$M$5:$M$1000,$N98))</f>
        <v/>
      </c>
      <c r="K98" s="56">
        <f>IF($N98="","",IF(N($J98)&gt;=1,"Completado",IF(AND(ISNUMBER($D98),$D98&lt;FechaRef),"Vencida",IF(N($J98)&gt;0,"En curso","Pendiente"))))</f>
        <v/>
      </c>
      <c r="L98" s="56">
        <f>IF($N98="","",INDEX('Cronograma R. Financiero'!$O$5:$O$1000,$N98)&amp;"")</f>
        <v/>
      </c>
      <c r="M98" s="62">
        <f>IF($N98="","",INDEX('Cronograma R. Financiero'!$Q$5:$Q$1000,$N98)&amp;"")</f>
        <v/>
      </c>
      <c r="N98">
        <f>IFERROR(MATCH(ROW()-4,rOrden_RF,0),"")</f>
        <v/>
      </c>
      <c r="O98">
        <f>IF($N98="","",INDEX('Cronograma R. Financiero'!$V$5:$V$1000,$N98))</f>
        <v/>
      </c>
      <c r="P98">
        <f>IF($N98="","",N(INDEX('Cronograma R. Financiero'!$W$5:$W$1000,$N98)))</f>
        <v/>
      </c>
      <c r="Q98">
        <f>IF(OR(LEFT($L98,7)="Vencida",LEFT($L98,5)="Vence"),SUMPRODUCT(--(LEFT($L$5:$L98,7)="Vencida"))+SUMPRODUCT(--(LEFT($L$5:$L98,5)="Vence")),"")</f>
        <v/>
      </c>
    </row>
    <row r="99">
      <c r="A99" s="56">
        <f>IF($N99="","",INDEX('Cronograma R. Financiero'!$A$5:$A$1000,$N99))</f>
        <v/>
      </c>
      <c r="B99" s="62">
        <f>IF($N99="","",IF($O99="Sub","      ↳  "&amp;INDEX('Cronograma R. Financiero'!$C$5:$C$1000,$N99),INDEX('Cronograma R. Financiero'!$C$5:$C$1000,$N99)&amp;""))</f>
        <v/>
      </c>
      <c r="C99" s="79">
        <f>IF($N99="","",IF(INDEX('Cronograma R. Financiero'!$AR$5:$AR$1000,$N99)="","",INDEX('Cronograma R. Financiero'!$AR$5:$AR$1000,$N99)))</f>
        <v/>
      </c>
      <c r="D99" s="79">
        <f>IF($N99="","",IF(INDEX('Cronograma R. Financiero'!$AS$5:$AS$1000,$N99)="","",INDEX('Cronograma R. Financiero'!$AS$5:$AS$1000,$N99)))</f>
        <v/>
      </c>
      <c r="E99" s="56">
        <f>IF($N99="","",IF(NOT(ISNUMBER($D99)),"",IF($D99&lt;InicioCiclo,"Antes del ciclo",IF($D99&gt;=InicioCiclo+28,"Después del ciclo","Semana "&amp;(INT(($D99-InicioCiclo)/7)+1)))))</f>
        <v/>
      </c>
      <c r="F99" s="61">
        <f>IF($N99="","",IF($P99&gt;0,IF(1&lt;=SemanaActual,INDEX('Cronograma R. Financiero'!$AH$5:$AH$1000,$N99),""),IF(INDEX('Cronograma R. Financiero'!$I$5:$I$1000,$N99)="","",INDEX('Cronograma R. Financiero'!$I$5:$I$1000,$N99))))</f>
        <v/>
      </c>
      <c r="G99" s="61">
        <f>IF($N99="","",IF($P99&gt;0,IF(2&lt;=SemanaActual,INDEX('Cronograma R. Financiero'!$AI$5:$AI$1000,$N99),""),IF(INDEX('Cronograma R. Financiero'!$J$5:$J$1000,$N99)="","",INDEX('Cronograma R. Financiero'!$J$5:$J$1000,$N99))))</f>
        <v/>
      </c>
      <c r="H99" s="61">
        <f>IF($N99="","",IF($P99&gt;0,IF(3&lt;=SemanaActual,INDEX('Cronograma R. Financiero'!$AJ$5:$AJ$1000,$N99),""),IF(INDEX('Cronograma R. Financiero'!$K$5:$K$1000,$N99)="","",INDEX('Cronograma R. Financiero'!$K$5:$K$1000,$N99))))</f>
        <v/>
      </c>
      <c r="I99" s="61">
        <f>IF($N99="","",IF($P99&gt;0,IF(4&lt;=SemanaActual,INDEX('Cronograma R. Financiero'!$AK$5:$AK$1000,$N99),""),IF(INDEX('Cronograma R. Financiero'!$L$5:$L$1000,$N99)="","",INDEX('Cronograma R. Financiero'!$L$5:$L$1000,$N99))))</f>
        <v/>
      </c>
      <c r="J99" s="61">
        <f>IF($N99="","",INDEX('Cronograma R. Financiero'!$M$5:$M$1000,$N99))</f>
        <v/>
      </c>
      <c r="K99" s="56">
        <f>IF($N99="","",IF(N($J99)&gt;=1,"Completado",IF(AND(ISNUMBER($D99),$D99&lt;FechaRef),"Vencida",IF(N($J99)&gt;0,"En curso","Pendiente"))))</f>
        <v/>
      </c>
      <c r="L99" s="56">
        <f>IF($N99="","",INDEX('Cronograma R. Financiero'!$O$5:$O$1000,$N99)&amp;"")</f>
        <v/>
      </c>
      <c r="M99" s="62">
        <f>IF($N99="","",INDEX('Cronograma R. Financiero'!$Q$5:$Q$1000,$N99)&amp;"")</f>
        <v/>
      </c>
      <c r="N99">
        <f>IFERROR(MATCH(ROW()-4,rOrden_RF,0),"")</f>
        <v/>
      </c>
      <c r="O99">
        <f>IF($N99="","",INDEX('Cronograma R. Financiero'!$V$5:$V$1000,$N99))</f>
        <v/>
      </c>
      <c r="P99">
        <f>IF($N99="","",N(INDEX('Cronograma R. Financiero'!$W$5:$W$1000,$N99)))</f>
        <v/>
      </c>
      <c r="Q99">
        <f>IF(OR(LEFT($L99,7)="Vencida",LEFT($L99,5)="Vence"),SUMPRODUCT(--(LEFT($L$5:$L99,7)="Vencida"))+SUMPRODUCT(--(LEFT($L$5:$L99,5)="Vence")),"")</f>
        <v/>
      </c>
    </row>
    <row r="100">
      <c r="A100" s="56">
        <f>IF($N100="","",INDEX('Cronograma R. Financiero'!$A$5:$A$1000,$N100))</f>
        <v/>
      </c>
      <c r="B100" s="62">
        <f>IF($N100="","",IF($O100="Sub","      ↳  "&amp;INDEX('Cronograma R. Financiero'!$C$5:$C$1000,$N100),INDEX('Cronograma R. Financiero'!$C$5:$C$1000,$N100)&amp;""))</f>
        <v/>
      </c>
      <c r="C100" s="79">
        <f>IF($N100="","",IF(INDEX('Cronograma R. Financiero'!$AR$5:$AR$1000,$N100)="","",INDEX('Cronograma R. Financiero'!$AR$5:$AR$1000,$N100)))</f>
        <v/>
      </c>
      <c r="D100" s="79">
        <f>IF($N100="","",IF(INDEX('Cronograma R. Financiero'!$AS$5:$AS$1000,$N100)="","",INDEX('Cronograma R. Financiero'!$AS$5:$AS$1000,$N100)))</f>
        <v/>
      </c>
      <c r="E100" s="56">
        <f>IF($N100="","",IF(NOT(ISNUMBER($D100)),"",IF($D100&lt;InicioCiclo,"Antes del ciclo",IF($D100&gt;=InicioCiclo+28,"Después del ciclo","Semana "&amp;(INT(($D100-InicioCiclo)/7)+1)))))</f>
        <v/>
      </c>
      <c r="F100" s="61">
        <f>IF($N100="","",IF($P100&gt;0,IF(1&lt;=SemanaActual,INDEX('Cronograma R. Financiero'!$AH$5:$AH$1000,$N100),""),IF(INDEX('Cronograma R. Financiero'!$I$5:$I$1000,$N100)="","",INDEX('Cronograma R. Financiero'!$I$5:$I$1000,$N100))))</f>
        <v/>
      </c>
      <c r="G100" s="61">
        <f>IF($N100="","",IF($P100&gt;0,IF(2&lt;=SemanaActual,INDEX('Cronograma R. Financiero'!$AI$5:$AI$1000,$N100),""),IF(INDEX('Cronograma R. Financiero'!$J$5:$J$1000,$N100)="","",INDEX('Cronograma R. Financiero'!$J$5:$J$1000,$N100))))</f>
        <v/>
      </c>
      <c r="H100" s="61">
        <f>IF($N100="","",IF($P100&gt;0,IF(3&lt;=SemanaActual,INDEX('Cronograma R. Financiero'!$AJ$5:$AJ$1000,$N100),""),IF(INDEX('Cronograma R. Financiero'!$K$5:$K$1000,$N100)="","",INDEX('Cronograma R. Financiero'!$K$5:$K$1000,$N100))))</f>
        <v/>
      </c>
      <c r="I100" s="61">
        <f>IF($N100="","",IF($P100&gt;0,IF(4&lt;=SemanaActual,INDEX('Cronograma R. Financiero'!$AK$5:$AK$1000,$N100),""),IF(INDEX('Cronograma R. Financiero'!$L$5:$L$1000,$N100)="","",INDEX('Cronograma R. Financiero'!$L$5:$L$1000,$N100))))</f>
        <v/>
      </c>
      <c r="J100" s="61">
        <f>IF($N100="","",INDEX('Cronograma R. Financiero'!$M$5:$M$1000,$N100))</f>
        <v/>
      </c>
      <c r="K100" s="56">
        <f>IF($N100="","",IF(N($J100)&gt;=1,"Completado",IF(AND(ISNUMBER($D100),$D100&lt;FechaRef),"Vencida",IF(N($J100)&gt;0,"En curso","Pendiente"))))</f>
        <v/>
      </c>
      <c r="L100" s="56">
        <f>IF($N100="","",INDEX('Cronograma R. Financiero'!$O$5:$O$1000,$N100)&amp;"")</f>
        <v/>
      </c>
      <c r="M100" s="62">
        <f>IF($N100="","",INDEX('Cronograma R. Financiero'!$Q$5:$Q$1000,$N100)&amp;"")</f>
        <v/>
      </c>
      <c r="N100">
        <f>IFERROR(MATCH(ROW()-4,rOrden_RF,0),"")</f>
        <v/>
      </c>
      <c r="O100">
        <f>IF($N100="","",INDEX('Cronograma R. Financiero'!$V$5:$V$1000,$N100))</f>
        <v/>
      </c>
      <c r="P100">
        <f>IF($N100="","",N(INDEX('Cronograma R. Financiero'!$W$5:$W$1000,$N100)))</f>
        <v/>
      </c>
      <c r="Q100">
        <f>IF(OR(LEFT($L100,7)="Vencida",LEFT($L100,5)="Vence"),SUMPRODUCT(--(LEFT($L$5:$L100,7)="Vencida"))+SUMPRODUCT(--(LEFT($L$5:$L100,5)="Vence")),"")</f>
        <v/>
      </c>
    </row>
    <row r="101">
      <c r="A101" s="56">
        <f>IF($N101="","",INDEX('Cronograma R. Financiero'!$A$5:$A$1000,$N101))</f>
        <v/>
      </c>
      <c r="B101" s="62">
        <f>IF($N101="","",IF($O101="Sub","      ↳  "&amp;INDEX('Cronograma R. Financiero'!$C$5:$C$1000,$N101),INDEX('Cronograma R. Financiero'!$C$5:$C$1000,$N101)&amp;""))</f>
        <v/>
      </c>
      <c r="C101" s="79">
        <f>IF($N101="","",IF(INDEX('Cronograma R. Financiero'!$AR$5:$AR$1000,$N101)="","",INDEX('Cronograma R. Financiero'!$AR$5:$AR$1000,$N101)))</f>
        <v/>
      </c>
      <c r="D101" s="79">
        <f>IF($N101="","",IF(INDEX('Cronograma R. Financiero'!$AS$5:$AS$1000,$N101)="","",INDEX('Cronograma R. Financiero'!$AS$5:$AS$1000,$N101)))</f>
        <v/>
      </c>
      <c r="E101" s="56">
        <f>IF($N101="","",IF(NOT(ISNUMBER($D101)),"",IF($D101&lt;InicioCiclo,"Antes del ciclo",IF($D101&gt;=InicioCiclo+28,"Después del ciclo","Semana "&amp;(INT(($D101-InicioCiclo)/7)+1)))))</f>
        <v/>
      </c>
      <c r="F101" s="61">
        <f>IF($N101="","",IF($P101&gt;0,IF(1&lt;=SemanaActual,INDEX('Cronograma R. Financiero'!$AH$5:$AH$1000,$N101),""),IF(INDEX('Cronograma R. Financiero'!$I$5:$I$1000,$N101)="","",INDEX('Cronograma R. Financiero'!$I$5:$I$1000,$N101))))</f>
        <v/>
      </c>
      <c r="G101" s="61">
        <f>IF($N101="","",IF($P101&gt;0,IF(2&lt;=SemanaActual,INDEX('Cronograma R. Financiero'!$AI$5:$AI$1000,$N101),""),IF(INDEX('Cronograma R. Financiero'!$J$5:$J$1000,$N101)="","",INDEX('Cronograma R. Financiero'!$J$5:$J$1000,$N101))))</f>
        <v/>
      </c>
      <c r="H101" s="61">
        <f>IF($N101="","",IF($P101&gt;0,IF(3&lt;=SemanaActual,INDEX('Cronograma R. Financiero'!$AJ$5:$AJ$1000,$N101),""),IF(INDEX('Cronograma R. Financiero'!$K$5:$K$1000,$N101)="","",INDEX('Cronograma R. Financiero'!$K$5:$K$1000,$N101))))</f>
        <v/>
      </c>
      <c r="I101" s="61">
        <f>IF($N101="","",IF($P101&gt;0,IF(4&lt;=SemanaActual,INDEX('Cronograma R. Financiero'!$AK$5:$AK$1000,$N101),""),IF(INDEX('Cronograma R. Financiero'!$L$5:$L$1000,$N101)="","",INDEX('Cronograma R. Financiero'!$L$5:$L$1000,$N101))))</f>
        <v/>
      </c>
      <c r="J101" s="61">
        <f>IF($N101="","",INDEX('Cronograma R. Financiero'!$M$5:$M$1000,$N101))</f>
        <v/>
      </c>
      <c r="K101" s="56">
        <f>IF($N101="","",IF(N($J101)&gt;=1,"Completado",IF(AND(ISNUMBER($D101),$D101&lt;FechaRef),"Vencida",IF(N($J101)&gt;0,"En curso","Pendiente"))))</f>
        <v/>
      </c>
      <c r="L101" s="56">
        <f>IF($N101="","",INDEX('Cronograma R. Financiero'!$O$5:$O$1000,$N101)&amp;"")</f>
        <v/>
      </c>
      <c r="M101" s="62">
        <f>IF($N101="","",INDEX('Cronograma R. Financiero'!$Q$5:$Q$1000,$N101)&amp;"")</f>
        <v/>
      </c>
      <c r="N101">
        <f>IFERROR(MATCH(ROW()-4,rOrden_RF,0),"")</f>
        <v/>
      </c>
      <c r="O101">
        <f>IF($N101="","",INDEX('Cronograma R. Financiero'!$V$5:$V$1000,$N101))</f>
        <v/>
      </c>
      <c r="P101">
        <f>IF($N101="","",N(INDEX('Cronograma R. Financiero'!$W$5:$W$1000,$N101)))</f>
        <v/>
      </c>
      <c r="Q101">
        <f>IF(OR(LEFT($L101,7)="Vencida",LEFT($L101,5)="Vence"),SUMPRODUCT(--(LEFT($L$5:$L101,7)="Vencida"))+SUMPRODUCT(--(LEFT($L$5:$L101,5)="Vence")),"")</f>
        <v/>
      </c>
    </row>
    <row r="102">
      <c r="A102" s="56">
        <f>IF($N102="","",INDEX('Cronograma R. Financiero'!$A$5:$A$1000,$N102))</f>
        <v/>
      </c>
      <c r="B102" s="62">
        <f>IF($N102="","",IF($O102="Sub","      ↳  "&amp;INDEX('Cronograma R. Financiero'!$C$5:$C$1000,$N102),INDEX('Cronograma R. Financiero'!$C$5:$C$1000,$N102)&amp;""))</f>
        <v/>
      </c>
      <c r="C102" s="79">
        <f>IF($N102="","",IF(INDEX('Cronograma R. Financiero'!$AR$5:$AR$1000,$N102)="","",INDEX('Cronograma R. Financiero'!$AR$5:$AR$1000,$N102)))</f>
        <v/>
      </c>
      <c r="D102" s="79">
        <f>IF($N102="","",IF(INDEX('Cronograma R. Financiero'!$AS$5:$AS$1000,$N102)="","",INDEX('Cronograma R. Financiero'!$AS$5:$AS$1000,$N102)))</f>
        <v/>
      </c>
      <c r="E102" s="56">
        <f>IF($N102="","",IF(NOT(ISNUMBER($D102)),"",IF($D102&lt;InicioCiclo,"Antes del ciclo",IF($D102&gt;=InicioCiclo+28,"Después del ciclo","Semana "&amp;(INT(($D102-InicioCiclo)/7)+1)))))</f>
        <v/>
      </c>
      <c r="F102" s="61">
        <f>IF($N102="","",IF($P102&gt;0,IF(1&lt;=SemanaActual,INDEX('Cronograma R. Financiero'!$AH$5:$AH$1000,$N102),""),IF(INDEX('Cronograma R. Financiero'!$I$5:$I$1000,$N102)="","",INDEX('Cronograma R. Financiero'!$I$5:$I$1000,$N102))))</f>
        <v/>
      </c>
      <c r="G102" s="61">
        <f>IF($N102="","",IF($P102&gt;0,IF(2&lt;=SemanaActual,INDEX('Cronograma R. Financiero'!$AI$5:$AI$1000,$N102),""),IF(INDEX('Cronograma R. Financiero'!$J$5:$J$1000,$N102)="","",INDEX('Cronograma R. Financiero'!$J$5:$J$1000,$N102))))</f>
        <v/>
      </c>
      <c r="H102" s="61">
        <f>IF($N102="","",IF($P102&gt;0,IF(3&lt;=SemanaActual,INDEX('Cronograma R. Financiero'!$AJ$5:$AJ$1000,$N102),""),IF(INDEX('Cronograma R. Financiero'!$K$5:$K$1000,$N102)="","",INDEX('Cronograma R. Financiero'!$K$5:$K$1000,$N102))))</f>
        <v/>
      </c>
      <c r="I102" s="61">
        <f>IF($N102="","",IF($P102&gt;0,IF(4&lt;=SemanaActual,INDEX('Cronograma R. Financiero'!$AK$5:$AK$1000,$N102),""),IF(INDEX('Cronograma R. Financiero'!$L$5:$L$1000,$N102)="","",INDEX('Cronograma R. Financiero'!$L$5:$L$1000,$N102))))</f>
        <v/>
      </c>
      <c r="J102" s="61">
        <f>IF($N102="","",INDEX('Cronograma R. Financiero'!$M$5:$M$1000,$N102))</f>
        <v/>
      </c>
      <c r="K102" s="56">
        <f>IF($N102="","",IF(N($J102)&gt;=1,"Completado",IF(AND(ISNUMBER($D102),$D102&lt;FechaRef),"Vencida",IF(N($J102)&gt;0,"En curso","Pendiente"))))</f>
        <v/>
      </c>
      <c r="L102" s="56">
        <f>IF($N102="","",INDEX('Cronograma R. Financiero'!$O$5:$O$1000,$N102)&amp;"")</f>
        <v/>
      </c>
      <c r="M102" s="62">
        <f>IF($N102="","",INDEX('Cronograma R. Financiero'!$Q$5:$Q$1000,$N102)&amp;"")</f>
        <v/>
      </c>
      <c r="N102">
        <f>IFERROR(MATCH(ROW()-4,rOrden_RF,0),"")</f>
        <v/>
      </c>
      <c r="O102">
        <f>IF($N102="","",INDEX('Cronograma R. Financiero'!$V$5:$V$1000,$N102))</f>
        <v/>
      </c>
      <c r="P102">
        <f>IF($N102="","",N(INDEX('Cronograma R. Financiero'!$W$5:$W$1000,$N102)))</f>
        <v/>
      </c>
      <c r="Q102">
        <f>IF(OR(LEFT($L102,7)="Vencida",LEFT($L102,5)="Vence"),SUMPRODUCT(--(LEFT($L$5:$L102,7)="Vencida"))+SUMPRODUCT(--(LEFT($L$5:$L102,5)="Vence")),"")</f>
        <v/>
      </c>
    </row>
    <row r="103">
      <c r="A103" s="56">
        <f>IF($N103="","",INDEX('Cronograma R. Financiero'!$A$5:$A$1000,$N103))</f>
        <v/>
      </c>
      <c r="B103" s="62">
        <f>IF($N103="","",IF($O103="Sub","      ↳  "&amp;INDEX('Cronograma R. Financiero'!$C$5:$C$1000,$N103),INDEX('Cronograma R. Financiero'!$C$5:$C$1000,$N103)&amp;""))</f>
        <v/>
      </c>
      <c r="C103" s="79">
        <f>IF($N103="","",IF(INDEX('Cronograma R. Financiero'!$AR$5:$AR$1000,$N103)="","",INDEX('Cronograma R. Financiero'!$AR$5:$AR$1000,$N103)))</f>
        <v/>
      </c>
      <c r="D103" s="79">
        <f>IF($N103="","",IF(INDEX('Cronograma R. Financiero'!$AS$5:$AS$1000,$N103)="","",INDEX('Cronograma R. Financiero'!$AS$5:$AS$1000,$N103)))</f>
        <v/>
      </c>
      <c r="E103" s="56">
        <f>IF($N103="","",IF(NOT(ISNUMBER($D103)),"",IF($D103&lt;InicioCiclo,"Antes del ciclo",IF($D103&gt;=InicioCiclo+28,"Después del ciclo","Semana "&amp;(INT(($D103-InicioCiclo)/7)+1)))))</f>
        <v/>
      </c>
      <c r="F103" s="61">
        <f>IF($N103="","",IF($P103&gt;0,IF(1&lt;=SemanaActual,INDEX('Cronograma R. Financiero'!$AH$5:$AH$1000,$N103),""),IF(INDEX('Cronograma R. Financiero'!$I$5:$I$1000,$N103)="","",INDEX('Cronograma R. Financiero'!$I$5:$I$1000,$N103))))</f>
        <v/>
      </c>
      <c r="G103" s="61">
        <f>IF($N103="","",IF($P103&gt;0,IF(2&lt;=SemanaActual,INDEX('Cronograma R. Financiero'!$AI$5:$AI$1000,$N103),""),IF(INDEX('Cronograma R. Financiero'!$J$5:$J$1000,$N103)="","",INDEX('Cronograma R. Financiero'!$J$5:$J$1000,$N103))))</f>
        <v/>
      </c>
      <c r="H103" s="61">
        <f>IF($N103="","",IF($P103&gt;0,IF(3&lt;=SemanaActual,INDEX('Cronograma R. Financiero'!$AJ$5:$AJ$1000,$N103),""),IF(INDEX('Cronograma R. Financiero'!$K$5:$K$1000,$N103)="","",INDEX('Cronograma R. Financiero'!$K$5:$K$1000,$N103))))</f>
        <v/>
      </c>
      <c r="I103" s="61">
        <f>IF($N103="","",IF($P103&gt;0,IF(4&lt;=SemanaActual,INDEX('Cronograma R. Financiero'!$AK$5:$AK$1000,$N103),""),IF(INDEX('Cronograma R. Financiero'!$L$5:$L$1000,$N103)="","",INDEX('Cronograma R. Financiero'!$L$5:$L$1000,$N103))))</f>
        <v/>
      </c>
      <c r="J103" s="61">
        <f>IF($N103="","",INDEX('Cronograma R. Financiero'!$M$5:$M$1000,$N103))</f>
        <v/>
      </c>
      <c r="K103" s="56">
        <f>IF($N103="","",IF(N($J103)&gt;=1,"Completado",IF(AND(ISNUMBER($D103),$D103&lt;FechaRef),"Vencida",IF(N($J103)&gt;0,"En curso","Pendiente"))))</f>
        <v/>
      </c>
      <c r="L103" s="56">
        <f>IF($N103="","",INDEX('Cronograma R. Financiero'!$O$5:$O$1000,$N103)&amp;"")</f>
        <v/>
      </c>
      <c r="M103" s="62">
        <f>IF($N103="","",INDEX('Cronograma R. Financiero'!$Q$5:$Q$1000,$N103)&amp;"")</f>
        <v/>
      </c>
      <c r="N103">
        <f>IFERROR(MATCH(ROW()-4,rOrden_RF,0),"")</f>
        <v/>
      </c>
      <c r="O103">
        <f>IF($N103="","",INDEX('Cronograma R. Financiero'!$V$5:$V$1000,$N103))</f>
        <v/>
      </c>
      <c r="P103">
        <f>IF($N103="","",N(INDEX('Cronograma R. Financiero'!$W$5:$W$1000,$N103)))</f>
        <v/>
      </c>
      <c r="Q103">
        <f>IF(OR(LEFT($L103,7)="Vencida",LEFT($L103,5)="Vence"),SUMPRODUCT(--(LEFT($L$5:$L103,7)="Vencida"))+SUMPRODUCT(--(LEFT($L$5:$L103,5)="Vence")),"")</f>
        <v/>
      </c>
    </row>
    <row r="104">
      <c r="A104" s="56">
        <f>IF($N104="","",INDEX('Cronograma R. Financiero'!$A$5:$A$1000,$N104))</f>
        <v/>
      </c>
      <c r="B104" s="62">
        <f>IF($N104="","",IF($O104="Sub","      ↳  "&amp;INDEX('Cronograma R. Financiero'!$C$5:$C$1000,$N104),INDEX('Cronograma R. Financiero'!$C$5:$C$1000,$N104)&amp;""))</f>
        <v/>
      </c>
      <c r="C104" s="79">
        <f>IF($N104="","",IF(INDEX('Cronograma R. Financiero'!$AR$5:$AR$1000,$N104)="","",INDEX('Cronograma R. Financiero'!$AR$5:$AR$1000,$N104)))</f>
        <v/>
      </c>
      <c r="D104" s="79">
        <f>IF($N104="","",IF(INDEX('Cronograma R. Financiero'!$AS$5:$AS$1000,$N104)="","",INDEX('Cronograma R. Financiero'!$AS$5:$AS$1000,$N104)))</f>
        <v/>
      </c>
      <c r="E104" s="56">
        <f>IF($N104="","",IF(NOT(ISNUMBER($D104)),"",IF($D104&lt;InicioCiclo,"Antes del ciclo",IF($D104&gt;=InicioCiclo+28,"Después del ciclo","Semana "&amp;(INT(($D104-InicioCiclo)/7)+1)))))</f>
        <v/>
      </c>
      <c r="F104" s="61">
        <f>IF($N104="","",IF($P104&gt;0,IF(1&lt;=SemanaActual,INDEX('Cronograma R. Financiero'!$AH$5:$AH$1000,$N104),""),IF(INDEX('Cronograma R. Financiero'!$I$5:$I$1000,$N104)="","",INDEX('Cronograma R. Financiero'!$I$5:$I$1000,$N104))))</f>
        <v/>
      </c>
      <c r="G104" s="61">
        <f>IF($N104="","",IF($P104&gt;0,IF(2&lt;=SemanaActual,INDEX('Cronograma R. Financiero'!$AI$5:$AI$1000,$N104),""),IF(INDEX('Cronograma R. Financiero'!$J$5:$J$1000,$N104)="","",INDEX('Cronograma R. Financiero'!$J$5:$J$1000,$N104))))</f>
        <v/>
      </c>
      <c r="H104" s="61">
        <f>IF($N104="","",IF($P104&gt;0,IF(3&lt;=SemanaActual,INDEX('Cronograma R. Financiero'!$AJ$5:$AJ$1000,$N104),""),IF(INDEX('Cronograma R. Financiero'!$K$5:$K$1000,$N104)="","",INDEX('Cronograma R. Financiero'!$K$5:$K$1000,$N104))))</f>
        <v/>
      </c>
      <c r="I104" s="61">
        <f>IF($N104="","",IF($P104&gt;0,IF(4&lt;=SemanaActual,INDEX('Cronograma R. Financiero'!$AK$5:$AK$1000,$N104),""),IF(INDEX('Cronograma R. Financiero'!$L$5:$L$1000,$N104)="","",INDEX('Cronograma R. Financiero'!$L$5:$L$1000,$N104))))</f>
        <v/>
      </c>
      <c r="J104" s="61">
        <f>IF($N104="","",INDEX('Cronograma R. Financiero'!$M$5:$M$1000,$N104))</f>
        <v/>
      </c>
      <c r="K104" s="56">
        <f>IF($N104="","",IF(N($J104)&gt;=1,"Completado",IF(AND(ISNUMBER($D104),$D104&lt;FechaRef),"Vencida",IF(N($J104)&gt;0,"En curso","Pendiente"))))</f>
        <v/>
      </c>
      <c r="L104" s="56">
        <f>IF($N104="","",INDEX('Cronograma R. Financiero'!$O$5:$O$1000,$N104)&amp;"")</f>
        <v/>
      </c>
      <c r="M104" s="62">
        <f>IF($N104="","",INDEX('Cronograma R. Financiero'!$Q$5:$Q$1000,$N104)&amp;"")</f>
        <v/>
      </c>
      <c r="N104">
        <f>IFERROR(MATCH(ROW()-4,rOrden_RF,0),"")</f>
        <v/>
      </c>
      <c r="O104">
        <f>IF($N104="","",INDEX('Cronograma R. Financiero'!$V$5:$V$1000,$N104))</f>
        <v/>
      </c>
      <c r="P104">
        <f>IF($N104="","",N(INDEX('Cronograma R. Financiero'!$W$5:$W$1000,$N104)))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4">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2E75B6"/>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4" t="inlineStr">
        <is>
          <t>Cronograma – Asistente Técnico de Riesgo</t>
        </is>
      </c>
      <c r="B1" s="84" t="n"/>
      <c r="C1" s="84" t="n"/>
      <c r="D1" s="84" t="n"/>
      <c r="E1" s="84" t="n"/>
      <c r="F1" s="84" t="n"/>
      <c r="G1" s="84" t="n"/>
      <c r="H1" s="84" t="n"/>
      <c r="I1" s="84" t="n"/>
      <c r="J1" s="84" t="n"/>
      <c r="K1" s="84" t="n"/>
      <c r="L1" s="84" t="n"/>
      <c r="M1" s="84" t="n"/>
      <c r="N1" s="84" t="n"/>
      <c r="O1" s="84" t="n"/>
      <c r="P1" s="84" t="n"/>
      <c r="Q1" s="84" t="n"/>
      <c r="R1" s="84" t="n"/>
      <c r="S1" s="84"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5"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IF(COUNTIFS('Administración'!$D$5:$D$1000,"Asistente Técnico de Riesgo",'Administración'!$S$5:$S$1000,MesCiclo,'Administración'!$V$5:$V$1000,"Macro")=0,"Sin actividades delegadas por la jefatura este mes","★ La jefatura le delegó "&amp;COUNTIFS('Administración'!$D$5:$D$1000,"Asistente Técnico de Riesgo",'Administración'!$S$5:$S$1000,MesCiclo,'Administración'!$V$5:$V$1000,"Macro")&amp;" actividad(es) este mes · "&amp;(COUNTIFS('Administración'!$D$5:$D$1000,"Asistente Técnico de Riesgo",'Administración'!$S$5:$S$1000,MesCiclo,'Administración'!$V$5:$V$1000,"Macro")-COUNTIFS('Administración'!$D$5:$D$1000,"Asistente Técnico de Riesgo",'Administración'!$S$5:$S$1000,MesCiclo,'Administración'!$V$5:$V$1000,"Macro",'Administración'!$AM$5:$AM$1000,"&gt;0"))&amp;" pendiente(s) de agregar (elíjalas en la lista de «Actividad»). Cuentan en su avance del mes.")</f>
        <v/>
      </c>
      <c r="R3" s="45" t="n"/>
      <c r="S3" s="45" t="n"/>
    </row>
    <row r="4" ht="42" customHeight="1">
      <c r="A4" s="54" t="inlineStr">
        <is>
          <t>N°</t>
        </is>
      </c>
      <c r="B4" s="7" t="inlineStr">
        <is>
          <t>Tipo</t>
        </is>
      </c>
      <c r="C4" s="7" t="inlineStr">
        <is>
          <t>Actividad</t>
        </is>
      </c>
      <c r="D4" s="7" t="inlineStr">
        <is>
          <t>Delegar a</t>
        </is>
      </c>
      <c r="E4" s="7" t="inlineStr">
        <is>
          <t>Fecha de inicio</t>
        </is>
      </c>
      <c r="F4" s="7" t="inlineStr">
        <is>
          <t>Fecha límite</t>
        </is>
      </c>
      <c r="G4" s="7" t="inlineStr">
        <is>
          <t>Fecha de cumplimiento</t>
        </is>
      </c>
      <c r="H4" s="7" t="inlineStr">
        <is>
          <t>Peso / % de la subactividad</t>
        </is>
      </c>
      <c r="I4" s="7" t="inlineStr">
        <is>
          <t>Avance Semana 1 (%)</t>
        </is>
      </c>
      <c r="J4" s="7" t="inlineStr">
        <is>
          <t>Avance Semana 2 (%)</t>
        </is>
      </c>
      <c r="K4" s="7" t="inlineStr">
        <is>
          <t>Avance Semana 3 (%)</t>
        </is>
      </c>
      <c r="L4" s="7" t="inlineStr">
        <is>
          <t>Avance Semana 4 (%)</t>
        </is>
      </c>
      <c r="M4" s="54" t="inlineStr">
        <is>
          <t>% de Avance Total Actual</t>
        </is>
      </c>
      <c r="N4" s="54" t="inlineStr">
        <is>
          <t>Estado</t>
        </is>
      </c>
      <c r="O4" s="54" t="inlineStr">
        <is>
          <t>Alerta de plazo</t>
        </is>
      </c>
      <c r="P4" s="54" t="inlineStr">
        <is>
          <t>Seguimiento de la delegación</t>
        </is>
      </c>
      <c r="Q4" s="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",IFERROR(MATCH("Asistente Técnico de Riesgo|"&amp;MID($C5,12,500),rDname_ADM,0),0),"")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",IFERROR(MATCH("Asistente Técnico de Riesgo|"&amp;MID($C6,12,500),rDname_ADM,0),0),"")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",IFERROR(MATCH("Asistente Técnico de Riesgo|"&amp;MID($C7,12,500),rDname_ADM,0),0),"")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",IFERROR(MATCH("Asistente Técnico de Riesgo|"&amp;MID($C8,12,500),rDname_ADM,0),0),"")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",IFERROR(MATCH("Asistente Técnico de Riesgo|"&amp;MID($C9,12,500),rDname_ADM,0),0),"")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",IFERROR(MATCH("Asistente Técnico de Riesgo|"&amp;MID($C10,12,500),rDname_ADM,0),0),"")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",IFERROR(MATCH("Asistente Técnico de Riesgo|"&amp;MID($C11,12,500),rDname_ADM,0),0),"")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",IFERROR(MATCH("Asistente Técnico de Riesgo|"&amp;MID($C12,12,500),rDname_ADM,0),0),"")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",IFERROR(MATCH("Asistente Técnico de Riesgo|"&amp;MID($C13,12,500),rDname_ADM,0),0),"")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",IFERROR(MATCH("Asistente Técnico de Riesgo|"&amp;MID($C14,12,500),rDname_ADM,0),0),"")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",IFERROR(MATCH("Asistente Técnico de Riesgo|"&amp;MID($C15,12,500),rDname_ADM,0),0),"")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",IFERROR(MATCH("Asistente Técnico de Riesgo|"&amp;MID($C16,12,500),rDname_ADM,0),0),"")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",IFERROR(MATCH("Asistente Técnico de Riesgo|"&amp;MID($C17,12,500),rDname_ADM,0),0),"")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",IFERROR(MATCH("Asistente Técnico de Riesgo|"&amp;MID($C18,12,500),rDname_ADM,0),0),"")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",IFERROR(MATCH("Asistente Técnico de Riesgo|"&amp;MID($C19,12,500),rDname_ADM,0),0),"")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",IFERROR(MATCH("Asistente Técnico de Riesgo|"&amp;MID($C20,12,500),rDname_ADM,0),0),"")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",IFERROR(MATCH("Asistente Técnico de Riesgo|"&amp;MID($C21,12,500),rDname_ADM,0),0),"")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",IFERROR(MATCH("Asistente Técnico de Riesgo|"&amp;MID($C22,12,500),rDname_ADM,0),0),"")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",IFERROR(MATCH("Asistente Técnico de Riesgo|"&amp;MID($C23,12,500),rDname_ADM,0),0),"")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",IFERROR(MATCH("Asistente Técnico de Riesgo|"&amp;MID($C24,12,500),rDname_ADM,0),0),"")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",IFERROR(MATCH("Asistente Técnico de Riesgo|"&amp;MID($C25,12,500),rDname_ADM,0),0),"")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",IFERROR(MATCH("Asistente Técnico de Riesgo|"&amp;MID($C26,12,500),rDname_ADM,0),0),"")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",IFERROR(MATCH("Asistente Técnico de Riesgo|"&amp;MID($C27,12,500),rDname_ADM,0),0),"")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",IFERROR(MATCH("Asistente Técnico de Riesgo|"&amp;MID($C28,12,500),rDname_ADM,0),0),"")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",IFERROR(MATCH("Asistente Técnico de Riesgo|"&amp;MID($C29,12,500),rDname_ADM,0),0),"")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",IFERROR(MATCH("Asistente Técnico de Riesgo|"&amp;MID($C30,12,500),rDname_ADM,0),0),"")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",IFERROR(MATCH("Asistente Técnico de Riesgo|"&amp;MID($C31,12,500),rDname_ADM,0),0),"")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",IFERROR(MATCH("Asistente Técnico de Riesgo|"&amp;MID($C32,12,500),rDname_ADM,0),0),"")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",IFERROR(MATCH("Asistente Técnico de Riesgo|"&amp;MID($C33,12,500),rDname_ADM,0),0),"")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",IFERROR(MATCH("Asistente Técnico de Riesgo|"&amp;MID($C34,12,500),rDname_ADM,0),0),"")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",IFERROR(MATCH("Asistente Técnico de Riesgo|"&amp;MID($C35,12,500),rDname_ADM,0),0),"")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",IFERROR(MATCH("Asistente Técnico de Riesgo|"&amp;MID($C36,12,500),rDname_ADM,0),0),"")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",IFERROR(MATCH("Asistente Técnico de Riesgo|"&amp;MID($C37,12,500),rDname_ADM,0),0),"")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",IFERROR(MATCH("Asistente Técnico de Riesgo|"&amp;MID($C38,12,500),rDname_ADM,0),0),"")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",IFERROR(MATCH("Asistente Técnico de Riesgo|"&amp;MID($C39,12,500),rDname_ADM,0),0),"")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",IFERROR(MATCH("Asistente Técnico de Riesgo|"&amp;MID($C40,12,500),rDname_ADM,0),0),"")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",IFERROR(MATCH("Asistente Técnico de Riesgo|"&amp;MID($C41,12,500),rDname_ADM,0),0),"")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",IFERROR(MATCH("Asistente Técnico de Riesgo|"&amp;MID($C42,12,500),rDname_ADM,0),0),"")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",IFERROR(MATCH("Asistente Técnico de Riesgo|"&amp;MID($C43,12,500),rDname_ADM,0),0),"")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",IFERROR(MATCH("Asistente Técnico de Riesgo|"&amp;MID($C44,12,500),rDname_ADM,0),0),"")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",IFERROR(MATCH("Asistente Técnico de Riesgo|"&amp;MID($C45,12,500),rDname_ADM,0),0),"")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",IFERROR(MATCH("Asistente Técnico de Riesgo|"&amp;MID($C46,12,500),rDname_ADM,0),0),"")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",IFERROR(MATCH("Asistente Técnico de Riesgo|"&amp;MID($C47,12,500),rDname_ADM,0),0),"")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",IFERROR(MATCH("Asistente Técnico de Riesgo|"&amp;MID($C48,12,500),rDname_ADM,0),0),"")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",IFERROR(MATCH("Asistente Técnico de Riesgo|"&amp;MID($C49,12,500),rDname_ADM,0),0),"")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",IFERROR(MATCH("Asistente Técnico de Riesgo|"&amp;MID($C50,12,500),rDname_ADM,0),0),"")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",IFERROR(MATCH("Asistente Técnico de Riesgo|"&amp;MID($C51,12,500),rDname_ADM,0),0),"")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",IFERROR(MATCH("Asistente Técnico de Riesgo|"&amp;MID($C52,12,500),rDname_ADM,0),0),"")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",IFERROR(MATCH("Asistente Técnico de Riesgo|"&amp;MID($C53,12,500),rDname_ADM,0),0),"")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",IFERROR(MATCH("Asistente Técnico de Riesgo|"&amp;MID($C54,12,500),rDname_ADM,0),0),"")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",IFERROR(MATCH("Asistente Técnico de Riesgo|"&amp;MID($C55,12,500),rDname_ADM,0),0),"")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",IFERROR(MATCH("Asistente Técnico de Riesgo|"&amp;MID($C56,12,500),rDname_ADM,0),0),"")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",IFERROR(MATCH("Asistente Técnico de Riesgo|"&amp;MID($C57,12,500),rDname_ADM,0),0),"")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",IFERROR(MATCH("Asistente Técnico de Riesgo|"&amp;MID($C58,12,500),rDname_ADM,0),0),"")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",IFERROR(MATCH("Asistente Técnico de Riesgo|"&amp;MID($C59,12,500),rDname_ADM,0),0),"")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",IFERROR(MATCH("Asistente Técnico de Riesgo|"&amp;MID($C60,12,500),rDname_ADM,0),0),"")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",IFERROR(MATCH("Asistente Técnico de Riesgo|"&amp;MID($C61,12,500),rDname_ADM,0),0),"")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",IFERROR(MATCH("Asistente Técnico de Riesgo|"&amp;MID($C62,12,500),rDname_ADM,0),0),"")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",IFERROR(MATCH("Asistente Técnico de Riesgo|"&amp;MID($C63,12,500),rDname_ADM,0),0),"")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",IFERROR(MATCH("Asistente Técnico de Riesgo|"&amp;MID($C64,12,500),rDname_ADM,0),0),"")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",IFERROR(MATCH("Asistente Técnico de Riesgo|"&amp;MID($C65,12,500),rDname_ADM,0),0),"")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",IFERROR(MATCH("Asistente Técnico de Riesgo|"&amp;MID($C66,12,500),rDname_ADM,0),0),"")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",IFERROR(MATCH("Asistente Técnico de Riesgo|"&amp;MID($C67,12,500),rDname_ADM,0),0),"")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",IFERROR(MATCH("Asistente Técnico de Riesgo|"&amp;MID($C68,12,500),rDname_ADM,0),0),"")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",IFERROR(MATCH("Asistente Técnico de Riesgo|"&amp;MID($C69,12,500),rDname_ADM,0),0),"")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",IFERROR(MATCH("Asistente Técnico de Riesgo|"&amp;MID($C70,12,500),rDname_ADM,0),0),"")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",IFERROR(MATCH("Asistente Técnico de Riesgo|"&amp;MID($C71,12,500),rDname_ADM,0),0),"")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",IFERROR(MATCH("Asistente Técnico de Riesgo|"&amp;MID($C72,12,500),rDname_ADM,0),0),"")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",IFERROR(MATCH("Asistente Técnico de Riesgo|"&amp;MID($C73,12,500),rDname_ADM,0),0),"")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",IFERROR(MATCH("Asistente Técnico de Riesgo|"&amp;MID($C74,12,500),rDname_ADM,0),0),"")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",IFERROR(MATCH("Asistente Técnico de Riesgo|"&amp;MID($C75,12,500),rDname_ADM,0),0),"")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",IFERROR(MATCH("Asistente Técnico de Riesgo|"&amp;MID($C76,12,500),rDname_ADM,0),0),"")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",IFERROR(MATCH("Asistente Técnico de Riesgo|"&amp;MID($C77,12,500),rDname_ADM,0),0),"")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",IFERROR(MATCH("Asistente Técnico de Riesgo|"&amp;MID($C78,12,500),rDname_ADM,0),0),"")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",IFERROR(MATCH("Asistente Técnico de Riesgo|"&amp;MID($C79,12,500),rDname_ADM,0),0),"")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",IFERROR(MATCH("Asistente Técnico de Riesgo|"&amp;MID($C80,12,500),rDname_ADM,0),0),"")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",IFERROR(MATCH("Asistente Técnico de Riesgo|"&amp;MID($C81,12,500),rDname_ADM,0),0),"")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",IFERROR(MATCH("Asistente Técnico de Riesgo|"&amp;MID($C82,12,500),rDname_ADM,0),0),"")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",IFERROR(MATCH("Asistente Técnico de Riesgo|"&amp;MID($C83,12,500),rDname_ADM,0),0),"")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",IFERROR(MATCH("Asistente Técnico de Riesgo|"&amp;MID($C84,12,500),rDname_ADM,0),0),"")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",IFERROR(MATCH("Asistente Técnico de Riesgo|"&amp;MID($C85,12,500),rDname_ADM,0),0),"")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",IFERROR(MATCH("Asistente Técnico de Riesgo|"&amp;MID($C86,12,500),rDname_ADM,0),0),"")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",IFERROR(MATCH("Asistente Técnico de Riesgo|"&amp;MID($C87,12,500),rDname_ADM,0),0),"")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",IFERROR(MATCH("Asistente Técnico de Riesgo|"&amp;MID($C88,12,500),rDname_ADM,0),0),"")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",IFERROR(MATCH("Asistente Técnico de Riesgo|"&amp;MID($C89,12,500),rDname_ADM,0),0),"")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",IFERROR(MATCH("Asistente Técnico de Riesgo|"&amp;MID($C90,12,500),rDname_ADM,0),0),"")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",IFERROR(MATCH("Asistente Técnico de Riesgo|"&amp;MID($C91,12,500),rDname_ADM,0),0),"")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",IFERROR(MATCH("Asistente Técnico de Riesgo|"&amp;MID($C92,12,500),rDname_ADM,0),0),"")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",IFERROR(MATCH("Asistente Técnico de Riesgo|"&amp;MID($C93,12,500),rDname_ADM,0),0),"")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",IFERROR(MATCH("Asistente Técnico de Riesgo|"&amp;MID($C94,12,500),rDname_ADM,0),0),"")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",IFERROR(MATCH("Asistente Técnico de Riesgo|"&amp;MID($C95,12,500),rDname_ADM,0),0),"")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",IFERROR(MATCH("Asistente Técnico de Riesgo|"&amp;MID($C96,12,500),rDname_ADM,0),0),"")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",IFERROR(MATCH("Asistente Técnico de Riesgo|"&amp;MID($C97,12,500),rDname_ADM,0),0),"")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",IFERROR(MATCH("Asistente Técnico de Riesgo|"&amp;MID($C98,12,500),rDname_ADM,0),0),"")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",IFERROR(MATCH("Asistente Técnico de Riesgo|"&amp;MID($C99,12,500),rDname_ADM,0),0),"")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",IFERROR(MATCH("Asistente Técnico de Riesgo|"&amp;MID($C100,12,500),rDname_ADM,0),0),"")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",IFERROR(MATCH("Asistente Técnico de Riesgo|"&amp;MID($C101,12,500),rDname_ADM,0),0),"")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",IFERROR(MATCH("Asistente Técnico de Riesgo|"&amp;MID($C102,12,500),rDname_ADM,0),0),"")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",IFERROR(MATCH("Asistente Técnico de Riesgo|"&amp;MID($C103,12,500),rDname_ADM,0),0),"")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",IFERROR(MATCH("Asistente Técnico de Riesgo|"&amp;MID($C104,12,500),rDname_ADM,0),0),"")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",IFERROR(MATCH("Asistente Técnico de Riesgo|"&amp;MID($C105,12,500),rDname_ADM,0),0),"")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",IFERROR(MATCH("Asistente Técnico de Riesgo|"&amp;MID($C106,12,500),rDname_ADM,0),0),"")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",IFERROR(MATCH("Asistente Técnico de Riesgo|"&amp;MID($C107,12,500),rDname_ADM,0),0),"")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",IFERROR(MATCH("Asistente Técnico de Riesgo|"&amp;MID($C108,12,500),rDname_ADM,0),0),"")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",IFERROR(MATCH("Asistente Técnico de Riesgo|"&amp;MID($C109,12,500),rDname_ADM,0),0),"")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",IFERROR(MATCH("Asistente Técnico de Riesgo|"&amp;MID($C110,12,500),rDname_ADM,0),0),"")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",IFERROR(MATCH("Asistente Técnico de Riesgo|"&amp;MID($C111,12,500),rDname_ADM,0),0),"")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",IFERROR(MATCH("Asistente Técnico de Riesgo|"&amp;MID($C112,12,500),rDname_ADM,0),0),"")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",IFERROR(MATCH("Asistente Técnico de Riesgo|"&amp;MID($C113,12,500),rDname_ADM,0),0),"")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",IFERROR(MATCH("Asistente Técnico de Riesgo|"&amp;MID($C114,12,500),rDname_ADM,0),0),"")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",IFERROR(MATCH("Asistente Técnico de Riesgo|"&amp;MID($C115,12,500),rDname_ADM,0),0),"")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",IFERROR(MATCH("Asistente Técnico de Riesgo|"&amp;MID($C116,12,500),rDname_ADM,0),0),"")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",IFERROR(MATCH("Asistente Técnico de Riesgo|"&amp;MID($C117,12,500),rDname_ADM,0),0),"")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",IFERROR(MATCH("Asistente Técnico de Riesgo|"&amp;MID($C118,12,500),rDname_ADM,0),0),"")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",IFERROR(MATCH("Asistente Técnico de Riesgo|"&amp;MID($C119,12,500),rDname_ADM,0),0),"")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",IFERROR(MATCH("Asistente Técnico de Riesgo|"&amp;MID($C120,12,500),rDname_ADM,0),0),"")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",IFERROR(MATCH("Asistente Técnico de Riesgo|"&amp;MID($C121,12,500),rDname_ADM,0),0),"")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",IFERROR(MATCH("Asistente Técnico de Riesgo|"&amp;MID($C122,12,500),rDname_ADM,0),0),"")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",IFERROR(MATCH("Asistente Técnico de Riesgo|"&amp;MID($C123,12,500),rDname_ADM,0),0),"")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",IFERROR(MATCH("Asistente Técnico de Riesgo|"&amp;MID($C124,12,500),rDname_ADM,0),0),"")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",IFERROR(MATCH("Asistente Técnico de Riesgo|"&amp;MID($C125,12,500),rDname_ADM,0),0),"")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",IFERROR(MATCH("Asistente Técnico de Riesgo|"&amp;MID($C126,12,500),rDname_ADM,0),0),"")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",IFERROR(MATCH("Asistente Técnico de Riesgo|"&amp;MID($C127,12,500),rDname_ADM,0),0),"")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",IFERROR(MATCH("Asistente Técnico de Riesgo|"&amp;MID($C128,12,500),rDname_ADM,0),0),"")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",IFERROR(MATCH("Asistente Técnico de Riesgo|"&amp;MID($C129,12,500),rDname_ADM,0),0),"")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",IFERROR(MATCH("Asistente Técnico de Riesgo|"&amp;MID($C130,12,500),rDname_ADM,0),0),"")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",IFERROR(MATCH("Asistente Técnico de Riesgo|"&amp;MID($C131,12,500),rDname_ADM,0),0),"")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",IFERROR(MATCH("Asistente Técnico de Riesgo|"&amp;MID($C132,12,500),rDname_ADM,0),0),"")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",IFERROR(MATCH("Asistente Técnico de Riesgo|"&amp;MID($C133,12,500),rDname_ADM,0),0),"")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",IFERROR(MATCH("Asistente Técnico de Riesgo|"&amp;MID($C134,12,500),rDname_ADM,0),0),"")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",IFERROR(MATCH("Asistente Técnico de Riesgo|"&amp;MID($C135,12,500),rDname_ADM,0),0),"")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",IFERROR(MATCH("Asistente Técnico de Riesgo|"&amp;MID($C136,12,500),rDname_ADM,0),0),"")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",IFERROR(MATCH("Asistente Técnico de Riesgo|"&amp;MID($C137,12,500),rDname_ADM,0),0),"")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",IFERROR(MATCH("Asistente Técnico de Riesgo|"&amp;MID($C138,12,500),rDname_ADM,0),0),"")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",IFERROR(MATCH("Asistente Técnico de Riesgo|"&amp;MID($C139,12,500),rDname_ADM,0),0),"")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",IFERROR(MATCH("Asistente Técnico de Riesgo|"&amp;MID($C140,12,500),rDname_ADM,0),0),"")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",IFERROR(MATCH("Asistente Técnico de Riesgo|"&amp;MID($C141,12,500),rDname_ADM,0),0),"")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",IFERROR(MATCH("Asistente Técnico de Riesgo|"&amp;MID($C142,12,500),rDname_ADM,0),0),"")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",IFERROR(MATCH("Asistente Técnico de Riesgo|"&amp;MID($C143,12,500),rDname_ADM,0),0),"")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",IFERROR(MATCH("Asistente Técnico de Riesgo|"&amp;MID($C144,12,500),rDname_ADM,0),0),"")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",IFERROR(MATCH("Asistente Técnico de Riesgo|"&amp;MID($C145,12,500),rDname_ADM,0),0),"")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",IFERROR(MATCH("Asistente Técnico de Riesgo|"&amp;MID($C146,12,500),rDname_ADM,0),0),"")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",IFERROR(MATCH("Asistente Técnico de Riesgo|"&amp;MID($C147,12,500),rDname_ADM,0),0),"")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",IFERROR(MATCH("Asistente Técnico de Riesgo|"&amp;MID($C148,12,500),rDname_ADM,0),0),"")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",IFERROR(MATCH("Asistente Técnico de Riesgo|"&amp;MID($C149,12,500),rDname_ADM,0),0),"")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",IFERROR(MATCH("Asistente Técnico de Riesgo|"&amp;MID($C150,12,500),rDname_ADM,0),0),"")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",IFERROR(MATCH("Asistente Técnico de Riesgo|"&amp;MID($C151,12,500),rDname_ADM,0),0),"")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",IFERROR(MATCH("Asistente Técnico de Riesgo|"&amp;MID($C152,12,500),rDname_ADM,0),0),"")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",IFERROR(MATCH("Asistente Técnico de Riesgo|"&amp;MID($C153,12,500),rDname_ADM,0),0),"")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",IFERROR(MATCH("Asistente Técnico de Riesgo|"&amp;MID($C154,12,500),rDname_ADM,0),0),"")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",IFERROR(MATCH("Asistente Técnico de Riesgo|"&amp;MID($C155,12,500),rDname_ADM,0),0),"")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",IFERROR(MATCH("Asistente Técnico de Riesgo|"&amp;MID($C156,12,500),rDname_ADM,0),0),"")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",IFERROR(MATCH("Asistente Técnico de Riesgo|"&amp;MID($C157,12,500),rDname_ADM,0),0),"")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",IFERROR(MATCH("Asistente Técnico de Riesgo|"&amp;MID($C158,12,500),rDname_ADM,0),0),"")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",IFERROR(MATCH("Asistente Técnico de Riesgo|"&amp;MID($C159,12,500),rDname_ADM,0),0),"")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",IFERROR(MATCH("Asistente Técnico de Riesgo|"&amp;MID($C160,12,500),rDname_ADM,0),0),"")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",IFERROR(MATCH("Asistente Técnico de Riesgo|"&amp;MID($C161,12,500),rDname_ADM,0),0),"")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",IFERROR(MATCH("Asistente Técnico de Riesgo|"&amp;MID($C162,12,500),rDname_ADM,0),0),"")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",IFERROR(MATCH("Asistente Técnico de Riesgo|"&amp;MID($C163,12,500),rDname_ADM,0),0),"")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",IFERROR(MATCH("Asistente Técnico de Riesgo|"&amp;MID($C164,12,500),rDname_ADM,0),0),"")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",IFERROR(MATCH("Asistente Técnico de Riesgo|"&amp;MID($C165,12,500),rDname_ADM,0),0),"")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",IFERROR(MATCH("Asistente Técnico de Riesgo|"&amp;MID($C166,12,500),rDname_ADM,0),0),"")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",IFERROR(MATCH("Asistente Técnico de Riesgo|"&amp;MID($C167,12,500),rDname_ADM,0),0),"")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",IFERROR(MATCH("Asistente Técnico de Riesgo|"&amp;MID($C168,12,500),rDname_ADM,0),0),"")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",IFERROR(MATCH("Asistente Técnico de Riesgo|"&amp;MID($C169,12,500),rDname_ADM,0),0),"")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",IFERROR(MATCH("Asistente Técnico de Riesgo|"&amp;MID($C170,12,500),rDname_ADM,0),0),"")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",IFERROR(MATCH("Asistente Técnico de Riesgo|"&amp;MID($C171,12,500),rDname_ADM,0),0),"")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",IFERROR(MATCH("Asistente Técnico de Riesgo|"&amp;MID($C172,12,500),rDname_ADM,0),0),"")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",IFERROR(MATCH("Asistente Técnico de Riesgo|"&amp;MID($C173,12,500),rDname_ADM,0),0),"")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",IFERROR(MATCH("Asistente Técnico de Riesgo|"&amp;MID($C174,12,500),rDname_ADM,0),0),"")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",IFERROR(MATCH("Asistente Técnico de Riesgo|"&amp;MID($C175,12,500),rDname_ADM,0),0),"")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",IFERROR(MATCH("Asistente Técnico de Riesgo|"&amp;MID($C176,12,500),rDname_ADM,0),0),"")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",IFERROR(MATCH("Asistente Técnico de Riesgo|"&amp;MID($C177,12,500),rDname_ADM,0),0),"")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",IFERROR(MATCH("Asistente Técnico de Riesgo|"&amp;MID($C178,12,500),rDname_ADM,0),0),"")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",IFERROR(MATCH("Asistente Técnico de Riesgo|"&amp;MID($C179,12,500),rDname_ADM,0),0),"")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",IFERROR(MATCH("Asistente Técnico de Riesgo|"&amp;MID($C180,12,500),rDname_ADM,0),0),"")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",IFERROR(MATCH("Asistente Técnico de Riesgo|"&amp;MID($C181,12,500),rDname_ADM,0),0),"")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",IFERROR(MATCH("Asistente Técnico de Riesgo|"&amp;MID($C182,12,500),rDname_ADM,0),0),"")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",IFERROR(MATCH("Asistente Técnico de Riesgo|"&amp;MID($C183,12,500),rDname_ADM,0),0),"")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",IFERROR(MATCH("Asistente Técnico de Riesgo|"&amp;MID($C184,12,500),rDname_ADM,0),0),"")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",IFERROR(MATCH("Asistente Técnico de Riesgo|"&amp;MID($C185,12,500),rDname_ADM,0),0),"")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",IFERROR(MATCH("Asistente Técnico de Riesgo|"&amp;MID($C186,12,500),rDname_ADM,0),0),"")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",IFERROR(MATCH("Asistente Técnico de Riesgo|"&amp;MID($C187,12,500),rDname_ADM,0),0),"")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",IFERROR(MATCH("Asistente Técnico de Riesgo|"&amp;MID($C188,12,500),rDname_ADM,0),0),"")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",IFERROR(MATCH("Asistente Técnico de Riesgo|"&amp;MID($C189,12,500),rDname_ADM,0),0),"")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",IFERROR(MATCH("Asistente Técnico de Riesgo|"&amp;MID($C190,12,500),rDname_ADM,0),0),"")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",IFERROR(MATCH("Asistente Técnico de Riesgo|"&amp;MID($C191,12,500),rDname_ADM,0),0),"")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",IFERROR(MATCH("Asistente Técnico de Riesgo|"&amp;MID($C192,12,500),rDname_ADM,0),0),"")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",IFERROR(MATCH("Asistente Técnico de Riesgo|"&amp;MID($C193,12,500),rDname_ADM,0),0),"")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",IFERROR(MATCH("Asistente Técnico de Riesgo|"&amp;MID($C194,12,500),rDname_ADM,0),0),"")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",IFERROR(MATCH("Asistente Técnico de Riesgo|"&amp;MID($C195,12,500),rDname_ADM,0),0),"")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",IFERROR(MATCH("Asistente Técnico de Riesgo|"&amp;MID($C196,12,500),rDname_ADM,0),0),"")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",IFERROR(MATCH("Asistente Técnico de Riesgo|"&amp;MID($C197,12,500),rDname_ADM,0),0),"")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",IFERROR(MATCH("Asistente Técnico de Riesgo|"&amp;MID($C198,12,500),rDname_ADM,0),0),"")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",IFERROR(MATCH("Asistente Técnico de Riesgo|"&amp;MID($C199,12,500),rDname_ADM,0),0),"")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",IFERROR(MATCH("Asistente Técnico de Riesgo|"&amp;MID($C200,12,500),rDname_ADM,0),0),"")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",IFERROR(MATCH("Asistente Técnico de Riesgo|"&amp;MID($C201,12,500),rDname_ADM,0),0),"")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",IFERROR(MATCH("Asistente Técnico de Riesgo|"&amp;MID($C202,12,500),rDname_ADM,0),0),"")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",IFERROR(MATCH("Asistente Técnico de Riesgo|"&amp;MID($C203,12,500),rDname_ADM,0),0),"")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",IFERROR(MATCH("Asistente Técnico de Riesgo|"&amp;MID($C204,12,500),rDname_ADM,0),0),"")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",IFERROR(MATCH("Asistente Técnico de Riesgo|"&amp;MID($C205,12,500),rDname_ADM,0),0),"")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",IFERROR(MATCH("Asistente Técnico de Riesgo|"&amp;MID($C206,12,500),rDname_ADM,0),0),"")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",IFERROR(MATCH("Asistente Técnico de Riesgo|"&amp;MID($C207,12,500),rDname_ADM,0),0),"")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",IFERROR(MATCH("Asistente Técnico de Riesgo|"&amp;MID($C208,12,500),rDname_ADM,0),0),"")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",IFERROR(MATCH("Asistente Técnico de Riesgo|"&amp;MID($C209,12,500),rDname_ADM,0),0),"")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",IFERROR(MATCH("Asistente Técnico de Riesgo|"&amp;MID($C210,12,500),rDname_ADM,0),0),"")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",IFERROR(MATCH("Asistente Técnico de Riesgo|"&amp;MID($C211,12,500),rDname_ADM,0),0),"")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",IFERROR(MATCH("Asistente Técnico de Riesgo|"&amp;MID($C212,12,500),rDname_ADM,0),0),"")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",IFERROR(MATCH("Asistente Técnico de Riesgo|"&amp;MID($C213,12,500),rDname_ADM,0),0),"")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",IFERROR(MATCH("Asistente Técnico de Riesgo|"&amp;MID($C214,12,500),rDname_ADM,0),0),"")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",IFERROR(MATCH("Asistente Técnico de Riesgo|"&amp;MID($C215,12,500),rDname_ADM,0),0),"")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",IFERROR(MATCH("Asistente Técnico de Riesgo|"&amp;MID($C216,12,500),rDname_ADM,0),0),"")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",IFERROR(MATCH("Asistente Técnico de Riesgo|"&amp;MID($C217,12,500),rDname_ADM,0),0),"")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",IFERROR(MATCH("Asistente Técnico de Riesgo|"&amp;MID($C218,12,500),rDname_ADM,0),0),"")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",IFERROR(MATCH("Asistente Técnico de Riesgo|"&amp;MID($C219,12,500),rDname_ADM,0),0),"")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",IFERROR(MATCH("Asistente Técnico de Riesgo|"&amp;MID($C220,12,500),rDname_ADM,0),0),"")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",IFERROR(MATCH("Asistente Técnico de Riesgo|"&amp;MID($C221,12,500),rDname_ADM,0),0),"")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",IFERROR(MATCH("Asistente Técnico de Riesgo|"&amp;MID($C222,12,500),rDname_ADM,0),0),"")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",IFERROR(MATCH("Asistente Técnico de Riesgo|"&amp;MID($C223,12,500),rDname_ADM,0),0),"")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",IFERROR(MATCH("Asistente Técnico de Riesgo|"&amp;MID($C224,12,500),rDname_ADM,0),0),"")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",IFERROR(MATCH("Asistente Técnico de Riesgo|"&amp;MID($C225,12,500),rDname_ADM,0),0),"")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",IFERROR(MATCH("Asistente Técnico de Riesgo|"&amp;MID($C226,12,500),rDname_ADM,0),0),"")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",IFERROR(MATCH("Asistente Técnico de Riesgo|"&amp;MID($C227,12,500),rDname_ADM,0),0),"")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",IFERROR(MATCH("Asistente Técnico de Riesgo|"&amp;MID($C228,12,500),rDname_ADM,0),0),"")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",IFERROR(MATCH("Asistente Técnico de Riesgo|"&amp;MID($C229,12,500),rDname_ADM,0),0),"")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",IFERROR(MATCH("Asistente Técnico de Riesgo|"&amp;MID($C230,12,500),rDname_ADM,0),0),"")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",IFERROR(MATCH("Asistente Técnico de Riesgo|"&amp;MID($C231,12,500),rDname_ADM,0),0),"")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",IFERROR(MATCH("Asistente Técnico de Riesgo|"&amp;MID($C232,12,500),rDname_ADM,0),0),"")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",IFERROR(MATCH("Asistente Técnico de Riesgo|"&amp;MID($C233,12,500),rDname_ADM,0),0),"")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",IFERROR(MATCH("Asistente Técnico de Riesgo|"&amp;MID($C234,12,500),rDname_ADM,0),0),"")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",IFERROR(MATCH("Asistente Técnico de Riesgo|"&amp;MID($C235,12,500),rDname_ADM,0),0),"")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",IFERROR(MATCH("Asistente Técnico de Riesgo|"&amp;MID($C236,12,500),rDname_ADM,0),0),"")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",IFERROR(MATCH("Asistente Técnico de Riesgo|"&amp;MID($C237,12,500),rDname_ADM,0),0),"")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",IFERROR(MATCH("Asistente Técnico de Riesgo|"&amp;MID($C238,12,500),rDname_ADM,0),0),"")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",IFERROR(MATCH("Asistente Técnico de Riesgo|"&amp;MID($C239,12,500),rDname_ADM,0),0),"")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",IFERROR(MATCH("Asistente Técnico de Riesgo|"&amp;MID($C240,12,500),rDname_ADM,0),0),"")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",IFERROR(MATCH("Asistente Técnico de Riesgo|"&amp;MID($C241,12,500),rDname_ADM,0),0),"")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",IFERROR(MATCH("Asistente Técnico de Riesgo|"&amp;MID($C242,12,500),rDname_ADM,0),0),"")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",IFERROR(MATCH("Asistente Técnico de Riesgo|"&amp;MID($C243,12,500),rDname_ADM,0),0),"")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",IFERROR(MATCH("Asistente Técnico de Riesgo|"&amp;MID($C244,12,500),rDname_ADM,0),0),"")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",IFERROR(MATCH("Asistente Técnico de Riesgo|"&amp;MID($C245,12,500),rDname_ADM,0),0),"")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",IFERROR(MATCH("Asistente Técnico de Riesgo|"&amp;MID($C246,12,500),rDname_ADM,0),0),"")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",IFERROR(MATCH("Asistente Técnico de Riesgo|"&amp;MID($C247,12,500),rDname_ADM,0),0),"")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",IFERROR(MATCH("Asistente Técnico de Riesgo|"&amp;MID($C248,12,500),rDname_ADM,0),0),"")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",IFERROR(MATCH("Asistente Técnico de Riesgo|"&amp;MID($C249,12,500),rDname_ADM,0),0),"")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",IFERROR(MATCH("Asistente Técnico de Riesgo|"&amp;MID($C250,12,500),rDname_ADM,0),0),"")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",IFERROR(MATCH("Asistente Técnico de Riesgo|"&amp;MID($C251,12,500),rDname_ADM,0),0),"")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",IFERROR(MATCH("Asistente Técnico de Riesgo|"&amp;MID($C252,12,500),rDname_ADM,0),0),"")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",IFERROR(MATCH("Asistente Técnico de Riesgo|"&amp;MID($C253,12,500),rDname_ADM,0),0),"")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",IFERROR(MATCH("Asistente Técnico de Riesgo|"&amp;MID($C254,12,500),rDname_ADM,0),0),"")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",IFERROR(MATCH("Asistente Técnico de Riesgo|"&amp;MID($C255,12,500),rDname_ADM,0),0),"")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",IFERROR(MATCH("Asistente Técnico de Riesgo|"&amp;MID($C256,12,500),rDname_ADM,0),0),"")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",IFERROR(MATCH("Asistente Técnico de Riesgo|"&amp;MID($C257,12,500),rDname_ADM,0),0),"")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",IFERROR(MATCH("Asistente Técnico de Riesgo|"&amp;MID($C258,12,500),rDname_ADM,0),0),"")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",IFERROR(MATCH("Asistente Técnico de Riesgo|"&amp;MID($C259,12,500),rDname_ADM,0),0),"")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",IFERROR(MATCH("Asistente Técnico de Riesgo|"&amp;MID($C260,12,500),rDname_ADM,0),0),"")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",IFERROR(MATCH("Asistente Técnico de Riesgo|"&amp;MID($C261,12,500),rDname_ADM,0),0),"")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",IFERROR(MATCH("Asistente Técnico de Riesgo|"&amp;MID($C262,12,500),rDname_ADM,0),0),"")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",IFERROR(MATCH("Asistente Técnico de Riesgo|"&amp;MID($C263,12,500),rDname_ADM,0),0),"")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",IFERROR(MATCH("Asistente Técnico de Riesgo|"&amp;MID($C264,12,500),rDname_ADM,0),0),"")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",IFERROR(MATCH("Asistente Técnico de Riesgo|"&amp;MID($C265,12,500),rDname_ADM,0),0),"")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",IFERROR(MATCH("Asistente Técnico de Riesgo|"&amp;MID($C266,12,500),rDname_ADM,0),0),"")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",IFERROR(MATCH("Asistente Técnico de Riesgo|"&amp;MID($C267,12,500),rDname_ADM,0),0),"")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",IFERROR(MATCH("Asistente Técnico de Riesgo|"&amp;MID($C268,12,500),rDname_ADM,0),0),"")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",IFERROR(MATCH("Asistente Técnico de Riesgo|"&amp;MID($C269,12,500),rDname_ADM,0),0),"")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",IFERROR(MATCH("Asistente Técnico de Riesgo|"&amp;MID($C270,12,500),rDname_ADM,0),0),"")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",IFERROR(MATCH("Asistente Técnico de Riesgo|"&amp;MID($C271,12,500),rDname_ADM,0),0),"")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",IFERROR(MATCH("Asistente Técnico de Riesgo|"&amp;MID($C272,12,500),rDname_ADM,0),0),"")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",IFERROR(MATCH("Asistente Técnico de Riesgo|"&amp;MID($C273,12,500),rDname_ADM,0),0),"")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",IFERROR(MATCH("Asistente Técnico de Riesgo|"&amp;MID($C274,12,500),rDname_ADM,0),0),"")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",IFERROR(MATCH("Asistente Técnico de Riesgo|"&amp;MID($C275,12,500),rDname_ADM,0),0),"")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",IFERROR(MATCH("Asistente Técnico de Riesgo|"&amp;MID($C276,12,500),rDname_ADM,0),0),"")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",IFERROR(MATCH("Asistente Técnico de Riesgo|"&amp;MID($C277,12,500),rDname_ADM,0),0),"")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",IFERROR(MATCH("Asistente Técnico de Riesgo|"&amp;MID($C278,12,500),rDname_ADM,0),0),"")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",IFERROR(MATCH("Asistente Técnico de Riesgo|"&amp;MID($C279,12,500),rDname_ADM,0),0),"")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",IFERROR(MATCH("Asistente Técnico de Riesgo|"&amp;MID($C280,12,500),rDname_ADM,0),0),"")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",IFERROR(MATCH("Asistente Técnico de Riesgo|"&amp;MID($C281,12,500),rDname_ADM,0),0),"")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",IFERROR(MATCH("Asistente Técnico de Riesgo|"&amp;MID($C282,12,500),rDname_ADM,0),0),"")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",IFERROR(MATCH("Asistente Técnico de Riesgo|"&amp;MID($C283,12,500),rDname_ADM,0),0),"")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",IFERROR(MATCH("Asistente Técnico de Riesgo|"&amp;MID($C284,12,500),rDname_ADM,0),0),"")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",IFERROR(MATCH("Asistente Técnico de Riesgo|"&amp;MID($C285,12,500),rDname_ADM,0),0),"")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",IFERROR(MATCH("Asistente Técnico de Riesgo|"&amp;MID($C286,12,500),rDname_ADM,0),0),"")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",IFERROR(MATCH("Asistente Técnico de Riesgo|"&amp;MID($C287,12,500),rDname_ADM,0),0),"")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",IFERROR(MATCH("Asistente Técnico de Riesgo|"&amp;MID($C288,12,500),rDname_ADM,0),0),"")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",IFERROR(MATCH("Asistente Técnico de Riesgo|"&amp;MID($C289,12,500),rDname_ADM,0),0),"")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",IFERROR(MATCH("Asistente Técnico de Riesgo|"&amp;MID($C290,12,500),rDname_ADM,0),0),"")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",IFERROR(MATCH("Asistente Técnico de Riesgo|"&amp;MID($C291,12,500),rDname_ADM,0),0),"")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",IFERROR(MATCH("Asistente Técnico de Riesgo|"&amp;MID($C292,12,500),rDname_ADM,0),0),"")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",IFERROR(MATCH("Asistente Técnico de Riesgo|"&amp;MID($C293,12,500),rDname_ADM,0),0),"")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",IFERROR(MATCH("Asistente Técnico de Riesgo|"&amp;MID($C294,12,500),rDname_ADM,0),0),"")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",IFERROR(MATCH("Asistente Técnico de Riesgo|"&amp;MID($C295,12,500),rDname_ADM,0),0),"")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",IFERROR(MATCH("Asistente Técnico de Riesgo|"&amp;MID($C296,12,500),rDname_ADM,0),0),"")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",IFERROR(MATCH("Asistente Técnico de Riesgo|"&amp;MID($C297,12,500),rDname_ADM,0),0),"")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",IFERROR(MATCH("Asistente Técnico de Riesgo|"&amp;MID($C298,12,500),rDname_ADM,0),0),"")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",IFERROR(MATCH("Asistente Técnico de Riesgo|"&amp;MID($C299,12,500),rDname_ADM,0),0),"")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",IFERROR(MATCH("Asistente Técnico de Riesgo|"&amp;MID($C300,12,500),rDname_ADM,0),0),"")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",IFERROR(MATCH("Asistente Técnico de Riesgo|"&amp;MID($C301,12,500),rDname_ADM,0),0),"")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",IFERROR(MATCH("Asistente Técnico de Riesgo|"&amp;MID($C302,12,500),rDname_ADM,0),0),"")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",IFERROR(MATCH("Asistente Técnico de Riesgo|"&amp;MID($C303,12,500),rDname_ADM,0),0),"")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",IFERROR(MATCH("Asistente Técnico de Riesgo|"&amp;MID($C304,12,500),rDname_ADM,0),0),"")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(COUNTIFS('Administración'!$D$5:$D$1000,"Asistente Técnico de Riesgo",'Administración'!$S$5:$S$1000,MesCiclo,'Administración'!$V$5:$V$1000,"Macro")-COUNTIFS('Administración'!$D$5:$D$1000,"Asistente Técnico de Riesgo",'Administración'!$S$5:$S$1000,MesCiclo,'Administración'!$V$5:$V$1000,"Macro",'Administración'!$AM$5:$AM$1000,"&gt;0"))&gt;0</formula>
    </cfRule>
    <cfRule type="expression" priority="5" dxfId="0">
      <formula>COUNTIFS('Administración'!$D$5:$D$1000,"Asistente Técnico de Riesgo",'Administración'!$S$5:$S$1000,MesCiclo,'Administración'!$V$5:$V$1000,"Macro")&gt;0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5">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ListaDeleg_ATR</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002E75B6"/>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4" t="inlineStr">
        <is>
          <t>Actividades del mes por semana – Asistente Técnico de Riesgo</t>
        </is>
      </c>
      <c r="B1" s="84" t="n"/>
      <c r="C1" s="84" t="n"/>
      <c r="D1" s="84" t="n"/>
      <c r="E1" s="84" t="n"/>
      <c r="F1" s="84" t="n"/>
      <c r="G1" s="84" t="n"/>
      <c r="H1" s="84" t="n"/>
      <c r="I1" s="84" t="n"/>
      <c r="J1" s="84" t="n"/>
      <c r="K1" s="84" t="n"/>
      <c r="L1" s="84" t="n"/>
      <c r="M1" s="84" t="n"/>
    </row>
    <row r="2" ht="34" customHeight="1">
      <c r="A2" s="74" t="inlineStr">
        <is>
          <t>HOJA AUTOMÁTICA Y BLOQUEADA: muestra solo las actividades del mes indicado abajo, tomadas de «Cronograma Asistente Técnico».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7" t="inlineStr">
        <is>
          <t>Semana 1</t>
        </is>
      </c>
      <c r="G4" s="7" t="inlineStr">
        <is>
          <t>Semana 2</t>
        </is>
      </c>
      <c r="H4" s="7" t="inlineStr">
        <is>
          <t>Semana 3</t>
        </is>
      </c>
      <c r="I4" s="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Asistente Técnico'!$A$5:$A$1000,$N5))</f>
        <v/>
      </c>
      <c r="B5" s="62">
        <f>IF($N5="","",IF($O5="Sub","      ↳  "&amp;INDEX('Cronograma Asistente Técnico'!$C$5:$C$1000,$N5),INDEX('Cronograma Asistente Técnico'!$C$5:$C$1000,$N5)&amp;""))</f>
        <v/>
      </c>
      <c r="C5" s="79">
        <f>IF($N5="","",IF(INDEX('Cronograma Asistente Técnico'!$AR$5:$AR$1000,$N5)="","",INDEX('Cronograma Asistente Técnico'!$AR$5:$AR$1000,$N5)))</f>
        <v/>
      </c>
      <c r="D5" s="79">
        <f>IF($N5="","",IF(INDEX('Cronograma Asistente Técnico'!$AS$5:$AS$1000,$N5)="","",INDEX('Cronograma Asistente Técnico'!$AS$5:$AS$1000,$N5)))</f>
        <v/>
      </c>
      <c r="E5" s="56">
        <f>IF($N5="","",IF(NOT(ISNUMBER($D5)),"",IF($D5&lt;InicioCiclo,"Antes del ciclo",IF($D5&gt;=InicioCiclo+28,"Después del ciclo","Semana "&amp;(INT(($D5-InicioCiclo)/7)+1)))))</f>
        <v/>
      </c>
      <c r="F5" s="61">
        <f>IF($N5="","",IF($P5&gt;0,IF(1&lt;=SemanaActual,INDEX('Cronograma Asistente Técnico'!$AH$5:$AH$1000,$N5),""),IF(INDEX('Cronograma Asistente Técnico'!$I$5:$I$1000,$N5)="","",INDEX('Cronograma Asistente Técnico'!$I$5:$I$1000,$N5))))</f>
        <v/>
      </c>
      <c r="G5" s="61">
        <f>IF($N5="","",IF($P5&gt;0,IF(2&lt;=SemanaActual,INDEX('Cronograma Asistente Técnico'!$AI$5:$AI$1000,$N5),""),IF(INDEX('Cronograma Asistente Técnico'!$J$5:$J$1000,$N5)="","",INDEX('Cronograma Asistente Técnico'!$J$5:$J$1000,$N5))))</f>
        <v/>
      </c>
      <c r="H5" s="61">
        <f>IF($N5="","",IF($P5&gt;0,IF(3&lt;=SemanaActual,INDEX('Cronograma Asistente Técnico'!$AJ$5:$AJ$1000,$N5),""),IF(INDEX('Cronograma Asistente Técnico'!$K$5:$K$1000,$N5)="","",INDEX('Cronograma Asistente Técnico'!$K$5:$K$1000,$N5))))</f>
        <v/>
      </c>
      <c r="I5" s="61">
        <f>IF($N5="","",IF($P5&gt;0,IF(4&lt;=SemanaActual,INDEX('Cronograma Asistente Técnico'!$AK$5:$AK$1000,$N5),""),IF(INDEX('Cronograma Asistente Técnico'!$L$5:$L$1000,$N5)="","",INDEX('Cronograma Asistente Técnico'!$L$5:$L$1000,$N5))))</f>
        <v/>
      </c>
      <c r="J5" s="61">
        <f>IF($N5="","",INDEX('Cronograma Asistente Técnico'!$M$5:$M$1000,$N5))</f>
        <v/>
      </c>
      <c r="K5" s="56">
        <f>IF($N5="","",IF(N($J5)&gt;=1,"Completado",IF(AND(ISNUMBER($D5),$D5&lt;FechaRef),"Vencida",IF(N($J5)&gt;0,"En curso","Pendiente"))))</f>
        <v/>
      </c>
      <c r="L5" s="56">
        <f>IF($N5="","",INDEX('Cronograma Asistente Técnico'!$O$5:$O$1000,$N5)&amp;"")</f>
        <v/>
      </c>
      <c r="M5" s="62">
        <f>IF($N5="","",INDEX('Cronograma Asistente Técnico'!$Q$5:$Q$1000,$N5)&amp;"")</f>
        <v/>
      </c>
      <c r="N5">
        <f>IFERROR(MATCH(ROW()-4,rOrden_ATR,0),"")</f>
        <v/>
      </c>
      <c r="O5">
        <f>IF($N5="","",INDEX('Cronograma Asistente Técnico'!$V$5:$V$1000,$N5))</f>
        <v/>
      </c>
      <c r="P5">
        <f>IF($N5="","",N(INDEX('Cronograma Asistente Técnico'!$W$5:$W$1000,$N5)))</f>
        <v/>
      </c>
      <c r="Q5">
        <f>IF(OR(LEFT($L5,7)="Vencida",LEFT($L5,5)="Vence"),SUMPRODUCT(--(LEFT($L$5:$L5,7)="Vencida"))+SUMPRODUCT(--(LEFT($L$5:$L5,5)="Vence")),"")</f>
        <v/>
      </c>
    </row>
    <row r="6">
      <c r="A6" s="56">
        <f>IF($N6="","",INDEX('Cronograma Asistente Técnico'!$A$5:$A$1000,$N6))</f>
        <v/>
      </c>
      <c r="B6" s="62">
        <f>IF($N6="","",IF($O6="Sub","      ↳  "&amp;INDEX('Cronograma Asistente Técnico'!$C$5:$C$1000,$N6),INDEX('Cronograma Asistente Técnico'!$C$5:$C$1000,$N6)&amp;""))</f>
        <v/>
      </c>
      <c r="C6" s="79">
        <f>IF($N6="","",IF(INDEX('Cronograma Asistente Técnico'!$AR$5:$AR$1000,$N6)="","",INDEX('Cronograma Asistente Técnico'!$AR$5:$AR$1000,$N6)))</f>
        <v/>
      </c>
      <c r="D6" s="79">
        <f>IF($N6="","",IF(INDEX('Cronograma Asistente Técnico'!$AS$5:$AS$1000,$N6)="","",INDEX('Cronograma Asistente Técnico'!$AS$5:$AS$1000,$N6)))</f>
        <v/>
      </c>
      <c r="E6" s="56">
        <f>IF($N6="","",IF(NOT(ISNUMBER($D6)),"",IF($D6&lt;InicioCiclo,"Antes del ciclo",IF($D6&gt;=InicioCiclo+28,"Después del ciclo","Semana "&amp;(INT(($D6-InicioCiclo)/7)+1)))))</f>
        <v/>
      </c>
      <c r="F6" s="61">
        <f>IF($N6="","",IF($P6&gt;0,IF(1&lt;=SemanaActual,INDEX('Cronograma Asistente Técnico'!$AH$5:$AH$1000,$N6),""),IF(INDEX('Cronograma Asistente Técnico'!$I$5:$I$1000,$N6)="","",INDEX('Cronograma Asistente Técnico'!$I$5:$I$1000,$N6))))</f>
        <v/>
      </c>
      <c r="G6" s="61">
        <f>IF($N6="","",IF($P6&gt;0,IF(2&lt;=SemanaActual,INDEX('Cronograma Asistente Técnico'!$AI$5:$AI$1000,$N6),""),IF(INDEX('Cronograma Asistente Técnico'!$J$5:$J$1000,$N6)="","",INDEX('Cronograma Asistente Técnico'!$J$5:$J$1000,$N6))))</f>
        <v/>
      </c>
      <c r="H6" s="61">
        <f>IF($N6="","",IF($P6&gt;0,IF(3&lt;=SemanaActual,INDEX('Cronograma Asistente Técnico'!$AJ$5:$AJ$1000,$N6),""),IF(INDEX('Cronograma Asistente Técnico'!$K$5:$K$1000,$N6)="","",INDEX('Cronograma Asistente Técnico'!$K$5:$K$1000,$N6))))</f>
        <v/>
      </c>
      <c r="I6" s="61">
        <f>IF($N6="","",IF($P6&gt;0,IF(4&lt;=SemanaActual,INDEX('Cronograma Asistente Técnico'!$AK$5:$AK$1000,$N6),""),IF(INDEX('Cronograma Asistente Técnico'!$L$5:$L$1000,$N6)="","",INDEX('Cronograma Asistente Técnico'!$L$5:$L$1000,$N6))))</f>
        <v/>
      </c>
      <c r="J6" s="61">
        <f>IF($N6="","",INDEX('Cronograma Asistente Técnico'!$M$5:$M$1000,$N6))</f>
        <v/>
      </c>
      <c r="K6" s="56">
        <f>IF($N6="","",IF(N($J6)&gt;=1,"Completado",IF(AND(ISNUMBER($D6),$D6&lt;FechaRef),"Vencida",IF(N($J6)&gt;0,"En curso","Pendiente"))))</f>
        <v/>
      </c>
      <c r="L6" s="56">
        <f>IF($N6="","",INDEX('Cronograma Asistente Técnico'!$O$5:$O$1000,$N6)&amp;"")</f>
        <v/>
      </c>
      <c r="M6" s="62">
        <f>IF($N6="","",INDEX('Cronograma Asistente Técnico'!$Q$5:$Q$1000,$N6)&amp;"")</f>
        <v/>
      </c>
      <c r="N6">
        <f>IFERROR(MATCH(ROW()-4,rOrden_ATR,0),"")</f>
        <v/>
      </c>
      <c r="O6">
        <f>IF($N6="","",INDEX('Cronograma Asistente Técnico'!$V$5:$V$1000,$N6))</f>
        <v/>
      </c>
      <c r="P6">
        <f>IF($N6="","",N(INDEX('Cronograma Asistente Técnico'!$W$5:$W$1000,$N6)))</f>
        <v/>
      </c>
      <c r="Q6">
        <f>IF(OR(LEFT($L6,7)="Vencida",LEFT($L6,5)="Vence"),SUMPRODUCT(--(LEFT($L$5:$L6,7)="Vencida"))+SUMPRODUCT(--(LEFT($L$5:$L6,5)="Vence")),"")</f>
        <v/>
      </c>
    </row>
    <row r="7">
      <c r="A7" s="56">
        <f>IF($N7="","",INDEX('Cronograma Asistente Técnico'!$A$5:$A$1000,$N7))</f>
        <v/>
      </c>
      <c r="B7" s="62">
        <f>IF($N7="","",IF($O7="Sub","      ↳  "&amp;INDEX('Cronograma Asistente Técnico'!$C$5:$C$1000,$N7),INDEX('Cronograma Asistente Técnico'!$C$5:$C$1000,$N7)&amp;""))</f>
        <v/>
      </c>
      <c r="C7" s="79">
        <f>IF($N7="","",IF(INDEX('Cronograma Asistente Técnico'!$AR$5:$AR$1000,$N7)="","",INDEX('Cronograma Asistente Técnico'!$AR$5:$AR$1000,$N7)))</f>
        <v/>
      </c>
      <c r="D7" s="79">
        <f>IF($N7="","",IF(INDEX('Cronograma Asistente Técnico'!$AS$5:$AS$1000,$N7)="","",INDEX('Cronograma Asistente Técnico'!$AS$5:$AS$1000,$N7)))</f>
        <v/>
      </c>
      <c r="E7" s="56">
        <f>IF($N7="","",IF(NOT(ISNUMBER($D7)),"",IF($D7&lt;InicioCiclo,"Antes del ciclo",IF($D7&gt;=InicioCiclo+28,"Después del ciclo","Semana "&amp;(INT(($D7-InicioCiclo)/7)+1)))))</f>
        <v/>
      </c>
      <c r="F7" s="61">
        <f>IF($N7="","",IF($P7&gt;0,IF(1&lt;=SemanaActual,INDEX('Cronograma Asistente Técnico'!$AH$5:$AH$1000,$N7),""),IF(INDEX('Cronograma Asistente Técnico'!$I$5:$I$1000,$N7)="","",INDEX('Cronograma Asistente Técnico'!$I$5:$I$1000,$N7))))</f>
        <v/>
      </c>
      <c r="G7" s="61">
        <f>IF($N7="","",IF($P7&gt;0,IF(2&lt;=SemanaActual,INDEX('Cronograma Asistente Técnico'!$AI$5:$AI$1000,$N7),""),IF(INDEX('Cronograma Asistente Técnico'!$J$5:$J$1000,$N7)="","",INDEX('Cronograma Asistente Técnico'!$J$5:$J$1000,$N7))))</f>
        <v/>
      </c>
      <c r="H7" s="61">
        <f>IF($N7="","",IF($P7&gt;0,IF(3&lt;=SemanaActual,INDEX('Cronograma Asistente Técnico'!$AJ$5:$AJ$1000,$N7),""),IF(INDEX('Cronograma Asistente Técnico'!$K$5:$K$1000,$N7)="","",INDEX('Cronograma Asistente Técnico'!$K$5:$K$1000,$N7))))</f>
        <v/>
      </c>
      <c r="I7" s="61">
        <f>IF($N7="","",IF($P7&gt;0,IF(4&lt;=SemanaActual,INDEX('Cronograma Asistente Técnico'!$AK$5:$AK$1000,$N7),""),IF(INDEX('Cronograma Asistente Técnico'!$L$5:$L$1000,$N7)="","",INDEX('Cronograma Asistente Técnico'!$L$5:$L$1000,$N7))))</f>
        <v/>
      </c>
      <c r="J7" s="61">
        <f>IF($N7="","",INDEX('Cronograma Asistente Técnico'!$M$5:$M$1000,$N7))</f>
        <v/>
      </c>
      <c r="K7" s="56">
        <f>IF($N7="","",IF(N($J7)&gt;=1,"Completado",IF(AND(ISNUMBER($D7),$D7&lt;FechaRef),"Vencida",IF(N($J7)&gt;0,"En curso","Pendiente"))))</f>
        <v/>
      </c>
      <c r="L7" s="56">
        <f>IF($N7="","",INDEX('Cronograma Asistente Técnico'!$O$5:$O$1000,$N7)&amp;"")</f>
        <v/>
      </c>
      <c r="M7" s="62">
        <f>IF($N7="","",INDEX('Cronograma Asistente Técnico'!$Q$5:$Q$1000,$N7)&amp;"")</f>
        <v/>
      </c>
      <c r="N7">
        <f>IFERROR(MATCH(ROW()-4,rOrden_ATR,0),"")</f>
        <v/>
      </c>
      <c r="O7">
        <f>IF($N7="","",INDEX('Cronograma Asistente Técnico'!$V$5:$V$1000,$N7))</f>
        <v/>
      </c>
      <c r="P7">
        <f>IF($N7="","",N(INDEX('Cronograma Asistente Técnico'!$W$5:$W$1000,$N7)))</f>
        <v/>
      </c>
      <c r="Q7">
        <f>IF(OR(LEFT($L7,7)="Vencida",LEFT($L7,5)="Vence"),SUMPRODUCT(--(LEFT($L$5:$L7,7)="Vencida"))+SUMPRODUCT(--(LEFT($L$5:$L7,5)="Vence")),"")</f>
        <v/>
      </c>
    </row>
    <row r="8">
      <c r="A8" s="56">
        <f>IF($N8="","",INDEX('Cronograma Asistente Técnico'!$A$5:$A$1000,$N8))</f>
        <v/>
      </c>
      <c r="B8" s="62">
        <f>IF($N8="","",IF($O8="Sub","      ↳  "&amp;INDEX('Cronograma Asistente Técnico'!$C$5:$C$1000,$N8),INDEX('Cronograma Asistente Técnico'!$C$5:$C$1000,$N8)&amp;""))</f>
        <v/>
      </c>
      <c r="C8" s="79">
        <f>IF($N8="","",IF(INDEX('Cronograma Asistente Técnico'!$AR$5:$AR$1000,$N8)="","",INDEX('Cronograma Asistente Técnico'!$AR$5:$AR$1000,$N8)))</f>
        <v/>
      </c>
      <c r="D8" s="79">
        <f>IF($N8="","",IF(INDEX('Cronograma Asistente Técnico'!$AS$5:$AS$1000,$N8)="","",INDEX('Cronograma Asistente Técnico'!$AS$5:$AS$1000,$N8)))</f>
        <v/>
      </c>
      <c r="E8" s="56">
        <f>IF($N8="","",IF(NOT(ISNUMBER($D8)),"",IF($D8&lt;InicioCiclo,"Antes del ciclo",IF($D8&gt;=InicioCiclo+28,"Después del ciclo","Semana "&amp;(INT(($D8-InicioCiclo)/7)+1)))))</f>
        <v/>
      </c>
      <c r="F8" s="61">
        <f>IF($N8="","",IF($P8&gt;0,IF(1&lt;=SemanaActual,INDEX('Cronograma Asistente Técnico'!$AH$5:$AH$1000,$N8),""),IF(INDEX('Cronograma Asistente Técnico'!$I$5:$I$1000,$N8)="","",INDEX('Cronograma Asistente Técnico'!$I$5:$I$1000,$N8))))</f>
        <v/>
      </c>
      <c r="G8" s="61">
        <f>IF($N8="","",IF($P8&gt;0,IF(2&lt;=SemanaActual,INDEX('Cronograma Asistente Técnico'!$AI$5:$AI$1000,$N8),""),IF(INDEX('Cronograma Asistente Técnico'!$J$5:$J$1000,$N8)="","",INDEX('Cronograma Asistente Técnico'!$J$5:$J$1000,$N8))))</f>
        <v/>
      </c>
      <c r="H8" s="61">
        <f>IF($N8="","",IF($P8&gt;0,IF(3&lt;=SemanaActual,INDEX('Cronograma Asistente Técnico'!$AJ$5:$AJ$1000,$N8),""),IF(INDEX('Cronograma Asistente Técnico'!$K$5:$K$1000,$N8)="","",INDEX('Cronograma Asistente Técnico'!$K$5:$K$1000,$N8))))</f>
        <v/>
      </c>
      <c r="I8" s="61">
        <f>IF($N8="","",IF($P8&gt;0,IF(4&lt;=SemanaActual,INDEX('Cronograma Asistente Técnico'!$AK$5:$AK$1000,$N8),""),IF(INDEX('Cronograma Asistente Técnico'!$L$5:$L$1000,$N8)="","",INDEX('Cronograma Asistente Técnico'!$L$5:$L$1000,$N8))))</f>
        <v/>
      </c>
      <c r="J8" s="61">
        <f>IF($N8="","",INDEX('Cronograma Asistente Técnico'!$M$5:$M$1000,$N8))</f>
        <v/>
      </c>
      <c r="K8" s="56">
        <f>IF($N8="","",IF(N($J8)&gt;=1,"Completado",IF(AND(ISNUMBER($D8),$D8&lt;FechaRef),"Vencida",IF(N($J8)&gt;0,"En curso","Pendiente"))))</f>
        <v/>
      </c>
      <c r="L8" s="56">
        <f>IF($N8="","",INDEX('Cronograma Asistente Técnico'!$O$5:$O$1000,$N8)&amp;"")</f>
        <v/>
      </c>
      <c r="M8" s="62">
        <f>IF($N8="","",INDEX('Cronograma Asistente Técnico'!$Q$5:$Q$1000,$N8)&amp;"")</f>
        <v/>
      </c>
      <c r="N8">
        <f>IFERROR(MATCH(ROW()-4,rOrden_ATR,0),"")</f>
        <v/>
      </c>
      <c r="O8">
        <f>IF($N8="","",INDEX('Cronograma Asistente Técnico'!$V$5:$V$1000,$N8))</f>
        <v/>
      </c>
      <c r="P8">
        <f>IF($N8="","",N(INDEX('Cronograma Asistente Técnico'!$W$5:$W$1000,$N8)))</f>
        <v/>
      </c>
      <c r="Q8">
        <f>IF(OR(LEFT($L8,7)="Vencida",LEFT($L8,5)="Vence"),SUMPRODUCT(--(LEFT($L$5:$L8,7)="Vencida"))+SUMPRODUCT(--(LEFT($L$5:$L8,5)="Vence")),"")</f>
        <v/>
      </c>
    </row>
    <row r="9">
      <c r="A9" s="56">
        <f>IF($N9="","",INDEX('Cronograma Asistente Técnico'!$A$5:$A$1000,$N9))</f>
        <v/>
      </c>
      <c r="B9" s="62">
        <f>IF($N9="","",IF($O9="Sub","      ↳  "&amp;INDEX('Cronograma Asistente Técnico'!$C$5:$C$1000,$N9),INDEX('Cronograma Asistente Técnico'!$C$5:$C$1000,$N9)&amp;""))</f>
        <v/>
      </c>
      <c r="C9" s="79">
        <f>IF($N9="","",IF(INDEX('Cronograma Asistente Técnico'!$AR$5:$AR$1000,$N9)="","",INDEX('Cronograma Asistente Técnico'!$AR$5:$AR$1000,$N9)))</f>
        <v/>
      </c>
      <c r="D9" s="79">
        <f>IF($N9="","",IF(INDEX('Cronograma Asistente Técnico'!$AS$5:$AS$1000,$N9)="","",INDEX('Cronograma Asistente Técnico'!$AS$5:$AS$1000,$N9)))</f>
        <v/>
      </c>
      <c r="E9" s="56">
        <f>IF($N9="","",IF(NOT(ISNUMBER($D9)),"",IF($D9&lt;InicioCiclo,"Antes del ciclo",IF($D9&gt;=InicioCiclo+28,"Después del ciclo","Semana "&amp;(INT(($D9-InicioCiclo)/7)+1)))))</f>
        <v/>
      </c>
      <c r="F9" s="61">
        <f>IF($N9="","",IF($P9&gt;0,IF(1&lt;=SemanaActual,INDEX('Cronograma Asistente Técnico'!$AH$5:$AH$1000,$N9),""),IF(INDEX('Cronograma Asistente Técnico'!$I$5:$I$1000,$N9)="","",INDEX('Cronograma Asistente Técnico'!$I$5:$I$1000,$N9))))</f>
        <v/>
      </c>
      <c r="G9" s="61">
        <f>IF($N9="","",IF($P9&gt;0,IF(2&lt;=SemanaActual,INDEX('Cronograma Asistente Técnico'!$AI$5:$AI$1000,$N9),""),IF(INDEX('Cronograma Asistente Técnico'!$J$5:$J$1000,$N9)="","",INDEX('Cronograma Asistente Técnico'!$J$5:$J$1000,$N9))))</f>
        <v/>
      </c>
      <c r="H9" s="61">
        <f>IF($N9="","",IF($P9&gt;0,IF(3&lt;=SemanaActual,INDEX('Cronograma Asistente Técnico'!$AJ$5:$AJ$1000,$N9),""),IF(INDEX('Cronograma Asistente Técnico'!$K$5:$K$1000,$N9)="","",INDEX('Cronograma Asistente Técnico'!$K$5:$K$1000,$N9))))</f>
        <v/>
      </c>
      <c r="I9" s="61">
        <f>IF($N9="","",IF($P9&gt;0,IF(4&lt;=SemanaActual,INDEX('Cronograma Asistente Técnico'!$AK$5:$AK$1000,$N9),""),IF(INDEX('Cronograma Asistente Técnico'!$L$5:$L$1000,$N9)="","",INDEX('Cronograma Asistente Técnico'!$L$5:$L$1000,$N9))))</f>
        <v/>
      </c>
      <c r="J9" s="61">
        <f>IF($N9="","",INDEX('Cronograma Asistente Técnico'!$M$5:$M$1000,$N9))</f>
        <v/>
      </c>
      <c r="K9" s="56">
        <f>IF($N9="","",IF(N($J9)&gt;=1,"Completado",IF(AND(ISNUMBER($D9),$D9&lt;FechaRef),"Vencida",IF(N($J9)&gt;0,"En curso","Pendiente"))))</f>
        <v/>
      </c>
      <c r="L9" s="56">
        <f>IF($N9="","",INDEX('Cronograma Asistente Técnico'!$O$5:$O$1000,$N9)&amp;"")</f>
        <v/>
      </c>
      <c r="M9" s="62">
        <f>IF($N9="","",INDEX('Cronograma Asistente Técnico'!$Q$5:$Q$1000,$N9)&amp;"")</f>
        <v/>
      </c>
      <c r="N9">
        <f>IFERROR(MATCH(ROW()-4,rOrden_ATR,0),"")</f>
        <v/>
      </c>
      <c r="O9">
        <f>IF($N9="","",INDEX('Cronograma Asistente Técnico'!$V$5:$V$1000,$N9))</f>
        <v/>
      </c>
      <c r="P9">
        <f>IF($N9="","",N(INDEX('Cronograma Asistente Técnico'!$W$5:$W$1000,$N9)))</f>
        <v/>
      </c>
      <c r="Q9">
        <f>IF(OR(LEFT($L9,7)="Vencida",LEFT($L9,5)="Vence"),SUMPRODUCT(--(LEFT($L$5:$L9,7)="Vencida"))+SUMPRODUCT(--(LEFT($L$5:$L9,5)="Vence")),"")</f>
        <v/>
      </c>
    </row>
    <row r="10">
      <c r="A10" s="56">
        <f>IF($N10="","",INDEX('Cronograma Asistente Técnico'!$A$5:$A$1000,$N10))</f>
        <v/>
      </c>
      <c r="B10" s="62">
        <f>IF($N10="","",IF($O10="Sub","      ↳  "&amp;INDEX('Cronograma Asistente Técnico'!$C$5:$C$1000,$N10),INDEX('Cronograma Asistente Técnico'!$C$5:$C$1000,$N10)&amp;""))</f>
        <v/>
      </c>
      <c r="C10" s="79">
        <f>IF($N10="","",IF(INDEX('Cronograma Asistente Técnico'!$AR$5:$AR$1000,$N10)="","",INDEX('Cronograma Asistente Técnico'!$AR$5:$AR$1000,$N10)))</f>
        <v/>
      </c>
      <c r="D10" s="79">
        <f>IF($N10="","",IF(INDEX('Cronograma Asistente Técnico'!$AS$5:$AS$1000,$N10)="","",INDEX('Cronograma Asistente Técnico'!$AS$5:$AS$1000,$N10)))</f>
        <v/>
      </c>
      <c r="E10" s="56">
        <f>IF($N10="","",IF(NOT(ISNUMBER($D10)),"",IF($D10&lt;InicioCiclo,"Antes del ciclo",IF($D10&gt;=InicioCiclo+28,"Después del ciclo","Semana "&amp;(INT(($D10-InicioCiclo)/7)+1)))))</f>
        <v/>
      </c>
      <c r="F10" s="61">
        <f>IF($N10="","",IF($P10&gt;0,IF(1&lt;=SemanaActual,INDEX('Cronograma Asistente Técnico'!$AH$5:$AH$1000,$N10),""),IF(INDEX('Cronograma Asistente Técnico'!$I$5:$I$1000,$N10)="","",INDEX('Cronograma Asistente Técnico'!$I$5:$I$1000,$N10))))</f>
        <v/>
      </c>
      <c r="G10" s="61">
        <f>IF($N10="","",IF($P10&gt;0,IF(2&lt;=SemanaActual,INDEX('Cronograma Asistente Técnico'!$AI$5:$AI$1000,$N10),""),IF(INDEX('Cronograma Asistente Técnico'!$J$5:$J$1000,$N10)="","",INDEX('Cronograma Asistente Técnico'!$J$5:$J$1000,$N10))))</f>
        <v/>
      </c>
      <c r="H10" s="61">
        <f>IF($N10="","",IF($P10&gt;0,IF(3&lt;=SemanaActual,INDEX('Cronograma Asistente Técnico'!$AJ$5:$AJ$1000,$N10),""),IF(INDEX('Cronograma Asistente Técnico'!$K$5:$K$1000,$N10)="","",INDEX('Cronograma Asistente Técnico'!$K$5:$K$1000,$N10))))</f>
        <v/>
      </c>
      <c r="I10" s="61">
        <f>IF($N10="","",IF($P10&gt;0,IF(4&lt;=SemanaActual,INDEX('Cronograma Asistente Técnico'!$AK$5:$AK$1000,$N10),""),IF(INDEX('Cronograma Asistente Técnico'!$L$5:$L$1000,$N10)="","",INDEX('Cronograma Asistente Técnico'!$L$5:$L$1000,$N10))))</f>
        <v/>
      </c>
      <c r="J10" s="61">
        <f>IF($N10="","",INDEX('Cronograma Asistente Técnico'!$M$5:$M$1000,$N10))</f>
        <v/>
      </c>
      <c r="K10" s="56">
        <f>IF($N10="","",IF(N($J10)&gt;=1,"Completado",IF(AND(ISNUMBER($D10),$D10&lt;FechaRef),"Vencida",IF(N($J10)&gt;0,"En curso","Pendiente"))))</f>
        <v/>
      </c>
      <c r="L10" s="56">
        <f>IF($N10="","",INDEX('Cronograma Asistente Técnico'!$O$5:$O$1000,$N10)&amp;"")</f>
        <v/>
      </c>
      <c r="M10" s="62">
        <f>IF($N10="","",INDEX('Cronograma Asistente Técnico'!$Q$5:$Q$1000,$N10)&amp;"")</f>
        <v/>
      </c>
      <c r="N10">
        <f>IFERROR(MATCH(ROW()-4,rOrden_ATR,0),"")</f>
        <v/>
      </c>
      <c r="O10">
        <f>IF($N10="","",INDEX('Cronograma Asistente Técnico'!$V$5:$V$1000,$N10))</f>
        <v/>
      </c>
      <c r="P10">
        <f>IF($N10="","",N(INDEX('Cronograma Asistente Técnico'!$W$5:$W$1000,$N10)))</f>
        <v/>
      </c>
      <c r="Q10">
        <f>IF(OR(LEFT($L10,7)="Vencida",LEFT($L10,5)="Vence"),SUMPRODUCT(--(LEFT($L$5:$L10,7)="Vencida"))+SUMPRODUCT(--(LEFT($L$5:$L10,5)="Vence")),"")</f>
        <v/>
      </c>
    </row>
    <row r="11">
      <c r="A11" s="56">
        <f>IF($N11="","",INDEX('Cronograma Asistente Técnico'!$A$5:$A$1000,$N11))</f>
        <v/>
      </c>
      <c r="B11" s="62">
        <f>IF($N11="","",IF($O11="Sub","      ↳  "&amp;INDEX('Cronograma Asistente Técnico'!$C$5:$C$1000,$N11),INDEX('Cronograma Asistente Técnico'!$C$5:$C$1000,$N11)&amp;""))</f>
        <v/>
      </c>
      <c r="C11" s="79">
        <f>IF($N11="","",IF(INDEX('Cronograma Asistente Técnico'!$AR$5:$AR$1000,$N11)="","",INDEX('Cronograma Asistente Técnico'!$AR$5:$AR$1000,$N11)))</f>
        <v/>
      </c>
      <c r="D11" s="79">
        <f>IF($N11="","",IF(INDEX('Cronograma Asistente Técnico'!$AS$5:$AS$1000,$N11)="","",INDEX('Cronograma Asistente Técnico'!$AS$5:$AS$1000,$N11)))</f>
        <v/>
      </c>
      <c r="E11" s="56">
        <f>IF($N11="","",IF(NOT(ISNUMBER($D11)),"",IF($D11&lt;InicioCiclo,"Antes del ciclo",IF($D11&gt;=InicioCiclo+28,"Después del ciclo","Semana "&amp;(INT(($D11-InicioCiclo)/7)+1)))))</f>
        <v/>
      </c>
      <c r="F11" s="61">
        <f>IF($N11="","",IF($P11&gt;0,IF(1&lt;=SemanaActual,INDEX('Cronograma Asistente Técnico'!$AH$5:$AH$1000,$N11),""),IF(INDEX('Cronograma Asistente Técnico'!$I$5:$I$1000,$N11)="","",INDEX('Cronograma Asistente Técnico'!$I$5:$I$1000,$N11))))</f>
        <v/>
      </c>
      <c r="G11" s="61">
        <f>IF($N11="","",IF($P11&gt;0,IF(2&lt;=SemanaActual,INDEX('Cronograma Asistente Técnico'!$AI$5:$AI$1000,$N11),""),IF(INDEX('Cronograma Asistente Técnico'!$J$5:$J$1000,$N11)="","",INDEX('Cronograma Asistente Técnico'!$J$5:$J$1000,$N11))))</f>
        <v/>
      </c>
      <c r="H11" s="61">
        <f>IF($N11="","",IF($P11&gt;0,IF(3&lt;=SemanaActual,INDEX('Cronograma Asistente Técnico'!$AJ$5:$AJ$1000,$N11),""),IF(INDEX('Cronograma Asistente Técnico'!$K$5:$K$1000,$N11)="","",INDEX('Cronograma Asistente Técnico'!$K$5:$K$1000,$N11))))</f>
        <v/>
      </c>
      <c r="I11" s="61">
        <f>IF($N11="","",IF($P11&gt;0,IF(4&lt;=SemanaActual,INDEX('Cronograma Asistente Técnico'!$AK$5:$AK$1000,$N11),""),IF(INDEX('Cronograma Asistente Técnico'!$L$5:$L$1000,$N11)="","",INDEX('Cronograma Asistente Técnico'!$L$5:$L$1000,$N11))))</f>
        <v/>
      </c>
      <c r="J11" s="61">
        <f>IF($N11="","",INDEX('Cronograma Asistente Técnico'!$M$5:$M$1000,$N11))</f>
        <v/>
      </c>
      <c r="K11" s="56">
        <f>IF($N11="","",IF(N($J11)&gt;=1,"Completado",IF(AND(ISNUMBER($D11),$D11&lt;FechaRef),"Vencida",IF(N($J11)&gt;0,"En curso","Pendiente"))))</f>
        <v/>
      </c>
      <c r="L11" s="56">
        <f>IF($N11="","",INDEX('Cronograma Asistente Técnico'!$O$5:$O$1000,$N11)&amp;"")</f>
        <v/>
      </c>
      <c r="M11" s="62">
        <f>IF($N11="","",INDEX('Cronograma Asistente Técnico'!$Q$5:$Q$1000,$N11)&amp;"")</f>
        <v/>
      </c>
      <c r="N11">
        <f>IFERROR(MATCH(ROW()-4,rOrden_ATR,0),"")</f>
        <v/>
      </c>
      <c r="O11">
        <f>IF($N11="","",INDEX('Cronograma Asistente Técnico'!$V$5:$V$1000,$N11))</f>
        <v/>
      </c>
      <c r="P11">
        <f>IF($N11="","",N(INDEX('Cronograma Asistente Técnico'!$W$5:$W$1000,$N11)))</f>
        <v/>
      </c>
      <c r="Q11">
        <f>IF(OR(LEFT($L11,7)="Vencida",LEFT($L11,5)="Vence"),SUMPRODUCT(--(LEFT($L$5:$L11,7)="Vencida"))+SUMPRODUCT(--(LEFT($L$5:$L11,5)="Vence")),"")</f>
        <v/>
      </c>
    </row>
    <row r="12">
      <c r="A12" s="56">
        <f>IF($N12="","",INDEX('Cronograma Asistente Técnico'!$A$5:$A$1000,$N12))</f>
        <v/>
      </c>
      <c r="B12" s="62">
        <f>IF($N12="","",IF($O12="Sub","      ↳  "&amp;INDEX('Cronograma Asistente Técnico'!$C$5:$C$1000,$N12),INDEX('Cronograma Asistente Técnico'!$C$5:$C$1000,$N12)&amp;""))</f>
        <v/>
      </c>
      <c r="C12" s="79">
        <f>IF($N12="","",IF(INDEX('Cronograma Asistente Técnico'!$AR$5:$AR$1000,$N12)="","",INDEX('Cronograma Asistente Técnico'!$AR$5:$AR$1000,$N12)))</f>
        <v/>
      </c>
      <c r="D12" s="79">
        <f>IF($N12="","",IF(INDEX('Cronograma Asistente Técnico'!$AS$5:$AS$1000,$N12)="","",INDEX('Cronograma Asistente Técnico'!$AS$5:$AS$1000,$N12)))</f>
        <v/>
      </c>
      <c r="E12" s="56">
        <f>IF($N12="","",IF(NOT(ISNUMBER($D12)),"",IF($D12&lt;InicioCiclo,"Antes del ciclo",IF($D12&gt;=InicioCiclo+28,"Después del ciclo","Semana "&amp;(INT(($D12-InicioCiclo)/7)+1)))))</f>
        <v/>
      </c>
      <c r="F12" s="61">
        <f>IF($N12="","",IF($P12&gt;0,IF(1&lt;=SemanaActual,INDEX('Cronograma Asistente Técnico'!$AH$5:$AH$1000,$N12),""),IF(INDEX('Cronograma Asistente Técnico'!$I$5:$I$1000,$N12)="","",INDEX('Cronograma Asistente Técnico'!$I$5:$I$1000,$N12))))</f>
        <v/>
      </c>
      <c r="G12" s="61">
        <f>IF($N12="","",IF($P12&gt;0,IF(2&lt;=SemanaActual,INDEX('Cronograma Asistente Técnico'!$AI$5:$AI$1000,$N12),""),IF(INDEX('Cronograma Asistente Técnico'!$J$5:$J$1000,$N12)="","",INDEX('Cronograma Asistente Técnico'!$J$5:$J$1000,$N12))))</f>
        <v/>
      </c>
      <c r="H12" s="61">
        <f>IF($N12="","",IF($P12&gt;0,IF(3&lt;=SemanaActual,INDEX('Cronograma Asistente Técnico'!$AJ$5:$AJ$1000,$N12),""),IF(INDEX('Cronograma Asistente Técnico'!$K$5:$K$1000,$N12)="","",INDEX('Cronograma Asistente Técnico'!$K$5:$K$1000,$N12))))</f>
        <v/>
      </c>
      <c r="I12" s="61">
        <f>IF($N12="","",IF($P12&gt;0,IF(4&lt;=SemanaActual,INDEX('Cronograma Asistente Técnico'!$AK$5:$AK$1000,$N12),""),IF(INDEX('Cronograma Asistente Técnico'!$L$5:$L$1000,$N12)="","",INDEX('Cronograma Asistente Técnico'!$L$5:$L$1000,$N12))))</f>
        <v/>
      </c>
      <c r="J12" s="61">
        <f>IF($N12="","",INDEX('Cronograma Asistente Técnico'!$M$5:$M$1000,$N12))</f>
        <v/>
      </c>
      <c r="K12" s="56">
        <f>IF($N12="","",IF(N($J12)&gt;=1,"Completado",IF(AND(ISNUMBER($D12),$D12&lt;FechaRef),"Vencida",IF(N($J12)&gt;0,"En curso","Pendiente"))))</f>
        <v/>
      </c>
      <c r="L12" s="56">
        <f>IF($N12="","",INDEX('Cronograma Asistente Técnico'!$O$5:$O$1000,$N12)&amp;"")</f>
        <v/>
      </c>
      <c r="M12" s="62">
        <f>IF($N12="","",INDEX('Cronograma Asistente Técnico'!$Q$5:$Q$1000,$N12)&amp;"")</f>
        <v/>
      </c>
      <c r="N12">
        <f>IFERROR(MATCH(ROW()-4,rOrden_ATR,0),"")</f>
        <v/>
      </c>
      <c r="O12">
        <f>IF($N12="","",INDEX('Cronograma Asistente Técnico'!$V$5:$V$1000,$N12))</f>
        <v/>
      </c>
      <c r="P12">
        <f>IF($N12="","",N(INDEX('Cronograma Asistente Técnico'!$W$5:$W$1000,$N12)))</f>
        <v/>
      </c>
      <c r="Q12">
        <f>IF(OR(LEFT($L12,7)="Vencida",LEFT($L12,5)="Vence"),SUMPRODUCT(--(LEFT($L$5:$L12,7)="Vencida"))+SUMPRODUCT(--(LEFT($L$5:$L12,5)="Vence")),"")</f>
        <v/>
      </c>
    </row>
    <row r="13">
      <c r="A13" s="56">
        <f>IF($N13="","",INDEX('Cronograma Asistente Técnico'!$A$5:$A$1000,$N13))</f>
        <v/>
      </c>
      <c r="B13" s="62">
        <f>IF($N13="","",IF($O13="Sub","      ↳  "&amp;INDEX('Cronograma Asistente Técnico'!$C$5:$C$1000,$N13),INDEX('Cronograma Asistente Técnico'!$C$5:$C$1000,$N13)&amp;""))</f>
        <v/>
      </c>
      <c r="C13" s="79">
        <f>IF($N13="","",IF(INDEX('Cronograma Asistente Técnico'!$AR$5:$AR$1000,$N13)="","",INDEX('Cronograma Asistente Técnico'!$AR$5:$AR$1000,$N13)))</f>
        <v/>
      </c>
      <c r="D13" s="79">
        <f>IF($N13="","",IF(INDEX('Cronograma Asistente Técnico'!$AS$5:$AS$1000,$N13)="","",INDEX('Cronograma Asistente Técnico'!$AS$5:$AS$1000,$N13)))</f>
        <v/>
      </c>
      <c r="E13" s="56">
        <f>IF($N13="","",IF(NOT(ISNUMBER($D13)),"",IF($D13&lt;InicioCiclo,"Antes del ciclo",IF($D13&gt;=InicioCiclo+28,"Después del ciclo","Semana "&amp;(INT(($D13-InicioCiclo)/7)+1)))))</f>
        <v/>
      </c>
      <c r="F13" s="61">
        <f>IF($N13="","",IF($P13&gt;0,IF(1&lt;=SemanaActual,INDEX('Cronograma Asistente Técnico'!$AH$5:$AH$1000,$N13),""),IF(INDEX('Cronograma Asistente Técnico'!$I$5:$I$1000,$N13)="","",INDEX('Cronograma Asistente Técnico'!$I$5:$I$1000,$N13))))</f>
        <v/>
      </c>
      <c r="G13" s="61">
        <f>IF($N13="","",IF($P13&gt;0,IF(2&lt;=SemanaActual,INDEX('Cronograma Asistente Técnico'!$AI$5:$AI$1000,$N13),""),IF(INDEX('Cronograma Asistente Técnico'!$J$5:$J$1000,$N13)="","",INDEX('Cronograma Asistente Técnico'!$J$5:$J$1000,$N13))))</f>
        <v/>
      </c>
      <c r="H13" s="61">
        <f>IF($N13="","",IF($P13&gt;0,IF(3&lt;=SemanaActual,INDEX('Cronograma Asistente Técnico'!$AJ$5:$AJ$1000,$N13),""),IF(INDEX('Cronograma Asistente Técnico'!$K$5:$K$1000,$N13)="","",INDEX('Cronograma Asistente Técnico'!$K$5:$K$1000,$N13))))</f>
        <v/>
      </c>
      <c r="I13" s="61">
        <f>IF($N13="","",IF($P13&gt;0,IF(4&lt;=SemanaActual,INDEX('Cronograma Asistente Técnico'!$AK$5:$AK$1000,$N13),""),IF(INDEX('Cronograma Asistente Técnico'!$L$5:$L$1000,$N13)="","",INDEX('Cronograma Asistente Técnico'!$L$5:$L$1000,$N13))))</f>
        <v/>
      </c>
      <c r="J13" s="61">
        <f>IF($N13="","",INDEX('Cronograma Asistente Técnico'!$M$5:$M$1000,$N13))</f>
        <v/>
      </c>
      <c r="K13" s="56">
        <f>IF($N13="","",IF(N($J13)&gt;=1,"Completado",IF(AND(ISNUMBER($D13),$D13&lt;FechaRef),"Vencida",IF(N($J13)&gt;0,"En curso","Pendiente"))))</f>
        <v/>
      </c>
      <c r="L13" s="56">
        <f>IF($N13="","",INDEX('Cronograma Asistente Técnico'!$O$5:$O$1000,$N13)&amp;"")</f>
        <v/>
      </c>
      <c r="M13" s="62">
        <f>IF($N13="","",INDEX('Cronograma Asistente Técnico'!$Q$5:$Q$1000,$N13)&amp;"")</f>
        <v/>
      </c>
      <c r="N13">
        <f>IFERROR(MATCH(ROW()-4,rOrden_ATR,0),"")</f>
        <v/>
      </c>
      <c r="O13">
        <f>IF($N13="","",INDEX('Cronograma Asistente Técnico'!$V$5:$V$1000,$N13))</f>
        <v/>
      </c>
      <c r="P13">
        <f>IF($N13="","",N(INDEX('Cronograma Asistente Técnico'!$W$5:$W$1000,$N13)))</f>
        <v/>
      </c>
      <c r="Q13">
        <f>IF(OR(LEFT($L13,7)="Vencida",LEFT($L13,5)="Vence"),SUMPRODUCT(--(LEFT($L$5:$L13,7)="Vencida"))+SUMPRODUCT(--(LEFT($L$5:$L13,5)="Vence")),"")</f>
        <v/>
      </c>
    </row>
    <row r="14">
      <c r="A14" s="56">
        <f>IF($N14="","",INDEX('Cronograma Asistente Técnico'!$A$5:$A$1000,$N14))</f>
        <v/>
      </c>
      <c r="B14" s="62">
        <f>IF($N14="","",IF($O14="Sub","      ↳  "&amp;INDEX('Cronograma Asistente Técnico'!$C$5:$C$1000,$N14),INDEX('Cronograma Asistente Técnico'!$C$5:$C$1000,$N14)&amp;""))</f>
        <v/>
      </c>
      <c r="C14" s="79">
        <f>IF($N14="","",IF(INDEX('Cronograma Asistente Técnico'!$AR$5:$AR$1000,$N14)="","",INDEX('Cronograma Asistente Técnico'!$AR$5:$AR$1000,$N14)))</f>
        <v/>
      </c>
      <c r="D14" s="79">
        <f>IF($N14="","",IF(INDEX('Cronograma Asistente Técnico'!$AS$5:$AS$1000,$N14)="","",INDEX('Cronograma Asistente Técnico'!$AS$5:$AS$1000,$N14)))</f>
        <v/>
      </c>
      <c r="E14" s="56">
        <f>IF($N14="","",IF(NOT(ISNUMBER($D14)),"",IF($D14&lt;InicioCiclo,"Antes del ciclo",IF($D14&gt;=InicioCiclo+28,"Después del ciclo","Semana "&amp;(INT(($D14-InicioCiclo)/7)+1)))))</f>
        <v/>
      </c>
      <c r="F14" s="61">
        <f>IF($N14="","",IF($P14&gt;0,IF(1&lt;=SemanaActual,INDEX('Cronograma Asistente Técnico'!$AH$5:$AH$1000,$N14),""),IF(INDEX('Cronograma Asistente Técnico'!$I$5:$I$1000,$N14)="","",INDEX('Cronograma Asistente Técnico'!$I$5:$I$1000,$N14))))</f>
        <v/>
      </c>
      <c r="G14" s="61">
        <f>IF($N14="","",IF($P14&gt;0,IF(2&lt;=SemanaActual,INDEX('Cronograma Asistente Técnico'!$AI$5:$AI$1000,$N14),""),IF(INDEX('Cronograma Asistente Técnico'!$J$5:$J$1000,$N14)="","",INDEX('Cronograma Asistente Técnico'!$J$5:$J$1000,$N14))))</f>
        <v/>
      </c>
      <c r="H14" s="61">
        <f>IF($N14="","",IF($P14&gt;0,IF(3&lt;=SemanaActual,INDEX('Cronograma Asistente Técnico'!$AJ$5:$AJ$1000,$N14),""),IF(INDEX('Cronograma Asistente Técnico'!$K$5:$K$1000,$N14)="","",INDEX('Cronograma Asistente Técnico'!$K$5:$K$1000,$N14))))</f>
        <v/>
      </c>
      <c r="I14" s="61">
        <f>IF($N14="","",IF($P14&gt;0,IF(4&lt;=SemanaActual,INDEX('Cronograma Asistente Técnico'!$AK$5:$AK$1000,$N14),""),IF(INDEX('Cronograma Asistente Técnico'!$L$5:$L$1000,$N14)="","",INDEX('Cronograma Asistente Técnico'!$L$5:$L$1000,$N14))))</f>
        <v/>
      </c>
      <c r="J14" s="61">
        <f>IF($N14="","",INDEX('Cronograma Asistente Técnico'!$M$5:$M$1000,$N14))</f>
        <v/>
      </c>
      <c r="K14" s="56">
        <f>IF($N14="","",IF(N($J14)&gt;=1,"Completado",IF(AND(ISNUMBER($D14),$D14&lt;FechaRef),"Vencida",IF(N($J14)&gt;0,"En curso","Pendiente"))))</f>
        <v/>
      </c>
      <c r="L14" s="56">
        <f>IF($N14="","",INDEX('Cronograma Asistente Técnico'!$O$5:$O$1000,$N14)&amp;"")</f>
        <v/>
      </c>
      <c r="M14" s="62">
        <f>IF($N14="","",INDEX('Cronograma Asistente Técnico'!$Q$5:$Q$1000,$N14)&amp;"")</f>
        <v/>
      </c>
      <c r="N14">
        <f>IFERROR(MATCH(ROW()-4,rOrden_ATR,0),"")</f>
        <v/>
      </c>
      <c r="O14">
        <f>IF($N14="","",INDEX('Cronograma Asistente Técnico'!$V$5:$V$1000,$N14))</f>
        <v/>
      </c>
      <c r="P14">
        <f>IF($N14="","",N(INDEX('Cronograma Asistente Técnico'!$W$5:$W$1000,$N14)))</f>
        <v/>
      </c>
      <c r="Q14">
        <f>IF(OR(LEFT($L14,7)="Vencida",LEFT($L14,5)="Vence"),SUMPRODUCT(--(LEFT($L$5:$L14,7)="Vencida"))+SUMPRODUCT(--(LEFT($L$5:$L14,5)="Vence")),"")</f>
        <v/>
      </c>
    </row>
    <row r="15">
      <c r="A15" s="56">
        <f>IF($N15="","",INDEX('Cronograma Asistente Técnico'!$A$5:$A$1000,$N15))</f>
        <v/>
      </c>
      <c r="B15" s="62">
        <f>IF($N15="","",IF($O15="Sub","      ↳  "&amp;INDEX('Cronograma Asistente Técnico'!$C$5:$C$1000,$N15),INDEX('Cronograma Asistente Técnico'!$C$5:$C$1000,$N15)&amp;""))</f>
        <v/>
      </c>
      <c r="C15" s="79">
        <f>IF($N15="","",IF(INDEX('Cronograma Asistente Técnico'!$AR$5:$AR$1000,$N15)="","",INDEX('Cronograma Asistente Técnico'!$AR$5:$AR$1000,$N15)))</f>
        <v/>
      </c>
      <c r="D15" s="79">
        <f>IF($N15="","",IF(INDEX('Cronograma Asistente Técnico'!$AS$5:$AS$1000,$N15)="","",INDEX('Cronograma Asistente Técnico'!$AS$5:$AS$1000,$N15)))</f>
        <v/>
      </c>
      <c r="E15" s="56">
        <f>IF($N15="","",IF(NOT(ISNUMBER($D15)),"",IF($D15&lt;InicioCiclo,"Antes del ciclo",IF($D15&gt;=InicioCiclo+28,"Después del ciclo","Semana "&amp;(INT(($D15-InicioCiclo)/7)+1)))))</f>
        <v/>
      </c>
      <c r="F15" s="61">
        <f>IF($N15="","",IF($P15&gt;0,IF(1&lt;=SemanaActual,INDEX('Cronograma Asistente Técnico'!$AH$5:$AH$1000,$N15),""),IF(INDEX('Cronograma Asistente Técnico'!$I$5:$I$1000,$N15)="","",INDEX('Cronograma Asistente Técnico'!$I$5:$I$1000,$N15))))</f>
        <v/>
      </c>
      <c r="G15" s="61">
        <f>IF($N15="","",IF($P15&gt;0,IF(2&lt;=SemanaActual,INDEX('Cronograma Asistente Técnico'!$AI$5:$AI$1000,$N15),""),IF(INDEX('Cronograma Asistente Técnico'!$J$5:$J$1000,$N15)="","",INDEX('Cronograma Asistente Técnico'!$J$5:$J$1000,$N15))))</f>
        <v/>
      </c>
      <c r="H15" s="61">
        <f>IF($N15="","",IF($P15&gt;0,IF(3&lt;=SemanaActual,INDEX('Cronograma Asistente Técnico'!$AJ$5:$AJ$1000,$N15),""),IF(INDEX('Cronograma Asistente Técnico'!$K$5:$K$1000,$N15)="","",INDEX('Cronograma Asistente Técnico'!$K$5:$K$1000,$N15))))</f>
        <v/>
      </c>
      <c r="I15" s="61">
        <f>IF($N15="","",IF($P15&gt;0,IF(4&lt;=SemanaActual,INDEX('Cronograma Asistente Técnico'!$AK$5:$AK$1000,$N15),""),IF(INDEX('Cronograma Asistente Técnico'!$L$5:$L$1000,$N15)="","",INDEX('Cronograma Asistente Técnico'!$L$5:$L$1000,$N15))))</f>
        <v/>
      </c>
      <c r="J15" s="61">
        <f>IF($N15="","",INDEX('Cronograma Asistente Técnico'!$M$5:$M$1000,$N15))</f>
        <v/>
      </c>
      <c r="K15" s="56">
        <f>IF($N15="","",IF(N($J15)&gt;=1,"Completado",IF(AND(ISNUMBER($D15),$D15&lt;FechaRef),"Vencida",IF(N($J15)&gt;0,"En curso","Pendiente"))))</f>
        <v/>
      </c>
      <c r="L15" s="56">
        <f>IF($N15="","",INDEX('Cronograma Asistente Técnico'!$O$5:$O$1000,$N15)&amp;"")</f>
        <v/>
      </c>
      <c r="M15" s="62">
        <f>IF($N15="","",INDEX('Cronograma Asistente Técnico'!$Q$5:$Q$1000,$N15)&amp;"")</f>
        <v/>
      </c>
      <c r="N15">
        <f>IFERROR(MATCH(ROW()-4,rOrden_ATR,0),"")</f>
        <v/>
      </c>
      <c r="O15">
        <f>IF($N15="","",INDEX('Cronograma Asistente Técnico'!$V$5:$V$1000,$N15))</f>
        <v/>
      </c>
      <c r="P15">
        <f>IF($N15="","",N(INDEX('Cronograma Asistente Técnico'!$W$5:$W$1000,$N15)))</f>
        <v/>
      </c>
      <c r="Q15">
        <f>IF(OR(LEFT($L15,7)="Vencida",LEFT($L15,5)="Vence"),SUMPRODUCT(--(LEFT($L$5:$L15,7)="Vencida"))+SUMPRODUCT(--(LEFT($L$5:$L15,5)="Vence")),"")</f>
        <v/>
      </c>
    </row>
    <row r="16">
      <c r="A16" s="56">
        <f>IF($N16="","",INDEX('Cronograma Asistente Técnico'!$A$5:$A$1000,$N16))</f>
        <v/>
      </c>
      <c r="B16" s="62">
        <f>IF($N16="","",IF($O16="Sub","      ↳  "&amp;INDEX('Cronograma Asistente Técnico'!$C$5:$C$1000,$N16),INDEX('Cronograma Asistente Técnico'!$C$5:$C$1000,$N16)&amp;""))</f>
        <v/>
      </c>
      <c r="C16" s="79">
        <f>IF($N16="","",IF(INDEX('Cronograma Asistente Técnico'!$AR$5:$AR$1000,$N16)="","",INDEX('Cronograma Asistente Técnico'!$AR$5:$AR$1000,$N16)))</f>
        <v/>
      </c>
      <c r="D16" s="79">
        <f>IF($N16="","",IF(INDEX('Cronograma Asistente Técnico'!$AS$5:$AS$1000,$N16)="","",INDEX('Cronograma Asistente Técnico'!$AS$5:$AS$1000,$N16)))</f>
        <v/>
      </c>
      <c r="E16" s="56">
        <f>IF($N16="","",IF(NOT(ISNUMBER($D16)),"",IF($D16&lt;InicioCiclo,"Antes del ciclo",IF($D16&gt;=InicioCiclo+28,"Después del ciclo","Semana "&amp;(INT(($D16-InicioCiclo)/7)+1)))))</f>
        <v/>
      </c>
      <c r="F16" s="61">
        <f>IF($N16="","",IF($P16&gt;0,IF(1&lt;=SemanaActual,INDEX('Cronograma Asistente Técnico'!$AH$5:$AH$1000,$N16),""),IF(INDEX('Cronograma Asistente Técnico'!$I$5:$I$1000,$N16)="","",INDEX('Cronograma Asistente Técnico'!$I$5:$I$1000,$N16))))</f>
        <v/>
      </c>
      <c r="G16" s="61">
        <f>IF($N16="","",IF($P16&gt;0,IF(2&lt;=SemanaActual,INDEX('Cronograma Asistente Técnico'!$AI$5:$AI$1000,$N16),""),IF(INDEX('Cronograma Asistente Técnico'!$J$5:$J$1000,$N16)="","",INDEX('Cronograma Asistente Técnico'!$J$5:$J$1000,$N16))))</f>
        <v/>
      </c>
      <c r="H16" s="61">
        <f>IF($N16="","",IF($P16&gt;0,IF(3&lt;=SemanaActual,INDEX('Cronograma Asistente Técnico'!$AJ$5:$AJ$1000,$N16),""),IF(INDEX('Cronograma Asistente Técnico'!$K$5:$K$1000,$N16)="","",INDEX('Cronograma Asistente Técnico'!$K$5:$K$1000,$N16))))</f>
        <v/>
      </c>
      <c r="I16" s="61">
        <f>IF($N16="","",IF($P16&gt;0,IF(4&lt;=SemanaActual,INDEX('Cronograma Asistente Técnico'!$AK$5:$AK$1000,$N16),""),IF(INDEX('Cronograma Asistente Técnico'!$L$5:$L$1000,$N16)="","",INDEX('Cronograma Asistente Técnico'!$L$5:$L$1000,$N16))))</f>
        <v/>
      </c>
      <c r="J16" s="61">
        <f>IF($N16="","",INDEX('Cronograma Asistente Técnico'!$M$5:$M$1000,$N16))</f>
        <v/>
      </c>
      <c r="K16" s="56">
        <f>IF($N16="","",IF(N($J16)&gt;=1,"Completado",IF(AND(ISNUMBER($D16),$D16&lt;FechaRef),"Vencida",IF(N($J16)&gt;0,"En curso","Pendiente"))))</f>
        <v/>
      </c>
      <c r="L16" s="56">
        <f>IF($N16="","",INDEX('Cronograma Asistente Técnico'!$O$5:$O$1000,$N16)&amp;"")</f>
        <v/>
      </c>
      <c r="M16" s="62">
        <f>IF($N16="","",INDEX('Cronograma Asistente Técnico'!$Q$5:$Q$1000,$N16)&amp;"")</f>
        <v/>
      </c>
      <c r="N16">
        <f>IFERROR(MATCH(ROW()-4,rOrden_ATR,0),"")</f>
        <v/>
      </c>
      <c r="O16">
        <f>IF($N16="","",INDEX('Cronograma Asistente Técnico'!$V$5:$V$1000,$N16))</f>
        <v/>
      </c>
      <c r="P16">
        <f>IF($N16="","",N(INDEX('Cronograma Asistente Técnico'!$W$5:$W$1000,$N16)))</f>
        <v/>
      </c>
      <c r="Q16">
        <f>IF(OR(LEFT($L16,7)="Vencida",LEFT($L16,5)="Vence"),SUMPRODUCT(--(LEFT($L$5:$L16,7)="Vencida"))+SUMPRODUCT(--(LEFT($L$5:$L16,5)="Vence")),"")</f>
        <v/>
      </c>
    </row>
    <row r="17">
      <c r="A17" s="56">
        <f>IF($N17="","",INDEX('Cronograma Asistente Técnico'!$A$5:$A$1000,$N17))</f>
        <v/>
      </c>
      <c r="B17" s="62">
        <f>IF($N17="","",IF($O17="Sub","      ↳  "&amp;INDEX('Cronograma Asistente Técnico'!$C$5:$C$1000,$N17),INDEX('Cronograma Asistente Técnico'!$C$5:$C$1000,$N17)&amp;""))</f>
        <v/>
      </c>
      <c r="C17" s="79">
        <f>IF($N17="","",IF(INDEX('Cronograma Asistente Técnico'!$AR$5:$AR$1000,$N17)="","",INDEX('Cronograma Asistente Técnico'!$AR$5:$AR$1000,$N17)))</f>
        <v/>
      </c>
      <c r="D17" s="79">
        <f>IF($N17="","",IF(INDEX('Cronograma Asistente Técnico'!$AS$5:$AS$1000,$N17)="","",INDEX('Cronograma Asistente Técnico'!$AS$5:$AS$1000,$N17)))</f>
        <v/>
      </c>
      <c r="E17" s="56">
        <f>IF($N17="","",IF(NOT(ISNUMBER($D17)),"",IF($D17&lt;InicioCiclo,"Antes del ciclo",IF($D17&gt;=InicioCiclo+28,"Después del ciclo","Semana "&amp;(INT(($D17-InicioCiclo)/7)+1)))))</f>
        <v/>
      </c>
      <c r="F17" s="61">
        <f>IF($N17="","",IF($P17&gt;0,IF(1&lt;=SemanaActual,INDEX('Cronograma Asistente Técnico'!$AH$5:$AH$1000,$N17),""),IF(INDEX('Cronograma Asistente Técnico'!$I$5:$I$1000,$N17)="","",INDEX('Cronograma Asistente Técnico'!$I$5:$I$1000,$N17))))</f>
        <v/>
      </c>
      <c r="G17" s="61">
        <f>IF($N17="","",IF($P17&gt;0,IF(2&lt;=SemanaActual,INDEX('Cronograma Asistente Técnico'!$AI$5:$AI$1000,$N17),""),IF(INDEX('Cronograma Asistente Técnico'!$J$5:$J$1000,$N17)="","",INDEX('Cronograma Asistente Técnico'!$J$5:$J$1000,$N17))))</f>
        <v/>
      </c>
      <c r="H17" s="61">
        <f>IF($N17="","",IF($P17&gt;0,IF(3&lt;=SemanaActual,INDEX('Cronograma Asistente Técnico'!$AJ$5:$AJ$1000,$N17),""),IF(INDEX('Cronograma Asistente Técnico'!$K$5:$K$1000,$N17)="","",INDEX('Cronograma Asistente Técnico'!$K$5:$K$1000,$N17))))</f>
        <v/>
      </c>
      <c r="I17" s="61">
        <f>IF($N17="","",IF($P17&gt;0,IF(4&lt;=SemanaActual,INDEX('Cronograma Asistente Técnico'!$AK$5:$AK$1000,$N17),""),IF(INDEX('Cronograma Asistente Técnico'!$L$5:$L$1000,$N17)="","",INDEX('Cronograma Asistente Técnico'!$L$5:$L$1000,$N17))))</f>
        <v/>
      </c>
      <c r="J17" s="61">
        <f>IF($N17="","",INDEX('Cronograma Asistente Técnico'!$M$5:$M$1000,$N17))</f>
        <v/>
      </c>
      <c r="K17" s="56">
        <f>IF($N17="","",IF(N($J17)&gt;=1,"Completado",IF(AND(ISNUMBER($D17),$D17&lt;FechaRef),"Vencida",IF(N($J17)&gt;0,"En curso","Pendiente"))))</f>
        <v/>
      </c>
      <c r="L17" s="56">
        <f>IF($N17="","",INDEX('Cronograma Asistente Técnico'!$O$5:$O$1000,$N17)&amp;"")</f>
        <v/>
      </c>
      <c r="M17" s="62">
        <f>IF($N17="","",INDEX('Cronograma Asistente Técnico'!$Q$5:$Q$1000,$N17)&amp;"")</f>
        <v/>
      </c>
      <c r="N17">
        <f>IFERROR(MATCH(ROW()-4,rOrden_ATR,0),"")</f>
        <v/>
      </c>
      <c r="O17">
        <f>IF($N17="","",INDEX('Cronograma Asistente Técnico'!$V$5:$V$1000,$N17))</f>
        <v/>
      </c>
      <c r="P17">
        <f>IF($N17="","",N(INDEX('Cronograma Asistente Técnico'!$W$5:$W$1000,$N17)))</f>
        <v/>
      </c>
      <c r="Q17">
        <f>IF(OR(LEFT($L17,7)="Vencida",LEFT($L17,5)="Vence"),SUMPRODUCT(--(LEFT($L$5:$L17,7)="Vencida"))+SUMPRODUCT(--(LEFT($L$5:$L17,5)="Vence")),"")</f>
        <v/>
      </c>
    </row>
    <row r="18">
      <c r="A18" s="56">
        <f>IF($N18="","",INDEX('Cronograma Asistente Técnico'!$A$5:$A$1000,$N18))</f>
        <v/>
      </c>
      <c r="B18" s="62">
        <f>IF($N18="","",IF($O18="Sub","      ↳  "&amp;INDEX('Cronograma Asistente Técnico'!$C$5:$C$1000,$N18),INDEX('Cronograma Asistente Técnico'!$C$5:$C$1000,$N18)&amp;""))</f>
        <v/>
      </c>
      <c r="C18" s="79">
        <f>IF($N18="","",IF(INDEX('Cronograma Asistente Técnico'!$AR$5:$AR$1000,$N18)="","",INDEX('Cronograma Asistente Técnico'!$AR$5:$AR$1000,$N18)))</f>
        <v/>
      </c>
      <c r="D18" s="79">
        <f>IF($N18="","",IF(INDEX('Cronograma Asistente Técnico'!$AS$5:$AS$1000,$N18)="","",INDEX('Cronograma Asistente Técnico'!$AS$5:$AS$1000,$N18)))</f>
        <v/>
      </c>
      <c r="E18" s="56">
        <f>IF($N18="","",IF(NOT(ISNUMBER($D18)),"",IF($D18&lt;InicioCiclo,"Antes del ciclo",IF($D18&gt;=InicioCiclo+28,"Después del ciclo","Semana "&amp;(INT(($D18-InicioCiclo)/7)+1)))))</f>
        <v/>
      </c>
      <c r="F18" s="61">
        <f>IF($N18="","",IF($P18&gt;0,IF(1&lt;=SemanaActual,INDEX('Cronograma Asistente Técnico'!$AH$5:$AH$1000,$N18),""),IF(INDEX('Cronograma Asistente Técnico'!$I$5:$I$1000,$N18)="","",INDEX('Cronograma Asistente Técnico'!$I$5:$I$1000,$N18))))</f>
        <v/>
      </c>
      <c r="G18" s="61">
        <f>IF($N18="","",IF($P18&gt;0,IF(2&lt;=SemanaActual,INDEX('Cronograma Asistente Técnico'!$AI$5:$AI$1000,$N18),""),IF(INDEX('Cronograma Asistente Técnico'!$J$5:$J$1000,$N18)="","",INDEX('Cronograma Asistente Técnico'!$J$5:$J$1000,$N18))))</f>
        <v/>
      </c>
      <c r="H18" s="61">
        <f>IF($N18="","",IF($P18&gt;0,IF(3&lt;=SemanaActual,INDEX('Cronograma Asistente Técnico'!$AJ$5:$AJ$1000,$N18),""),IF(INDEX('Cronograma Asistente Técnico'!$K$5:$K$1000,$N18)="","",INDEX('Cronograma Asistente Técnico'!$K$5:$K$1000,$N18))))</f>
        <v/>
      </c>
      <c r="I18" s="61">
        <f>IF($N18="","",IF($P18&gt;0,IF(4&lt;=SemanaActual,INDEX('Cronograma Asistente Técnico'!$AK$5:$AK$1000,$N18),""),IF(INDEX('Cronograma Asistente Técnico'!$L$5:$L$1000,$N18)="","",INDEX('Cronograma Asistente Técnico'!$L$5:$L$1000,$N18))))</f>
        <v/>
      </c>
      <c r="J18" s="61">
        <f>IF($N18="","",INDEX('Cronograma Asistente Técnico'!$M$5:$M$1000,$N18))</f>
        <v/>
      </c>
      <c r="K18" s="56">
        <f>IF($N18="","",IF(N($J18)&gt;=1,"Completado",IF(AND(ISNUMBER($D18),$D18&lt;FechaRef),"Vencida",IF(N($J18)&gt;0,"En curso","Pendiente"))))</f>
        <v/>
      </c>
      <c r="L18" s="56">
        <f>IF($N18="","",INDEX('Cronograma Asistente Técnico'!$O$5:$O$1000,$N18)&amp;"")</f>
        <v/>
      </c>
      <c r="M18" s="62">
        <f>IF($N18="","",INDEX('Cronograma Asistente Técnico'!$Q$5:$Q$1000,$N18)&amp;"")</f>
        <v/>
      </c>
      <c r="N18">
        <f>IFERROR(MATCH(ROW()-4,rOrden_ATR,0),"")</f>
        <v/>
      </c>
      <c r="O18">
        <f>IF($N18="","",INDEX('Cronograma Asistente Técnico'!$V$5:$V$1000,$N18))</f>
        <v/>
      </c>
      <c r="P18">
        <f>IF($N18="","",N(INDEX('Cronograma Asistente Técnico'!$W$5:$W$1000,$N18)))</f>
        <v/>
      </c>
      <c r="Q18">
        <f>IF(OR(LEFT($L18,7)="Vencida",LEFT($L18,5)="Vence"),SUMPRODUCT(--(LEFT($L$5:$L18,7)="Vencida"))+SUMPRODUCT(--(LEFT($L$5:$L18,5)="Vence")),"")</f>
        <v/>
      </c>
    </row>
    <row r="19">
      <c r="A19" s="56">
        <f>IF($N19="","",INDEX('Cronograma Asistente Técnico'!$A$5:$A$1000,$N19))</f>
        <v/>
      </c>
      <c r="B19" s="62">
        <f>IF($N19="","",IF($O19="Sub","      ↳  "&amp;INDEX('Cronograma Asistente Técnico'!$C$5:$C$1000,$N19),INDEX('Cronograma Asistente Técnico'!$C$5:$C$1000,$N19)&amp;""))</f>
        <v/>
      </c>
      <c r="C19" s="79">
        <f>IF($N19="","",IF(INDEX('Cronograma Asistente Técnico'!$AR$5:$AR$1000,$N19)="","",INDEX('Cronograma Asistente Técnico'!$AR$5:$AR$1000,$N19)))</f>
        <v/>
      </c>
      <c r="D19" s="79">
        <f>IF($N19="","",IF(INDEX('Cronograma Asistente Técnico'!$AS$5:$AS$1000,$N19)="","",INDEX('Cronograma Asistente Técnico'!$AS$5:$AS$1000,$N19)))</f>
        <v/>
      </c>
      <c r="E19" s="56">
        <f>IF($N19="","",IF(NOT(ISNUMBER($D19)),"",IF($D19&lt;InicioCiclo,"Antes del ciclo",IF($D19&gt;=InicioCiclo+28,"Después del ciclo","Semana "&amp;(INT(($D19-InicioCiclo)/7)+1)))))</f>
        <v/>
      </c>
      <c r="F19" s="61">
        <f>IF($N19="","",IF($P19&gt;0,IF(1&lt;=SemanaActual,INDEX('Cronograma Asistente Técnico'!$AH$5:$AH$1000,$N19),""),IF(INDEX('Cronograma Asistente Técnico'!$I$5:$I$1000,$N19)="","",INDEX('Cronograma Asistente Técnico'!$I$5:$I$1000,$N19))))</f>
        <v/>
      </c>
      <c r="G19" s="61">
        <f>IF($N19="","",IF($P19&gt;0,IF(2&lt;=SemanaActual,INDEX('Cronograma Asistente Técnico'!$AI$5:$AI$1000,$N19),""),IF(INDEX('Cronograma Asistente Técnico'!$J$5:$J$1000,$N19)="","",INDEX('Cronograma Asistente Técnico'!$J$5:$J$1000,$N19))))</f>
        <v/>
      </c>
      <c r="H19" s="61">
        <f>IF($N19="","",IF($P19&gt;0,IF(3&lt;=SemanaActual,INDEX('Cronograma Asistente Técnico'!$AJ$5:$AJ$1000,$N19),""),IF(INDEX('Cronograma Asistente Técnico'!$K$5:$K$1000,$N19)="","",INDEX('Cronograma Asistente Técnico'!$K$5:$K$1000,$N19))))</f>
        <v/>
      </c>
      <c r="I19" s="61">
        <f>IF($N19="","",IF($P19&gt;0,IF(4&lt;=SemanaActual,INDEX('Cronograma Asistente Técnico'!$AK$5:$AK$1000,$N19),""),IF(INDEX('Cronograma Asistente Técnico'!$L$5:$L$1000,$N19)="","",INDEX('Cronograma Asistente Técnico'!$L$5:$L$1000,$N19))))</f>
        <v/>
      </c>
      <c r="J19" s="61">
        <f>IF($N19="","",INDEX('Cronograma Asistente Técnico'!$M$5:$M$1000,$N19))</f>
        <v/>
      </c>
      <c r="K19" s="56">
        <f>IF($N19="","",IF(N($J19)&gt;=1,"Completado",IF(AND(ISNUMBER($D19),$D19&lt;FechaRef),"Vencida",IF(N($J19)&gt;0,"En curso","Pendiente"))))</f>
        <v/>
      </c>
      <c r="L19" s="56">
        <f>IF($N19="","",INDEX('Cronograma Asistente Técnico'!$O$5:$O$1000,$N19)&amp;"")</f>
        <v/>
      </c>
      <c r="M19" s="62">
        <f>IF($N19="","",INDEX('Cronograma Asistente Técnico'!$Q$5:$Q$1000,$N19)&amp;"")</f>
        <v/>
      </c>
      <c r="N19">
        <f>IFERROR(MATCH(ROW()-4,rOrden_ATR,0),"")</f>
        <v/>
      </c>
      <c r="O19">
        <f>IF($N19="","",INDEX('Cronograma Asistente Técnico'!$V$5:$V$1000,$N19))</f>
        <v/>
      </c>
      <c r="P19">
        <f>IF($N19="","",N(INDEX('Cronograma Asistente Técnico'!$W$5:$W$1000,$N19)))</f>
        <v/>
      </c>
      <c r="Q19">
        <f>IF(OR(LEFT($L19,7)="Vencida",LEFT($L19,5)="Vence"),SUMPRODUCT(--(LEFT($L$5:$L19,7)="Vencida"))+SUMPRODUCT(--(LEFT($L$5:$L19,5)="Vence")),"")</f>
        <v/>
      </c>
    </row>
    <row r="20">
      <c r="A20" s="56">
        <f>IF($N20="","",INDEX('Cronograma Asistente Técnico'!$A$5:$A$1000,$N20))</f>
        <v/>
      </c>
      <c r="B20" s="62">
        <f>IF($N20="","",IF($O20="Sub","      ↳  "&amp;INDEX('Cronograma Asistente Técnico'!$C$5:$C$1000,$N20),INDEX('Cronograma Asistente Técnico'!$C$5:$C$1000,$N20)&amp;""))</f>
        <v/>
      </c>
      <c r="C20" s="79">
        <f>IF($N20="","",IF(INDEX('Cronograma Asistente Técnico'!$AR$5:$AR$1000,$N20)="","",INDEX('Cronograma Asistente Técnico'!$AR$5:$AR$1000,$N20)))</f>
        <v/>
      </c>
      <c r="D20" s="79">
        <f>IF($N20="","",IF(INDEX('Cronograma Asistente Técnico'!$AS$5:$AS$1000,$N20)="","",INDEX('Cronograma Asistente Técnico'!$AS$5:$AS$1000,$N20)))</f>
        <v/>
      </c>
      <c r="E20" s="56">
        <f>IF($N20="","",IF(NOT(ISNUMBER($D20)),"",IF($D20&lt;InicioCiclo,"Antes del ciclo",IF($D20&gt;=InicioCiclo+28,"Después del ciclo","Semana "&amp;(INT(($D20-InicioCiclo)/7)+1)))))</f>
        <v/>
      </c>
      <c r="F20" s="61">
        <f>IF($N20="","",IF($P20&gt;0,IF(1&lt;=SemanaActual,INDEX('Cronograma Asistente Técnico'!$AH$5:$AH$1000,$N20),""),IF(INDEX('Cronograma Asistente Técnico'!$I$5:$I$1000,$N20)="","",INDEX('Cronograma Asistente Técnico'!$I$5:$I$1000,$N20))))</f>
        <v/>
      </c>
      <c r="G20" s="61">
        <f>IF($N20="","",IF($P20&gt;0,IF(2&lt;=SemanaActual,INDEX('Cronograma Asistente Técnico'!$AI$5:$AI$1000,$N20),""),IF(INDEX('Cronograma Asistente Técnico'!$J$5:$J$1000,$N20)="","",INDEX('Cronograma Asistente Técnico'!$J$5:$J$1000,$N20))))</f>
        <v/>
      </c>
      <c r="H20" s="61">
        <f>IF($N20="","",IF($P20&gt;0,IF(3&lt;=SemanaActual,INDEX('Cronograma Asistente Técnico'!$AJ$5:$AJ$1000,$N20),""),IF(INDEX('Cronograma Asistente Técnico'!$K$5:$K$1000,$N20)="","",INDEX('Cronograma Asistente Técnico'!$K$5:$K$1000,$N20))))</f>
        <v/>
      </c>
      <c r="I20" s="61">
        <f>IF($N20="","",IF($P20&gt;0,IF(4&lt;=SemanaActual,INDEX('Cronograma Asistente Técnico'!$AK$5:$AK$1000,$N20),""),IF(INDEX('Cronograma Asistente Técnico'!$L$5:$L$1000,$N20)="","",INDEX('Cronograma Asistente Técnico'!$L$5:$L$1000,$N20))))</f>
        <v/>
      </c>
      <c r="J20" s="61">
        <f>IF($N20="","",INDEX('Cronograma Asistente Técnico'!$M$5:$M$1000,$N20))</f>
        <v/>
      </c>
      <c r="K20" s="56">
        <f>IF($N20="","",IF(N($J20)&gt;=1,"Completado",IF(AND(ISNUMBER($D20),$D20&lt;FechaRef),"Vencida",IF(N($J20)&gt;0,"En curso","Pendiente"))))</f>
        <v/>
      </c>
      <c r="L20" s="56">
        <f>IF($N20="","",INDEX('Cronograma Asistente Técnico'!$O$5:$O$1000,$N20)&amp;"")</f>
        <v/>
      </c>
      <c r="M20" s="62">
        <f>IF($N20="","",INDEX('Cronograma Asistente Técnico'!$Q$5:$Q$1000,$N20)&amp;"")</f>
        <v/>
      </c>
      <c r="N20">
        <f>IFERROR(MATCH(ROW()-4,rOrden_ATR,0),"")</f>
        <v/>
      </c>
      <c r="O20">
        <f>IF($N20="","",INDEX('Cronograma Asistente Técnico'!$V$5:$V$1000,$N20))</f>
        <v/>
      </c>
      <c r="P20">
        <f>IF($N20="","",N(INDEX('Cronograma Asistente Técnico'!$W$5:$W$1000,$N20)))</f>
        <v/>
      </c>
      <c r="Q20">
        <f>IF(OR(LEFT($L20,7)="Vencida",LEFT($L20,5)="Vence"),SUMPRODUCT(--(LEFT($L$5:$L20,7)="Vencida"))+SUMPRODUCT(--(LEFT($L$5:$L20,5)="Vence")),"")</f>
        <v/>
      </c>
    </row>
    <row r="21">
      <c r="A21" s="56">
        <f>IF($N21="","",INDEX('Cronograma Asistente Técnico'!$A$5:$A$1000,$N21))</f>
        <v/>
      </c>
      <c r="B21" s="62">
        <f>IF($N21="","",IF($O21="Sub","      ↳  "&amp;INDEX('Cronograma Asistente Técnico'!$C$5:$C$1000,$N21),INDEX('Cronograma Asistente Técnico'!$C$5:$C$1000,$N21)&amp;""))</f>
        <v/>
      </c>
      <c r="C21" s="79">
        <f>IF($N21="","",IF(INDEX('Cronograma Asistente Técnico'!$AR$5:$AR$1000,$N21)="","",INDEX('Cronograma Asistente Técnico'!$AR$5:$AR$1000,$N21)))</f>
        <v/>
      </c>
      <c r="D21" s="79">
        <f>IF($N21="","",IF(INDEX('Cronograma Asistente Técnico'!$AS$5:$AS$1000,$N21)="","",INDEX('Cronograma Asistente Técnico'!$AS$5:$AS$1000,$N21)))</f>
        <v/>
      </c>
      <c r="E21" s="56">
        <f>IF($N21="","",IF(NOT(ISNUMBER($D21)),"",IF($D21&lt;InicioCiclo,"Antes del ciclo",IF($D21&gt;=InicioCiclo+28,"Después del ciclo","Semana "&amp;(INT(($D21-InicioCiclo)/7)+1)))))</f>
        <v/>
      </c>
      <c r="F21" s="61">
        <f>IF($N21="","",IF($P21&gt;0,IF(1&lt;=SemanaActual,INDEX('Cronograma Asistente Técnico'!$AH$5:$AH$1000,$N21),""),IF(INDEX('Cronograma Asistente Técnico'!$I$5:$I$1000,$N21)="","",INDEX('Cronograma Asistente Técnico'!$I$5:$I$1000,$N21))))</f>
        <v/>
      </c>
      <c r="G21" s="61">
        <f>IF($N21="","",IF($P21&gt;0,IF(2&lt;=SemanaActual,INDEX('Cronograma Asistente Técnico'!$AI$5:$AI$1000,$N21),""),IF(INDEX('Cronograma Asistente Técnico'!$J$5:$J$1000,$N21)="","",INDEX('Cronograma Asistente Técnico'!$J$5:$J$1000,$N21))))</f>
        <v/>
      </c>
      <c r="H21" s="61">
        <f>IF($N21="","",IF($P21&gt;0,IF(3&lt;=SemanaActual,INDEX('Cronograma Asistente Técnico'!$AJ$5:$AJ$1000,$N21),""),IF(INDEX('Cronograma Asistente Técnico'!$K$5:$K$1000,$N21)="","",INDEX('Cronograma Asistente Técnico'!$K$5:$K$1000,$N21))))</f>
        <v/>
      </c>
      <c r="I21" s="61">
        <f>IF($N21="","",IF($P21&gt;0,IF(4&lt;=SemanaActual,INDEX('Cronograma Asistente Técnico'!$AK$5:$AK$1000,$N21),""),IF(INDEX('Cronograma Asistente Técnico'!$L$5:$L$1000,$N21)="","",INDEX('Cronograma Asistente Técnico'!$L$5:$L$1000,$N21))))</f>
        <v/>
      </c>
      <c r="J21" s="61">
        <f>IF($N21="","",INDEX('Cronograma Asistente Técnico'!$M$5:$M$1000,$N21))</f>
        <v/>
      </c>
      <c r="K21" s="56">
        <f>IF($N21="","",IF(N($J21)&gt;=1,"Completado",IF(AND(ISNUMBER($D21),$D21&lt;FechaRef),"Vencida",IF(N($J21)&gt;0,"En curso","Pendiente"))))</f>
        <v/>
      </c>
      <c r="L21" s="56">
        <f>IF($N21="","",INDEX('Cronograma Asistente Técnico'!$O$5:$O$1000,$N21)&amp;"")</f>
        <v/>
      </c>
      <c r="M21" s="62">
        <f>IF($N21="","",INDEX('Cronograma Asistente Técnico'!$Q$5:$Q$1000,$N21)&amp;"")</f>
        <v/>
      </c>
      <c r="N21">
        <f>IFERROR(MATCH(ROW()-4,rOrden_ATR,0),"")</f>
        <v/>
      </c>
      <c r="O21">
        <f>IF($N21="","",INDEX('Cronograma Asistente Técnico'!$V$5:$V$1000,$N21))</f>
        <v/>
      </c>
      <c r="P21">
        <f>IF($N21="","",N(INDEX('Cronograma Asistente Técnico'!$W$5:$W$1000,$N21)))</f>
        <v/>
      </c>
      <c r="Q21">
        <f>IF(OR(LEFT($L21,7)="Vencida",LEFT($L21,5)="Vence"),SUMPRODUCT(--(LEFT($L$5:$L21,7)="Vencida"))+SUMPRODUCT(--(LEFT($L$5:$L21,5)="Vence")),"")</f>
        <v/>
      </c>
    </row>
    <row r="22">
      <c r="A22" s="56">
        <f>IF($N22="","",INDEX('Cronograma Asistente Técnico'!$A$5:$A$1000,$N22))</f>
        <v/>
      </c>
      <c r="B22" s="62">
        <f>IF($N22="","",IF($O22="Sub","      ↳  "&amp;INDEX('Cronograma Asistente Técnico'!$C$5:$C$1000,$N22),INDEX('Cronograma Asistente Técnico'!$C$5:$C$1000,$N22)&amp;""))</f>
        <v/>
      </c>
      <c r="C22" s="79">
        <f>IF($N22="","",IF(INDEX('Cronograma Asistente Técnico'!$AR$5:$AR$1000,$N22)="","",INDEX('Cronograma Asistente Técnico'!$AR$5:$AR$1000,$N22)))</f>
        <v/>
      </c>
      <c r="D22" s="79">
        <f>IF($N22="","",IF(INDEX('Cronograma Asistente Técnico'!$AS$5:$AS$1000,$N22)="","",INDEX('Cronograma Asistente Técnico'!$AS$5:$AS$1000,$N22)))</f>
        <v/>
      </c>
      <c r="E22" s="56">
        <f>IF($N22="","",IF(NOT(ISNUMBER($D22)),"",IF($D22&lt;InicioCiclo,"Antes del ciclo",IF($D22&gt;=InicioCiclo+28,"Después del ciclo","Semana "&amp;(INT(($D22-InicioCiclo)/7)+1)))))</f>
        <v/>
      </c>
      <c r="F22" s="61">
        <f>IF($N22="","",IF($P22&gt;0,IF(1&lt;=SemanaActual,INDEX('Cronograma Asistente Técnico'!$AH$5:$AH$1000,$N22),""),IF(INDEX('Cronograma Asistente Técnico'!$I$5:$I$1000,$N22)="","",INDEX('Cronograma Asistente Técnico'!$I$5:$I$1000,$N22))))</f>
        <v/>
      </c>
      <c r="G22" s="61">
        <f>IF($N22="","",IF($P22&gt;0,IF(2&lt;=SemanaActual,INDEX('Cronograma Asistente Técnico'!$AI$5:$AI$1000,$N22),""),IF(INDEX('Cronograma Asistente Técnico'!$J$5:$J$1000,$N22)="","",INDEX('Cronograma Asistente Técnico'!$J$5:$J$1000,$N22))))</f>
        <v/>
      </c>
      <c r="H22" s="61">
        <f>IF($N22="","",IF($P22&gt;0,IF(3&lt;=SemanaActual,INDEX('Cronograma Asistente Técnico'!$AJ$5:$AJ$1000,$N22),""),IF(INDEX('Cronograma Asistente Técnico'!$K$5:$K$1000,$N22)="","",INDEX('Cronograma Asistente Técnico'!$K$5:$K$1000,$N22))))</f>
        <v/>
      </c>
      <c r="I22" s="61">
        <f>IF($N22="","",IF($P22&gt;0,IF(4&lt;=SemanaActual,INDEX('Cronograma Asistente Técnico'!$AK$5:$AK$1000,$N22),""),IF(INDEX('Cronograma Asistente Técnico'!$L$5:$L$1000,$N22)="","",INDEX('Cronograma Asistente Técnico'!$L$5:$L$1000,$N22))))</f>
        <v/>
      </c>
      <c r="J22" s="61">
        <f>IF($N22="","",INDEX('Cronograma Asistente Técnico'!$M$5:$M$1000,$N22))</f>
        <v/>
      </c>
      <c r="K22" s="56">
        <f>IF($N22="","",IF(N($J22)&gt;=1,"Completado",IF(AND(ISNUMBER($D22),$D22&lt;FechaRef),"Vencida",IF(N($J22)&gt;0,"En curso","Pendiente"))))</f>
        <v/>
      </c>
      <c r="L22" s="56">
        <f>IF($N22="","",INDEX('Cronograma Asistente Técnico'!$O$5:$O$1000,$N22)&amp;"")</f>
        <v/>
      </c>
      <c r="M22" s="62">
        <f>IF($N22="","",INDEX('Cronograma Asistente Técnico'!$Q$5:$Q$1000,$N22)&amp;"")</f>
        <v/>
      </c>
      <c r="N22">
        <f>IFERROR(MATCH(ROW()-4,rOrden_ATR,0),"")</f>
        <v/>
      </c>
      <c r="O22">
        <f>IF($N22="","",INDEX('Cronograma Asistente Técnico'!$V$5:$V$1000,$N22))</f>
        <v/>
      </c>
      <c r="P22">
        <f>IF($N22="","",N(INDEX('Cronograma Asistente Técnico'!$W$5:$W$1000,$N22)))</f>
        <v/>
      </c>
      <c r="Q22">
        <f>IF(OR(LEFT($L22,7)="Vencida",LEFT($L22,5)="Vence"),SUMPRODUCT(--(LEFT($L$5:$L22,7)="Vencida"))+SUMPRODUCT(--(LEFT($L$5:$L22,5)="Vence")),"")</f>
        <v/>
      </c>
    </row>
    <row r="23">
      <c r="A23" s="56">
        <f>IF($N23="","",INDEX('Cronograma Asistente Técnico'!$A$5:$A$1000,$N23))</f>
        <v/>
      </c>
      <c r="B23" s="62">
        <f>IF($N23="","",IF($O23="Sub","      ↳  "&amp;INDEX('Cronograma Asistente Técnico'!$C$5:$C$1000,$N23),INDEX('Cronograma Asistente Técnico'!$C$5:$C$1000,$N23)&amp;""))</f>
        <v/>
      </c>
      <c r="C23" s="79">
        <f>IF($N23="","",IF(INDEX('Cronograma Asistente Técnico'!$AR$5:$AR$1000,$N23)="","",INDEX('Cronograma Asistente Técnico'!$AR$5:$AR$1000,$N23)))</f>
        <v/>
      </c>
      <c r="D23" s="79">
        <f>IF($N23="","",IF(INDEX('Cronograma Asistente Técnico'!$AS$5:$AS$1000,$N23)="","",INDEX('Cronograma Asistente Técnico'!$AS$5:$AS$1000,$N23)))</f>
        <v/>
      </c>
      <c r="E23" s="56">
        <f>IF($N23="","",IF(NOT(ISNUMBER($D23)),"",IF($D23&lt;InicioCiclo,"Antes del ciclo",IF($D23&gt;=InicioCiclo+28,"Después del ciclo","Semana "&amp;(INT(($D23-InicioCiclo)/7)+1)))))</f>
        <v/>
      </c>
      <c r="F23" s="61">
        <f>IF($N23="","",IF($P23&gt;0,IF(1&lt;=SemanaActual,INDEX('Cronograma Asistente Técnico'!$AH$5:$AH$1000,$N23),""),IF(INDEX('Cronograma Asistente Técnico'!$I$5:$I$1000,$N23)="","",INDEX('Cronograma Asistente Técnico'!$I$5:$I$1000,$N23))))</f>
        <v/>
      </c>
      <c r="G23" s="61">
        <f>IF($N23="","",IF($P23&gt;0,IF(2&lt;=SemanaActual,INDEX('Cronograma Asistente Técnico'!$AI$5:$AI$1000,$N23),""),IF(INDEX('Cronograma Asistente Técnico'!$J$5:$J$1000,$N23)="","",INDEX('Cronograma Asistente Técnico'!$J$5:$J$1000,$N23))))</f>
        <v/>
      </c>
      <c r="H23" s="61">
        <f>IF($N23="","",IF($P23&gt;0,IF(3&lt;=SemanaActual,INDEX('Cronograma Asistente Técnico'!$AJ$5:$AJ$1000,$N23),""),IF(INDEX('Cronograma Asistente Técnico'!$K$5:$K$1000,$N23)="","",INDEX('Cronograma Asistente Técnico'!$K$5:$K$1000,$N23))))</f>
        <v/>
      </c>
      <c r="I23" s="61">
        <f>IF($N23="","",IF($P23&gt;0,IF(4&lt;=SemanaActual,INDEX('Cronograma Asistente Técnico'!$AK$5:$AK$1000,$N23),""),IF(INDEX('Cronograma Asistente Técnico'!$L$5:$L$1000,$N23)="","",INDEX('Cronograma Asistente Técnico'!$L$5:$L$1000,$N23))))</f>
        <v/>
      </c>
      <c r="J23" s="61">
        <f>IF($N23="","",INDEX('Cronograma Asistente Técnico'!$M$5:$M$1000,$N23))</f>
        <v/>
      </c>
      <c r="K23" s="56">
        <f>IF($N23="","",IF(N($J23)&gt;=1,"Completado",IF(AND(ISNUMBER($D23),$D23&lt;FechaRef),"Vencida",IF(N($J23)&gt;0,"En curso","Pendiente"))))</f>
        <v/>
      </c>
      <c r="L23" s="56">
        <f>IF($N23="","",INDEX('Cronograma Asistente Técnico'!$O$5:$O$1000,$N23)&amp;"")</f>
        <v/>
      </c>
      <c r="M23" s="62">
        <f>IF($N23="","",INDEX('Cronograma Asistente Técnico'!$Q$5:$Q$1000,$N23)&amp;"")</f>
        <v/>
      </c>
      <c r="N23">
        <f>IFERROR(MATCH(ROW()-4,rOrden_ATR,0),"")</f>
        <v/>
      </c>
      <c r="O23">
        <f>IF($N23="","",INDEX('Cronograma Asistente Técnico'!$V$5:$V$1000,$N23))</f>
        <v/>
      </c>
      <c r="P23">
        <f>IF($N23="","",N(INDEX('Cronograma Asistente Técnico'!$W$5:$W$1000,$N23)))</f>
        <v/>
      </c>
      <c r="Q23">
        <f>IF(OR(LEFT($L23,7)="Vencida",LEFT($L23,5)="Vence"),SUMPRODUCT(--(LEFT($L$5:$L23,7)="Vencida"))+SUMPRODUCT(--(LEFT($L$5:$L23,5)="Vence")),"")</f>
        <v/>
      </c>
    </row>
    <row r="24">
      <c r="A24" s="56">
        <f>IF($N24="","",INDEX('Cronograma Asistente Técnico'!$A$5:$A$1000,$N24))</f>
        <v/>
      </c>
      <c r="B24" s="62">
        <f>IF($N24="","",IF($O24="Sub","      ↳  "&amp;INDEX('Cronograma Asistente Técnico'!$C$5:$C$1000,$N24),INDEX('Cronograma Asistente Técnico'!$C$5:$C$1000,$N24)&amp;""))</f>
        <v/>
      </c>
      <c r="C24" s="79">
        <f>IF($N24="","",IF(INDEX('Cronograma Asistente Técnico'!$AR$5:$AR$1000,$N24)="","",INDEX('Cronograma Asistente Técnico'!$AR$5:$AR$1000,$N24)))</f>
        <v/>
      </c>
      <c r="D24" s="79">
        <f>IF($N24="","",IF(INDEX('Cronograma Asistente Técnico'!$AS$5:$AS$1000,$N24)="","",INDEX('Cronograma Asistente Técnico'!$AS$5:$AS$1000,$N24)))</f>
        <v/>
      </c>
      <c r="E24" s="56">
        <f>IF($N24="","",IF(NOT(ISNUMBER($D24)),"",IF($D24&lt;InicioCiclo,"Antes del ciclo",IF($D24&gt;=InicioCiclo+28,"Después del ciclo","Semana "&amp;(INT(($D24-InicioCiclo)/7)+1)))))</f>
        <v/>
      </c>
      <c r="F24" s="61">
        <f>IF($N24="","",IF($P24&gt;0,IF(1&lt;=SemanaActual,INDEX('Cronograma Asistente Técnico'!$AH$5:$AH$1000,$N24),""),IF(INDEX('Cronograma Asistente Técnico'!$I$5:$I$1000,$N24)="","",INDEX('Cronograma Asistente Técnico'!$I$5:$I$1000,$N24))))</f>
        <v/>
      </c>
      <c r="G24" s="61">
        <f>IF($N24="","",IF($P24&gt;0,IF(2&lt;=SemanaActual,INDEX('Cronograma Asistente Técnico'!$AI$5:$AI$1000,$N24),""),IF(INDEX('Cronograma Asistente Técnico'!$J$5:$J$1000,$N24)="","",INDEX('Cronograma Asistente Técnico'!$J$5:$J$1000,$N24))))</f>
        <v/>
      </c>
      <c r="H24" s="61">
        <f>IF($N24="","",IF($P24&gt;0,IF(3&lt;=SemanaActual,INDEX('Cronograma Asistente Técnico'!$AJ$5:$AJ$1000,$N24),""),IF(INDEX('Cronograma Asistente Técnico'!$K$5:$K$1000,$N24)="","",INDEX('Cronograma Asistente Técnico'!$K$5:$K$1000,$N24))))</f>
        <v/>
      </c>
      <c r="I24" s="61">
        <f>IF($N24="","",IF($P24&gt;0,IF(4&lt;=SemanaActual,INDEX('Cronograma Asistente Técnico'!$AK$5:$AK$1000,$N24),""),IF(INDEX('Cronograma Asistente Técnico'!$L$5:$L$1000,$N24)="","",INDEX('Cronograma Asistente Técnico'!$L$5:$L$1000,$N24))))</f>
        <v/>
      </c>
      <c r="J24" s="61">
        <f>IF($N24="","",INDEX('Cronograma Asistente Técnico'!$M$5:$M$1000,$N24))</f>
        <v/>
      </c>
      <c r="K24" s="56">
        <f>IF($N24="","",IF(N($J24)&gt;=1,"Completado",IF(AND(ISNUMBER($D24),$D24&lt;FechaRef),"Vencida",IF(N($J24)&gt;0,"En curso","Pendiente"))))</f>
        <v/>
      </c>
      <c r="L24" s="56">
        <f>IF($N24="","",INDEX('Cronograma Asistente Técnico'!$O$5:$O$1000,$N24)&amp;"")</f>
        <v/>
      </c>
      <c r="M24" s="62">
        <f>IF($N24="","",INDEX('Cronograma Asistente Técnico'!$Q$5:$Q$1000,$N24)&amp;"")</f>
        <v/>
      </c>
      <c r="N24">
        <f>IFERROR(MATCH(ROW()-4,rOrden_ATR,0),"")</f>
        <v/>
      </c>
      <c r="O24">
        <f>IF($N24="","",INDEX('Cronograma Asistente Técnico'!$V$5:$V$1000,$N24))</f>
        <v/>
      </c>
      <c r="P24">
        <f>IF($N24="","",N(INDEX('Cronograma Asistente Técnico'!$W$5:$W$1000,$N24)))</f>
        <v/>
      </c>
      <c r="Q24">
        <f>IF(OR(LEFT($L24,7)="Vencida",LEFT($L24,5)="Vence"),SUMPRODUCT(--(LEFT($L$5:$L24,7)="Vencida"))+SUMPRODUCT(--(LEFT($L$5:$L24,5)="Vence")),"")</f>
        <v/>
      </c>
    </row>
    <row r="25">
      <c r="A25" s="56">
        <f>IF($N25="","",INDEX('Cronograma Asistente Técnico'!$A$5:$A$1000,$N25))</f>
        <v/>
      </c>
      <c r="B25" s="62">
        <f>IF($N25="","",IF($O25="Sub","      ↳  "&amp;INDEX('Cronograma Asistente Técnico'!$C$5:$C$1000,$N25),INDEX('Cronograma Asistente Técnico'!$C$5:$C$1000,$N25)&amp;""))</f>
        <v/>
      </c>
      <c r="C25" s="79">
        <f>IF($N25="","",IF(INDEX('Cronograma Asistente Técnico'!$AR$5:$AR$1000,$N25)="","",INDEX('Cronograma Asistente Técnico'!$AR$5:$AR$1000,$N25)))</f>
        <v/>
      </c>
      <c r="D25" s="79">
        <f>IF($N25="","",IF(INDEX('Cronograma Asistente Técnico'!$AS$5:$AS$1000,$N25)="","",INDEX('Cronograma Asistente Técnico'!$AS$5:$AS$1000,$N25)))</f>
        <v/>
      </c>
      <c r="E25" s="56">
        <f>IF($N25="","",IF(NOT(ISNUMBER($D25)),"",IF($D25&lt;InicioCiclo,"Antes del ciclo",IF($D25&gt;=InicioCiclo+28,"Después del ciclo","Semana "&amp;(INT(($D25-InicioCiclo)/7)+1)))))</f>
        <v/>
      </c>
      <c r="F25" s="61">
        <f>IF($N25="","",IF($P25&gt;0,IF(1&lt;=SemanaActual,INDEX('Cronograma Asistente Técnico'!$AH$5:$AH$1000,$N25),""),IF(INDEX('Cronograma Asistente Técnico'!$I$5:$I$1000,$N25)="","",INDEX('Cronograma Asistente Técnico'!$I$5:$I$1000,$N25))))</f>
        <v/>
      </c>
      <c r="G25" s="61">
        <f>IF($N25="","",IF($P25&gt;0,IF(2&lt;=SemanaActual,INDEX('Cronograma Asistente Técnico'!$AI$5:$AI$1000,$N25),""),IF(INDEX('Cronograma Asistente Técnico'!$J$5:$J$1000,$N25)="","",INDEX('Cronograma Asistente Técnico'!$J$5:$J$1000,$N25))))</f>
        <v/>
      </c>
      <c r="H25" s="61">
        <f>IF($N25="","",IF($P25&gt;0,IF(3&lt;=SemanaActual,INDEX('Cronograma Asistente Técnico'!$AJ$5:$AJ$1000,$N25),""),IF(INDEX('Cronograma Asistente Técnico'!$K$5:$K$1000,$N25)="","",INDEX('Cronograma Asistente Técnico'!$K$5:$K$1000,$N25))))</f>
        <v/>
      </c>
      <c r="I25" s="61">
        <f>IF($N25="","",IF($P25&gt;0,IF(4&lt;=SemanaActual,INDEX('Cronograma Asistente Técnico'!$AK$5:$AK$1000,$N25),""),IF(INDEX('Cronograma Asistente Técnico'!$L$5:$L$1000,$N25)="","",INDEX('Cronograma Asistente Técnico'!$L$5:$L$1000,$N25))))</f>
        <v/>
      </c>
      <c r="J25" s="61">
        <f>IF($N25="","",INDEX('Cronograma Asistente Técnico'!$M$5:$M$1000,$N25))</f>
        <v/>
      </c>
      <c r="K25" s="56">
        <f>IF($N25="","",IF(N($J25)&gt;=1,"Completado",IF(AND(ISNUMBER($D25),$D25&lt;FechaRef),"Vencida",IF(N($J25)&gt;0,"En curso","Pendiente"))))</f>
        <v/>
      </c>
      <c r="L25" s="56">
        <f>IF($N25="","",INDEX('Cronograma Asistente Técnico'!$O$5:$O$1000,$N25)&amp;"")</f>
        <v/>
      </c>
      <c r="M25" s="62">
        <f>IF($N25="","",INDEX('Cronograma Asistente Técnico'!$Q$5:$Q$1000,$N25)&amp;"")</f>
        <v/>
      </c>
      <c r="N25">
        <f>IFERROR(MATCH(ROW()-4,rOrden_ATR,0),"")</f>
        <v/>
      </c>
      <c r="O25">
        <f>IF($N25="","",INDEX('Cronograma Asistente Técnico'!$V$5:$V$1000,$N25))</f>
        <v/>
      </c>
      <c r="P25">
        <f>IF($N25="","",N(INDEX('Cronograma Asistente Técnico'!$W$5:$W$1000,$N25)))</f>
        <v/>
      </c>
      <c r="Q25">
        <f>IF(OR(LEFT($L25,7)="Vencida",LEFT($L25,5)="Vence"),SUMPRODUCT(--(LEFT($L$5:$L25,7)="Vencida"))+SUMPRODUCT(--(LEFT($L$5:$L25,5)="Vence")),"")</f>
        <v/>
      </c>
    </row>
    <row r="26">
      <c r="A26" s="56">
        <f>IF($N26="","",INDEX('Cronograma Asistente Técnico'!$A$5:$A$1000,$N26))</f>
        <v/>
      </c>
      <c r="B26" s="62">
        <f>IF($N26="","",IF($O26="Sub","      ↳  "&amp;INDEX('Cronograma Asistente Técnico'!$C$5:$C$1000,$N26),INDEX('Cronograma Asistente Técnico'!$C$5:$C$1000,$N26)&amp;""))</f>
        <v/>
      </c>
      <c r="C26" s="79">
        <f>IF($N26="","",IF(INDEX('Cronograma Asistente Técnico'!$AR$5:$AR$1000,$N26)="","",INDEX('Cronograma Asistente Técnico'!$AR$5:$AR$1000,$N26)))</f>
        <v/>
      </c>
      <c r="D26" s="79">
        <f>IF($N26="","",IF(INDEX('Cronograma Asistente Técnico'!$AS$5:$AS$1000,$N26)="","",INDEX('Cronograma Asistente Técnico'!$AS$5:$AS$1000,$N26)))</f>
        <v/>
      </c>
      <c r="E26" s="56">
        <f>IF($N26="","",IF(NOT(ISNUMBER($D26)),"",IF($D26&lt;InicioCiclo,"Antes del ciclo",IF($D26&gt;=InicioCiclo+28,"Después del ciclo","Semana "&amp;(INT(($D26-InicioCiclo)/7)+1)))))</f>
        <v/>
      </c>
      <c r="F26" s="61">
        <f>IF($N26="","",IF($P26&gt;0,IF(1&lt;=SemanaActual,INDEX('Cronograma Asistente Técnico'!$AH$5:$AH$1000,$N26),""),IF(INDEX('Cronograma Asistente Técnico'!$I$5:$I$1000,$N26)="","",INDEX('Cronograma Asistente Técnico'!$I$5:$I$1000,$N26))))</f>
        <v/>
      </c>
      <c r="G26" s="61">
        <f>IF($N26="","",IF($P26&gt;0,IF(2&lt;=SemanaActual,INDEX('Cronograma Asistente Técnico'!$AI$5:$AI$1000,$N26),""),IF(INDEX('Cronograma Asistente Técnico'!$J$5:$J$1000,$N26)="","",INDEX('Cronograma Asistente Técnico'!$J$5:$J$1000,$N26))))</f>
        <v/>
      </c>
      <c r="H26" s="61">
        <f>IF($N26="","",IF($P26&gt;0,IF(3&lt;=SemanaActual,INDEX('Cronograma Asistente Técnico'!$AJ$5:$AJ$1000,$N26),""),IF(INDEX('Cronograma Asistente Técnico'!$K$5:$K$1000,$N26)="","",INDEX('Cronograma Asistente Técnico'!$K$5:$K$1000,$N26))))</f>
        <v/>
      </c>
      <c r="I26" s="61">
        <f>IF($N26="","",IF($P26&gt;0,IF(4&lt;=SemanaActual,INDEX('Cronograma Asistente Técnico'!$AK$5:$AK$1000,$N26),""),IF(INDEX('Cronograma Asistente Técnico'!$L$5:$L$1000,$N26)="","",INDEX('Cronograma Asistente Técnico'!$L$5:$L$1000,$N26))))</f>
        <v/>
      </c>
      <c r="J26" s="61">
        <f>IF($N26="","",INDEX('Cronograma Asistente Técnico'!$M$5:$M$1000,$N26))</f>
        <v/>
      </c>
      <c r="K26" s="56">
        <f>IF($N26="","",IF(N($J26)&gt;=1,"Completado",IF(AND(ISNUMBER($D26),$D26&lt;FechaRef),"Vencida",IF(N($J26)&gt;0,"En curso","Pendiente"))))</f>
        <v/>
      </c>
      <c r="L26" s="56">
        <f>IF($N26="","",INDEX('Cronograma Asistente Técnico'!$O$5:$O$1000,$N26)&amp;"")</f>
        <v/>
      </c>
      <c r="M26" s="62">
        <f>IF($N26="","",INDEX('Cronograma Asistente Técnico'!$Q$5:$Q$1000,$N26)&amp;"")</f>
        <v/>
      </c>
      <c r="N26">
        <f>IFERROR(MATCH(ROW()-4,rOrden_ATR,0),"")</f>
        <v/>
      </c>
      <c r="O26">
        <f>IF($N26="","",INDEX('Cronograma Asistente Técnico'!$V$5:$V$1000,$N26))</f>
        <v/>
      </c>
      <c r="P26">
        <f>IF($N26="","",N(INDEX('Cronograma Asistente Técnico'!$W$5:$W$1000,$N26)))</f>
        <v/>
      </c>
      <c r="Q26">
        <f>IF(OR(LEFT($L26,7)="Vencida",LEFT($L26,5)="Vence"),SUMPRODUCT(--(LEFT($L$5:$L26,7)="Vencida"))+SUMPRODUCT(--(LEFT($L$5:$L26,5)="Vence")),"")</f>
        <v/>
      </c>
    </row>
    <row r="27">
      <c r="A27" s="56">
        <f>IF($N27="","",INDEX('Cronograma Asistente Técnico'!$A$5:$A$1000,$N27))</f>
        <v/>
      </c>
      <c r="B27" s="62">
        <f>IF($N27="","",IF($O27="Sub","      ↳  "&amp;INDEX('Cronograma Asistente Técnico'!$C$5:$C$1000,$N27),INDEX('Cronograma Asistente Técnico'!$C$5:$C$1000,$N27)&amp;""))</f>
        <v/>
      </c>
      <c r="C27" s="79">
        <f>IF($N27="","",IF(INDEX('Cronograma Asistente Técnico'!$AR$5:$AR$1000,$N27)="","",INDEX('Cronograma Asistente Técnico'!$AR$5:$AR$1000,$N27)))</f>
        <v/>
      </c>
      <c r="D27" s="79">
        <f>IF($N27="","",IF(INDEX('Cronograma Asistente Técnico'!$AS$5:$AS$1000,$N27)="","",INDEX('Cronograma Asistente Técnico'!$AS$5:$AS$1000,$N27)))</f>
        <v/>
      </c>
      <c r="E27" s="56">
        <f>IF($N27="","",IF(NOT(ISNUMBER($D27)),"",IF($D27&lt;InicioCiclo,"Antes del ciclo",IF($D27&gt;=InicioCiclo+28,"Después del ciclo","Semana "&amp;(INT(($D27-InicioCiclo)/7)+1)))))</f>
        <v/>
      </c>
      <c r="F27" s="61">
        <f>IF($N27="","",IF($P27&gt;0,IF(1&lt;=SemanaActual,INDEX('Cronograma Asistente Técnico'!$AH$5:$AH$1000,$N27),""),IF(INDEX('Cronograma Asistente Técnico'!$I$5:$I$1000,$N27)="","",INDEX('Cronograma Asistente Técnico'!$I$5:$I$1000,$N27))))</f>
        <v/>
      </c>
      <c r="G27" s="61">
        <f>IF($N27="","",IF($P27&gt;0,IF(2&lt;=SemanaActual,INDEX('Cronograma Asistente Técnico'!$AI$5:$AI$1000,$N27),""),IF(INDEX('Cronograma Asistente Técnico'!$J$5:$J$1000,$N27)="","",INDEX('Cronograma Asistente Técnico'!$J$5:$J$1000,$N27))))</f>
        <v/>
      </c>
      <c r="H27" s="61">
        <f>IF($N27="","",IF($P27&gt;0,IF(3&lt;=SemanaActual,INDEX('Cronograma Asistente Técnico'!$AJ$5:$AJ$1000,$N27),""),IF(INDEX('Cronograma Asistente Técnico'!$K$5:$K$1000,$N27)="","",INDEX('Cronograma Asistente Técnico'!$K$5:$K$1000,$N27))))</f>
        <v/>
      </c>
      <c r="I27" s="61">
        <f>IF($N27="","",IF($P27&gt;0,IF(4&lt;=SemanaActual,INDEX('Cronograma Asistente Técnico'!$AK$5:$AK$1000,$N27),""),IF(INDEX('Cronograma Asistente Técnico'!$L$5:$L$1000,$N27)="","",INDEX('Cronograma Asistente Técnico'!$L$5:$L$1000,$N27))))</f>
        <v/>
      </c>
      <c r="J27" s="61">
        <f>IF($N27="","",INDEX('Cronograma Asistente Técnico'!$M$5:$M$1000,$N27))</f>
        <v/>
      </c>
      <c r="K27" s="56">
        <f>IF($N27="","",IF(N($J27)&gt;=1,"Completado",IF(AND(ISNUMBER($D27),$D27&lt;FechaRef),"Vencida",IF(N($J27)&gt;0,"En curso","Pendiente"))))</f>
        <v/>
      </c>
      <c r="L27" s="56">
        <f>IF($N27="","",INDEX('Cronograma Asistente Técnico'!$O$5:$O$1000,$N27)&amp;"")</f>
        <v/>
      </c>
      <c r="M27" s="62">
        <f>IF($N27="","",INDEX('Cronograma Asistente Técnico'!$Q$5:$Q$1000,$N27)&amp;"")</f>
        <v/>
      </c>
      <c r="N27">
        <f>IFERROR(MATCH(ROW()-4,rOrden_ATR,0),"")</f>
        <v/>
      </c>
      <c r="O27">
        <f>IF($N27="","",INDEX('Cronograma Asistente Técnico'!$V$5:$V$1000,$N27))</f>
        <v/>
      </c>
      <c r="P27">
        <f>IF($N27="","",N(INDEX('Cronograma Asistente Técnico'!$W$5:$W$1000,$N27)))</f>
        <v/>
      </c>
      <c r="Q27">
        <f>IF(OR(LEFT($L27,7)="Vencida",LEFT($L27,5)="Vence"),SUMPRODUCT(--(LEFT($L$5:$L27,7)="Vencida"))+SUMPRODUCT(--(LEFT($L$5:$L27,5)="Vence")),"")</f>
        <v/>
      </c>
    </row>
    <row r="28">
      <c r="A28" s="56">
        <f>IF($N28="","",INDEX('Cronograma Asistente Técnico'!$A$5:$A$1000,$N28))</f>
        <v/>
      </c>
      <c r="B28" s="62">
        <f>IF($N28="","",IF($O28="Sub","      ↳  "&amp;INDEX('Cronograma Asistente Técnico'!$C$5:$C$1000,$N28),INDEX('Cronograma Asistente Técnico'!$C$5:$C$1000,$N28)&amp;""))</f>
        <v/>
      </c>
      <c r="C28" s="79">
        <f>IF($N28="","",IF(INDEX('Cronograma Asistente Técnico'!$AR$5:$AR$1000,$N28)="","",INDEX('Cronograma Asistente Técnico'!$AR$5:$AR$1000,$N28)))</f>
        <v/>
      </c>
      <c r="D28" s="79">
        <f>IF($N28="","",IF(INDEX('Cronograma Asistente Técnico'!$AS$5:$AS$1000,$N28)="","",INDEX('Cronograma Asistente Técnico'!$AS$5:$AS$1000,$N28)))</f>
        <v/>
      </c>
      <c r="E28" s="56">
        <f>IF($N28="","",IF(NOT(ISNUMBER($D28)),"",IF($D28&lt;InicioCiclo,"Antes del ciclo",IF($D28&gt;=InicioCiclo+28,"Después del ciclo","Semana "&amp;(INT(($D28-InicioCiclo)/7)+1)))))</f>
        <v/>
      </c>
      <c r="F28" s="61">
        <f>IF($N28="","",IF($P28&gt;0,IF(1&lt;=SemanaActual,INDEX('Cronograma Asistente Técnico'!$AH$5:$AH$1000,$N28),""),IF(INDEX('Cronograma Asistente Técnico'!$I$5:$I$1000,$N28)="","",INDEX('Cronograma Asistente Técnico'!$I$5:$I$1000,$N28))))</f>
        <v/>
      </c>
      <c r="G28" s="61">
        <f>IF($N28="","",IF($P28&gt;0,IF(2&lt;=SemanaActual,INDEX('Cronograma Asistente Técnico'!$AI$5:$AI$1000,$N28),""),IF(INDEX('Cronograma Asistente Técnico'!$J$5:$J$1000,$N28)="","",INDEX('Cronograma Asistente Técnico'!$J$5:$J$1000,$N28))))</f>
        <v/>
      </c>
      <c r="H28" s="61">
        <f>IF($N28="","",IF($P28&gt;0,IF(3&lt;=SemanaActual,INDEX('Cronograma Asistente Técnico'!$AJ$5:$AJ$1000,$N28),""),IF(INDEX('Cronograma Asistente Técnico'!$K$5:$K$1000,$N28)="","",INDEX('Cronograma Asistente Técnico'!$K$5:$K$1000,$N28))))</f>
        <v/>
      </c>
      <c r="I28" s="61">
        <f>IF($N28="","",IF($P28&gt;0,IF(4&lt;=SemanaActual,INDEX('Cronograma Asistente Técnico'!$AK$5:$AK$1000,$N28),""),IF(INDEX('Cronograma Asistente Técnico'!$L$5:$L$1000,$N28)="","",INDEX('Cronograma Asistente Técnico'!$L$5:$L$1000,$N28))))</f>
        <v/>
      </c>
      <c r="J28" s="61">
        <f>IF($N28="","",INDEX('Cronograma Asistente Técnico'!$M$5:$M$1000,$N28))</f>
        <v/>
      </c>
      <c r="K28" s="56">
        <f>IF($N28="","",IF(N($J28)&gt;=1,"Completado",IF(AND(ISNUMBER($D28),$D28&lt;FechaRef),"Vencida",IF(N($J28)&gt;0,"En curso","Pendiente"))))</f>
        <v/>
      </c>
      <c r="L28" s="56">
        <f>IF($N28="","",INDEX('Cronograma Asistente Técnico'!$O$5:$O$1000,$N28)&amp;"")</f>
        <v/>
      </c>
      <c r="M28" s="62">
        <f>IF($N28="","",INDEX('Cronograma Asistente Técnico'!$Q$5:$Q$1000,$N28)&amp;"")</f>
        <v/>
      </c>
      <c r="N28">
        <f>IFERROR(MATCH(ROW()-4,rOrden_ATR,0),"")</f>
        <v/>
      </c>
      <c r="O28">
        <f>IF($N28="","",INDEX('Cronograma Asistente Técnico'!$V$5:$V$1000,$N28))</f>
        <v/>
      </c>
      <c r="P28">
        <f>IF($N28="","",N(INDEX('Cronograma Asistente Técnico'!$W$5:$W$1000,$N28)))</f>
        <v/>
      </c>
      <c r="Q28">
        <f>IF(OR(LEFT($L28,7)="Vencida",LEFT($L28,5)="Vence"),SUMPRODUCT(--(LEFT($L$5:$L28,7)="Vencida"))+SUMPRODUCT(--(LEFT($L$5:$L28,5)="Vence")),"")</f>
        <v/>
      </c>
    </row>
    <row r="29">
      <c r="A29" s="56">
        <f>IF($N29="","",INDEX('Cronograma Asistente Técnico'!$A$5:$A$1000,$N29))</f>
        <v/>
      </c>
      <c r="B29" s="62">
        <f>IF($N29="","",IF($O29="Sub","      ↳  "&amp;INDEX('Cronograma Asistente Técnico'!$C$5:$C$1000,$N29),INDEX('Cronograma Asistente Técnico'!$C$5:$C$1000,$N29)&amp;""))</f>
        <v/>
      </c>
      <c r="C29" s="79">
        <f>IF($N29="","",IF(INDEX('Cronograma Asistente Técnico'!$AR$5:$AR$1000,$N29)="","",INDEX('Cronograma Asistente Técnico'!$AR$5:$AR$1000,$N29)))</f>
        <v/>
      </c>
      <c r="D29" s="79">
        <f>IF($N29="","",IF(INDEX('Cronograma Asistente Técnico'!$AS$5:$AS$1000,$N29)="","",INDEX('Cronograma Asistente Técnico'!$AS$5:$AS$1000,$N29)))</f>
        <v/>
      </c>
      <c r="E29" s="56">
        <f>IF($N29="","",IF(NOT(ISNUMBER($D29)),"",IF($D29&lt;InicioCiclo,"Antes del ciclo",IF($D29&gt;=InicioCiclo+28,"Después del ciclo","Semana "&amp;(INT(($D29-InicioCiclo)/7)+1)))))</f>
        <v/>
      </c>
      <c r="F29" s="61">
        <f>IF($N29="","",IF($P29&gt;0,IF(1&lt;=SemanaActual,INDEX('Cronograma Asistente Técnico'!$AH$5:$AH$1000,$N29),""),IF(INDEX('Cronograma Asistente Técnico'!$I$5:$I$1000,$N29)="","",INDEX('Cronograma Asistente Técnico'!$I$5:$I$1000,$N29))))</f>
        <v/>
      </c>
      <c r="G29" s="61">
        <f>IF($N29="","",IF($P29&gt;0,IF(2&lt;=SemanaActual,INDEX('Cronograma Asistente Técnico'!$AI$5:$AI$1000,$N29),""),IF(INDEX('Cronograma Asistente Técnico'!$J$5:$J$1000,$N29)="","",INDEX('Cronograma Asistente Técnico'!$J$5:$J$1000,$N29))))</f>
        <v/>
      </c>
      <c r="H29" s="61">
        <f>IF($N29="","",IF($P29&gt;0,IF(3&lt;=SemanaActual,INDEX('Cronograma Asistente Técnico'!$AJ$5:$AJ$1000,$N29),""),IF(INDEX('Cronograma Asistente Técnico'!$K$5:$K$1000,$N29)="","",INDEX('Cronograma Asistente Técnico'!$K$5:$K$1000,$N29))))</f>
        <v/>
      </c>
      <c r="I29" s="61">
        <f>IF($N29="","",IF($P29&gt;0,IF(4&lt;=SemanaActual,INDEX('Cronograma Asistente Técnico'!$AK$5:$AK$1000,$N29),""),IF(INDEX('Cronograma Asistente Técnico'!$L$5:$L$1000,$N29)="","",INDEX('Cronograma Asistente Técnico'!$L$5:$L$1000,$N29))))</f>
        <v/>
      </c>
      <c r="J29" s="61">
        <f>IF($N29="","",INDEX('Cronograma Asistente Técnico'!$M$5:$M$1000,$N29))</f>
        <v/>
      </c>
      <c r="K29" s="56">
        <f>IF($N29="","",IF(N($J29)&gt;=1,"Completado",IF(AND(ISNUMBER($D29),$D29&lt;FechaRef),"Vencida",IF(N($J29)&gt;0,"En curso","Pendiente"))))</f>
        <v/>
      </c>
      <c r="L29" s="56">
        <f>IF($N29="","",INDEX('Cronograma Asistente Técnico'!$O$5:$O$1000,$N29)&amp;"")</f>
        <v/>
      </c>
      <c r="M29" s="62">
        <f>IF($N29="","",INDEX('Cronograma Asistente Técnico'!$Q$5:$Q$1000,$N29)&amp;"")</f>
        <v/>
      </c>
      <c r="N29">
        <f>IFERROR(MATCH(ROW()-4,rOrden_ATR,0),"")</f>
        <v/>
      </c>
      <c r="O29">
        <f>IF($N29="","",INDEX('Cronograma Asistente Técnico'!$V$5:$V$1000,$N29))</f>
        <v/>
      </c>
      <c r="P29">
        <f>IF($N29="","",N(INDEX('Cronograma Asistente Técnico'!$W$5:$W$1000,$N29)))</f>
        <v/>
      </c>
      <c r="Q29">
        <f>IF(OR(LEFT($L29,7)="Vencida",LEFT($L29,5)="Vence"),SUMPRODUCT(--(LEFT($L$5:$L29,7)="Vencida"))+SUMPRODUCT(--(LEFT($L$5:$L29,5)="Vence")),"")</f>
        <v/>
      </c>
    </row>
    <row r="30">
      <c r="A30" s="56">
        <f>IF($N30="","",INDEX('Cronograma Asistente Técnico'!$A$5:$A$1000,$N30))</f>
        <v/>
      </c>
      <c r="B30" s="62">
        <f>IF($N30="","",IF($O30="Sub","      ↳  "&amp;INDEX('Cronograma Asistente Técnico'!$C$5:$C$1000,$N30),INDEX('Cronograma Asistente Técnico'!$C$5:$C$1000,$N30)&amp;""))</f>
        <v/>
      </c>
      <c r="C30" s="79">
        <f>IF($N30="","",IF(INDEX('Cronograma Asistente Técnico'!$AR$5:$AR$1000,$N30)="","",INDEX('Cronograma Asistente Técnico'!$AR$5:$AR$1000,$N30)))</f>
        <v/>
      </c>
      <c r="D30" s="79">
        <f>IF($N30="","",IF(INDEX('Cronograma Asistente Técnico'!$AS$5:$AS$1000,$N30)="","",INDEX('Cronograma Asistente Técnico'!$AS$5:$AS$1000,$N30)))</f>
        <v/>
      </c>
      <c r="E30" s="56">
        <f>IF($N30="","",IF(NOT(ISNUMBER($D30)),"",IF($D30&lt;InicioCiclo,"Antes del ciclo",IF($D30&gt;=InicioCiclo+28,"Después del ciclo","Semana "&amp;(INT(($D30-InicioCiclo)/7)+1)))))</f>
        <v/>
      </c>
      <c r="F30" s="61">
        <f>IF($N30="","",IF($P30&gt;0,IF(1&lt;=SemanaActual,INDEX('Cronograma Asistente Técnico'!$AH$5:$AH$1000,$N30),""),IF(INDEX('Cronograma Asistente Técnico'!$I$5:$I$1000,$N30)="","",INDEX('Cronograma Asistente Técnico'!$I$5:$I$1000,$N30))))</f>
        <v/>
      </c>
      <c r="G30" s="61">
        <f>IF($N30="","",IF($P30&gt;0,IF(2&lt;=SemanaActual,INDEX('Cronograma Asistente Técnico'!$AI$5:$AI$1000,$N30),""),IF(INDEX('Cronograma Asistente Técnico'!$J$5:$J$1000,$N30)="","",INDEX('Cronograma Asistente Técnico'!$J$5:$J$1000,$N30))))</f>
        <v/>
      </c>
      <c r="H30" s="61">
        <f>IF($N30="","",IF($P30&gt;0,IF(3&lt;=SemanaActual,INDEX('Cronograma Asistente Técnico'!$AJ$5:$AJ$1000,$N30),""),IF(INDEX('Cronograma Asistente Técnico'!$K$5:$K$1000,$N30)="","",INDEX('Cronograma Asistente Técnico'!$K$5:$K$1000,$N30))))</f>
        <v/>
      </c>
      <c r="I30" s="61">
        <f>IF($N30="","",IF($P30&gt;0,IF(4&lt;=SemanaActual,INDEX('Cronograma Asistente Técnico'!$AK$5:$AK$1000,$N30),""),IF(INDEX('Cronograma Asistente Técnico'!$L$5:$L$1000,$N30)="","",INDEX('Cronograma Asistente Técnico'!$L$5:$L$1000,$N30))))</f>
        <v/>
      </c>
      <c r="J30" s="61">
        <f>IF($N30="","",INDEX('Cronograma Asistente Técnico'!$M$5:$M$1000,$N30))</f>
        <v/>
      </c>
      <c r="K30" s="56">
        <f>IF($N30="","",IF(N($J30)&gt;=1,"Completado",IF(AND(ISNUMBER($D30),$D30&lt;FechaRef),"Vencida",IF(N($J30)&gt;0,"En curso","Pendiente"))))</f>
        <v/>
      </c>
      <c r="L30" s="56">
        <f>IF($N30="","",INDEX('Cronograma Asistente Técnico'!$O$5:$O$1000,$N30)&amp;"")</f>
        <v/>
      </c>
      <c r="M30" s="62">
        <f>IF($N30="","",INDEX('Cronograma Asistente Técnico'!$Q$5:$Q$1000,$N30)&amp;"")</f>
        <v/>
      </c>
      <c r="N30">
        <f>IFERROR(MATCH(ROW()-4,rOrden_ATR,0),"")</f>
        <v/>
      </c>
      <c r="O30">
        <f>IF($N30="","",INDEX('Cronograma Asistente Técnico'!$V$5:$V$1000,$N30))</f>
        <v/>
      </c>
      <c r="P30">
        <f>IF($N30="","",N(INDEX('Cronograma Asistente Técnico'!$W$5:$W$1000,$N30)))</f>
        <v/>
      </c>
      <c r="Q30">
        <f>IF(OR(LEFT($L30,7)="Vencida",LEFT($L30,5)="Vence"),SUMPRODUCT(--(LEFT($L$5:$L30,7)="Vencida"))+SUMPRODUCT(--(LEFT($L$5:$L30,5)="Vence")),"")</f>
        <v/>
      </c>
    </row>
    <row r="31">
      <c r="A31" s="56">
        <f>IF($N31="","",INDEX('Cronograma Asistente Técnico'!$A$5:$A$1000,$N31))</f>
        <v/>
      </c>
      <c r="B31" s="62">
        <f>IF($N31="","",IF($O31="Sub","      ↳  "&amp;INDEX('Cronograma Asistente Técnico'!$C$5:$C$1000,$N31),INDEX('Cronograma Asistente Técnico'!$C$5:$C$1000,$N31)&amp;""))</f>
        <v/>
      </c>
      <c r="C31" s="79">
        <f>IF($N31="","",IF(INDEX('Cronograma Asistente Técnico'!$AR$5:$AR$1000,$N31)="","",INDEX('Cronograma Asistente Técnico'!$AR$5:$AR$1000,$N31)))</f>
        <v/>
      </c>
      <c r="D31" s="79">
        <f>IF($N31="","",IF(INDEX('Cronograma Asistente Técnico'!$AS$5:$AS$1000,$N31)="","",INDEX('Cronograma Asistente Técnico'!$AS$5:$AS$1000,$N31)))</f>
        <v/>
      </c>
      <c r="E31" s="56">
        <f>IF($N31="","",IF(NOT(ISNUMBER($D31)),"",IF($D31&lt;InicioCiclo,"Antes del ciclo",IF($D31&gt;=InicioCiclo+28,"Después del ciclo","Semana "&amp;(INT(($D31-InicioCiclo)/7)+1)))))</f>
        <v/>
      </c>
      <c r="F31" s="61">
        <f>IF($N31="","",IF($P31&gt;0,IF(1&lt;=SemanaActual,INDEX('Cronograma Asistente Técnico'!$AH$5:$AH$1000,$N31),""),IF(INDEX('Cronograma Asistente Técnico'!$I$5:$I$1000,$N31)="","",INDEX('Cronograma Asistente Técnico'!$I$5:$I$1000,$N31))))</f>
        <v/>
      </c>
      <c r="G31" s="61">
        <f>IF($N31="","",IF($P31&gt;0,IF(2&lt;=SemanaActual,INDEX('Cronograma Asistente Técnico'!$AI$5:$AI$1000,$N31),""),IF(INDEX('Cronograma Asistente Técnico'!$J$5:$J$1000,$N31)="","",INDEX('Cronograma Asistente Técnico'!$J$5:$J$1000,$N31))))</f>
        <v/>
      </c>
      <c r="H31" s="61">
        <f>IF($N31="","",IF($P31&gt;0,IF(3&lt;=SemanaActual,INDEX('Cronograma Asistente Técnico'!$AJ$5:$AJ$1000,$N31),""),IF(INDEX('Cronograma Asistente Técnico'!$K$5:$K$1000,$N31)="","",INDEX('Cronograma Asistente Técnico'!$K$5:$K$1000,$N31))))</f>
        <v/>
      </c>
      <c r="I31" s="61">
        <f>IF($N31="","",IF($P31&gt;0,IF(4&lt;=SemanaActual,INDEX('Cronograma Asistente Técnico'!$AK$5:$AK$1000,$N31),""),IF(INDEX('Cronograma Asistente Técnico'!$L$5:$L$1000,$N31)="","",INDEX('Cronograma Asistente Técnico'!$L$5:$L$1000,$N31))))</f>
        <v/>
      </c>
      <c r="J31" s="61">
        <f>IF($N31="","",INDEX('Cronograma Asistente Técnico'!$M$5:$M$1000,$N31))</f>
        <v/>
      </c>
      <c r="K31" s="56">
        <f>IF($N31="","",IF(N($J31)&gt;=1,"Completado",IF(AND(ISNUMBER($D31),$D31&lt;FechaRef),"Vencida",IF(N($J31)&gt;0,"En curso","Pendiente"))))</f>
        <v/>
      </c>
      <c r="L31" s="56">
        <f>IF($N31="","",INDEX('Cronograma Asistente Técnico'!$O$5:$O$1000,$N31)&amp;"")</f>
        <v/>
      </c>
      <c r="M31" s="62">
        <f>IF($N31="","",INDEX('Cronograma Asistente Técnico'!$Q$5:$Q$1000,$N31)&amp;"")</f>
        <v/>
      </c>
      <c r="N31">
        <f>IFERROR(MATCH(ROW()-4,rOrden_ATR,0),"")</f>
        <v/>
      </c>
      <c r="O31">
        <f>IF($N31="","",INDEX('Cronograma Asistente Técnico'!$V$5:$V$1000,$N31))</f>
        <v/>
      </c>
      <c r="P31">
        <f>IF($N31="","",N(INDEX('Cronograma Asistente Técnico'!$W$5:$W$1000,$N31)))</f>
        <v/>
      </c>
      <c r="Q31">
        <f>IF(OR(LEFT($L31,7)="Vencida",LEFT($L31,5)="Vence"),SUMPRODUCT(--(LEFT($L$5:$L31,7)="Vencida"))+SUMPRODUCT(--(LEFT($L$5:$L31,5)="Vence")),"")</f>
        <v/>
      </c>
    </row>
    <row r="32">
      <c r="A32" s="56">
        <f>IF($N32="","",INDEX('Cronograma Asistente Técnico'!$A$5:$A$1000,$N32))</f>
        <v/>
      </c>
      <c r="B32" s="62">
        <f>IF($N32="","",IF($O32="Sub","      ↳  "&amp;INDEX('Cronograma Asistente Técnico'!$C$5:$C$1000,$N32),INDEX('Cronograma Asistente Técnico'!$C$5:$C$1000,$N32)&amp;""))</f>
        <v/>
      </c>
      <c r="C32" s="79">
        <f>IF($N32="","",IF(INDEX('Cronograma Asistente Técnico'!$AR$5:$AR$1000,$N32)="","",INDEX('Cronograma Asistente Técnico'!$AR$5:$AR$1000,$N32)))</f>
        <v/>
      </c>
      <c r="D32" s="79">
        <f>IF($N32="","",IF(INDEX('Cronograma Asistente Técnico'!$AS$5:$AS$1000,$N32)="","",INDEX('Cronograma Asistente Técnico'!$AS$5:$AS$1000,$N32)))</f>
        <v/>
      </c>
      <c r="E32" s="56">
        <f>IF($N32="","",IF(NOT(ISNUMBER($D32)),"",IF($D32&lt;InicioCiclo,"Antes del ciclo",IF($D32&gt;=InicioCiclo+28,"Después del ciclo","Semana "&amp;(INT(($D32-InicioCiclo)/7)+1)))))</f>
        <v/>
      </c>
      <c r="F32" s="61">
        <f>IF($N32="","",IF($P32&gt;0,IF(1&lt;=SemanaActual,INDEX('Cronograma Asistente Técnico'!$AH$5:$AH$1000,$N32),""),IF(INDEX('Cronograma Asistente Técnico'!$I$5:$I$1000,$N32)="","",INDEX('Cronograma Asistente Técnico'!$I$5:$I$1000,$N32))))</f>
        <v/>
      </c>
      <c r="G32" s="61">
        <f>IF($N32="","",IF($P32&gt;0,IF(2&lt;=SemanaActual,INDEX('Cronograma Asistente Técnico'!$AI$5:$AI$1000,$N32),""),IF(INDEX('Cronograma Asistente Técnico'!$J$5:$J$1000,$N32)="","",INDEX('Cronograma Asistente Técnico'!$J$5:$J$1000,$N32))))</f>
        <v/>
      </c>
      <c r="H32" s="61">
        <f>IF($N32="","",IF($P32&gt;0,IF(3&lt;=SemanaActual,INDEX('Cronograma Asistente Técnico'!$AJ$5:$AJ$1000,$N32),""),IF(INDEX('Cronograma Asistente Técnico'!$K$5:$K$1000,$N32)="","",INDEX('Cronograma Asistente Técnico'!$K$5:$K$1000,$N32))))</f>
        <v/>
      </c>
      <c r="I32" s="61">
        <f>IF($N32="","",IF($P32&gt;0,IF(4&lt;=SemanaActual,INDEX('Cronograma Asistente Técnico'!$AK$5:$AK$1000,$N32),""),IF(INDEX('Cronograma Asistente Técnico'!$L$5:$L$1000,$N32)="","",INDEX('Cronograma Asistente Técnico'!$L$5:$L$1000,$N32))))</f>
        <v/>
      </c>
      <c r="J32" s="61">
        <f>IF($N32="","",INDEX('Cronograma Asistente Técnico'!$M$5:$M$1000,$N32))</f>
        <v/>
      </c>
      <c r="K32" s="56">
        <f>IF($N32="","",IF(N($J32)&gt;=1,"Completado",IF(AND(ISNUMBER($D32),$D32&lt;FechaRef),"Vencida",IF(N($J32)&gt;0,"En curso","Pendiente"))))</f>
        <v/>
      </c>
      <c r="L32" s="56">
        <f>IF($N32="","",INDEX('Cronograma Asistente Técnico'!$O$5:$O$1000,$N32)&amp;"")</f>
        <v/>
      </c>
      <c r="M32" s="62">
        <f>IF($N32="","",INDEX('Cronograma Asistente Técnico'!$Q$5:$Q$1000,$N32)&amp;"")</f>
        <v/>
      </c>
      <c r="N32">
        <f>IFERROR(MATCH(ROW()-4,rOrden_ATR,0),"")</f>
        <v/>
      </c>
      <c r="O32">
        <f>IF($N32="","",INDEX('Cronograma Asistente Técnico'!$V$5:$V$1000,$N32))</f>
        <v/>
      </c>
      <c r="P32">
        <f>IF($N32="","",N(INDEX('Cronograma Asistente Técnico'!$W$5:$W$1000,$N32)))</f>
        <v/>
      </c>
      <c r="Q32">
        <f>IF(OR(LEFT($L32,7)="Vencida",LEFT($L32,5)="Vence"),SUMPRODUCT(--(LEFT($L$5:$L32,7)="Vencida"))+SUMPRODUCT(--(LEFT($L$5:$L32,5)="Vence")),"")</f>
        <v/>
      </c>
    </row>
    <row r="33">
      <c r="A33" s="56">
        <f>IF($N33="","",INDEX('Cronograma Asistente Técnico'!$A$5:$A$1000,$N33))</f>
        <v/>
      </c>
      <c r="B33" s="62">
        <f>IF($N33="","",IF($O33="Sub","      ↳  "&amp;INDEX('Cronograma Asistente Técnico'!$C$5:$C$1000,$N33),INDEX('Cronograma Asistente Técnico'!$C$5:$C$1000,$N33)&amp;""))</f>
        <v/>
      </c>
      <c r="C33" s="79">
        <f>IF($N33="","",IF(INDEX('Cronograma Asistente Técnico'!$AR$5:$AR$1000,$N33)="","",INDEX('Cronograma Asistente Técnico'!$AR$5:$AR$1000,$N33)))</f>
        <v/>
      </c>
      <c r="D33" s="79">
        <f>IF($N33="","",IF(INDEX('Cronograma Asistente Técnico'!$AS$5:$AS$1000,$N33)="","",INDEX('Cronograma Asistente Técnico'!$AS$5:$AS$1000,$N33)))</f>
        <v/>
      </c>
      <c r="E33" s="56">
        <f>IF($N33="","",IF(NOT(ISNUMBER($D33)),"",IF($D33&lt;InicioCiclo,"Antes del ciclo",IF($D33&gt;=InicioCiclo+28,"Después del ciclo","Semana "&amp;(INT(($D33-InicioCiclo)/7)+1)))))</f>
        <v/>
      </c>
      <c r="F33" s="61">
        <f>IF($N33="","",IF($P33&gt;0,IF(1&lt;=SemanaActual,INDEX('Cronograma Asistente Técnico'!$AH$5:$AH$1000,$N33),""),IF(INDEX('Cronograma Asistente Técnico'!$I$5:$I$1000,$N33)="","",INDEX('Cronograma Asistente Técnico'!$I$5:$I$1000,$N33))))</f>
        <v/>
      </c>
      <c r="G33" s="61">
        <f>IF($N33="","",IF($P33&gt;0,IF(2&lt;=SemanaActual,INDEX('Cronograma Asistente Técnico'!$AI$5:$AI$1000,$N33),""),IF(INDEX('Cronograma Asistente Técnico'!$J$5:$J$1000,$N33)="","",INDEX('Cronograma Asistente Técnico'!$J$5:$J$1000,$N33))))</f>
        <v/>
      </c>
      <c r="H33" s="61">
        <f>IF($N33="","",IF($P33&gt;0,IF(3&lt;=SemanaActual,INDEX('Cronograma Asistente Técnico'!$AJ$5:$AJ$1000,$N33),""),IF(INDEX('Cronograma Asistente Técnico'!$K$5:$K$1000,$N33)="","",INDEX('Cronograma Asistente Técnico'!$K$5:$K$1000,$N33))))</f>
        <v/>
      </c>
      <c r="I33" s="61">
        <f>IF($N33="","",IF($P33&gt;0,IF(4&lt;=SemanaActual,INDEX('Cronograma Asistente Técnico'!$AK$5:$AK$1000,$N33),""),IF(INDEX('Cronograma Asistente Técnico'!$L$5:$L$1000,$N33)="","",INDEX('Cronograma Asistente Técnico'!$L$5:$L$1000,$N33))))</f>
        <v/>
      </c>
      <c r="J33" s="61">
        <f>IF($N33="","",INDEX('Cronograma Asistente Técnico'!$M$5:$M$1000,$N33))</f>
        <v/>
      </c>
      <c r="K33" s="56">
        <f>IF($N33="","",IF(N($J33)&gt;=1,"Completado",IF(AND(ISNUMBER($D33),$D33&lt;FechaRef),"Vencida",IF(N($J33)&gt;0,"En curso","Pendiente"))))</f>
        <v/>
      </c>
      <c r="L33" s="56">
        <f>IF($N33="","",INDEX('Cronograma Asistente Técnico'!$O$5:$O$1000,$N33)&amp;"")</f>
        <v/>
      </c>
      <c r="M33" s="62">
        <f>IF($N33="","",INDEX('Cronograma Asistente Técnico'!$Q$5:$Q$1000,$N33)&amp;"")</f>
        <v/>
      </c>
      <c r="N33">
        <f>IFERROR(MATCH(ROW()-4,rOrden_ATR,0),"")</f>
        <v/>
      </c>
      <c r="O33">
        <f>IF($N33="","",INDEX('Cronograma Asistente Técnico'!$V$5:$V$1000,$N33))</f>
        <v/>
      </c>
      <c r="P33">
        <f>IF($N33="","",N(INDEX('Cronograma Asistente Técnico'!$W$5:$W$1000,$N33)))</f>
        <v/>
      </c>
      <c r="Q33">
        <f>IF(OR(LEFT($L33,7)="Vencida",LEFT($L33,5)="Vence"),SUMPRODUCT(--(LEFT($L$5:$L33,7)="Vencida"))+SUMPRODUCT(--(LEFT($L$5:$L33,5)="Vence")),"")</f>
        <v/>
      </c>
    </row>
    <row r="34">
      <c r="A34" s="56">
        <f>IF($N34="","",INDEX('Cronograma Asistente Técnico'!$A$5:$A$1000,$N34))</f>
        <v/>
      </c>
      <c r="B34" s="62">
        <f>IF($N34="","",IF($O34="Sub","      ↳  "&amp;INDEX('Cronograma Asistente Técnico'!$C$5:$C$1000,$N34),INDEX('Cronograma Asistente Técnico'!$C$5:$C$1000,$N34)&amp;""))</f>
        <v/>
      </c>
      <c r="C34" s="79">
        <f>IF($N34="","",IF(INDEX('Cronograma Asistente Técnico'!$AR$5:$AR$1000,$N34)="","",INDEX('Cronograma Asistente Técnico'!$AR$5:$AR$1000,$N34)))</f>
        <v/>
      </c>
      <c r="D34" s="79">
        <f>IF($N34="","",IF(INDEX('Cronograma Asistente Técnico'!$AS$5:$AS$1000,$N34)="","",INDEX('Cronograma Asistente Técnico'!$AS$5:$AS$1000,$N34)))</f>
        <v/>
      </c>
      <c r="E34" s="56">
        <f>IF($N34="","",IF(NOT(ISNUMBER($D34)),"",IF($D34&lt;InicioCiclo,"Antes del ciclo",IF($D34&gt;=InicioCiclo+28,"Después del ciclo","Semana "&amp;(INT(($D34-InicioCiclo)/7)+1)))))</f>
        <v/>
      </c>
      <c r="F34" s="61">
        <f>IF($N34="","",IF($P34&gt;0,IF(1&lt;=SemanaActual,INDEX('Cronograma Asistente Técnico'!$AH$5:$AH$1000,$N34),""),IF(INDEX('Cronograma Asistente Técnico'!$I$5:$I$1000,$N34)="","",INDEX('Cronograma Asistente Técnico'!$I$5:$I$1000,$N34))))</f>
        <v/>
      </c>
      <c r="G34" s="61">
        <f>IF($N34="","",IF($P34&gt;0,IF(2&lt;=SemanaActual,INDEX('Cronograma Asistente Técnico'!$AI$5:$AI$1000,$N34),""),IF(INDEX('Cronograma Asistente Técnico'!$J$5:$J$1000,$N34)="","",INDEX('Cronograma Asistente Técnico'!$J$5:$J$1000,$N34))))</f>
        <v/>
      </c>
      <c r="H34" s="61">
        <f>IF($N34="","",IF($P34&gt;0,IF(3&lt;=SemanaActual,INDEX('Cronograma Asistente Técnico'!$AJ$5:$AJ$1000,$N34),""),IF(INDEX('Cronograma Asistente Técnico'!$K$5:$K$1000,$N34)="","",INDEX('Cronograma Asistente Técnico'!$K$5:$K$1000,$N34))))</f>
        <v/>
      </c>
      <c r="I34" s="61">
        <f>IF($N34="","",IF($P34&gt;0,IF(4&lt;=SemanaActual,INDEX('Cronograma Asistente Técnico'!$AK$5:$AK$1000,$N34),""),IF(INDEX('Cronograma Asistente Técnico'!$L$5:$L$1000,$N34)="","",INDEX('Cronograma Asistente Técnico'!$L$5:$L$1000,$N34))))</f>
        <v/>
      </c>
      <c r="J34" s="61">
        <f>IF($N34="","",INDEX('Cronograma Asistente Técnico'!$M$5:$M$1000,$N34))</f>
        <v/>
      </c>
      <c r="K34" s="56">
        <f>IF($N34="","",IF(N($J34)&gt;=1,"Completado",IF(AND(ISNUMBER($D34),$D34&lt;FechaRef),"Vencida",IF(N($J34)&gt;0,"En curso","Pendiente"))))</f>
        <v/>
      </c>
      <c r="L34" s="56">
        <f>IF($N34="","",INDEX('Cronograma Asistente Técnico'!$O$5:$O$1000,$N34)&amp;"")</f>
        <v/>
      </c>
      <c r="M34" s="62">
        <f>IF($N34="","",INDEX('Cronograma Asistente Técnico'!$Q$5:$Q$1000,$N34)&amp;"")</f>
        <v/>
      </c>
      <c r="N34">
        <f>IFERROR(MATCH(ROW()-4,rOrden_ATR,0),"")</f>
        <v/>
      </c>
      <c r="O34">
        <f>IF($N34="","",INDEX('Cronograma Asistente Técnico'!$V$5:$V$1000,$N34))</f>
        <v/>
      </c>
      <c r="P34">
        <f>IF($N34="","",N(INDEX('Cronograma Asistente Técnico'!$W$5:$W$1000,$N34)))</f>
        <v/>
      </c>
      <c r="Q34">
        <f>IF(OR(LEFT($L34,7)="Vencida",LEFT($L34,5)="Vence"),SUMPRODUCT(--(LEFT($L$5:$L34,7)="Vencida"))+SUMPRODUCT(--(LEFT($L$5:$L34,5)="Vence")),"")</f>
        <v/>
      </c>
    </row>
    <row r="35">
      <c r="A35" s="56">
        <f>IF($N35="","",INDEX('Cronograma Asistente Técnico'!$A$5:$A$1000,$N35))</f>
        <v/>
      </c>
      <c r="B35" s="62">
        <f>IF($N35="","",IF($O35="Sub","      ↳  "&amp;INDEX('Cronograma Asistente Técnico'!$C$5:$C$1000,$N35),INDEX('Cronograma Asistente Técnico'!$C$5:$C$1000,$N35)&amp;""))</f>
        <v/>
      </c>
      <c r="C35" s="79">
        <f>IF($N35="","",IF(INDEX('Cronograma Asistente Técnico'!$AR$5:$AR$1000,$N35)="","",INDEX('Cronograma Asistente Técnico'!$AR$5:$AR$1000,$N35)))</f>
        <v/>
      </c>
      <c r="D35" s="79">
        <f>IF($N35="","",IF(INDEX('Cronograma Asistente Técnico'!$AS$5:$AS$1000,$N35)="","",INDEX('Cronograma Asistente Técnico'!$AS$5:$AS$1000,$N35)))</f>
        <v/>
      </c>
      <c r="E35" s="56">
        <f>IF($N35="","",IF(NOT(ISNUMBER($D35)),"",IF($D35&lt;InicioCiclo,"Antes del ciclo",IF($D35&gt;=InicioCiclo+28,"Después del ciclo","Semana "&amp;(INT(($D35-InicioCiclo)/7)+1)))))</f>
        <v/>
      </c>
      <c r="F35" s="61">
        <f>IF($N35="","",IF($P35&gt;0,IF(1&lt;=SemanaActual,INDEX('Cronograma Asistente Técnico'!$AH$5:$AH$1000,$N35),""),IF(INDEX('Cronograma Asistente Técnico'!$I$5:$I$1000,$N35)="","",INDEX('Cronograma Asistente Técnico'!$I$5:$I$1000,$N35))))</f>
        <v/>
      </c>
      <c r="G35" s="61">
        <f>IF($N35="","",IF($P35&gt;0,IF(2&lt;=SemanaActual,INDEX('Cronograma Asistente Técnico'!$AI$5:$AI$1000,$N35),""),IF(INDEX('Cronograma Asistente Técnico'!$J$5:$J$1000,$N35)="","",INDEX('Cronograma Asistente Técnico'!$J$5:$J$1000,$N35))))</f>
        <v/>
      </c>
      <c r="H35" s="61">
        <f>IF($N35="","",IF($P35&gt;0,IF(3&lt;=SemanaActual,INDEX('Cronograma Asistente Técnico'!$AJ$5:$AJ$1000,$N35),""),IF(INDEX('Cronograma Asistente Técnico'!$K$5:$K$1000,$N35)="","",INDEX('Cronograma Asistente Técnico'!$K$5:$K$1000,$N35))))</f>
        <v/>
      </c>
      <c r="I35" s="61">
        <f>IF($N35="","",IF($P35&gt;0,IF(4&lt;=SemanaActual,INDEX('Cronograma Asistente Técnico'!$AK$5:$AK$1000,$N35),""),IF(INDEX('Cronograma Asistente Técnico'!$L$5:$L$1000,$N35)="","",INDEX('Cronograma Asistente Técnico'!$L$5:$L$1000,$N35))))</f>
        <v/>
      </c>
      <c r="J35" s="61">
        <f>IF($N35="","",INDEX('Cronograma Asistente Técnico'!$M$5:$M$1000,$N35))</f>
        <v/>
      </c>
      <c r="K35" s="56">
        <f>IF($N35="","",IF(N($J35)&gt;=1,"Completado",IF(AND(ISNUMBER($D35),$D35&lt;FechaRef),"Vencida",IF(N($J35)&gt;0,"En curso","Pendiente"))))</f>
        <v/>
      </c>
      <c r="L35" s="56">
        <f>IF($N35="","",INDEX('Cronograma Asistente Técnico'!$O$5:$O$1000,$N35)&amp;"")</f>
        <v/>
      </c>
      <c r="M35" s="62">
        <f>IF($N35="","",INDEX('Cronograma Asistente Técnico'!$Q$5:$Q$1000,$N35)&amp;"")</f>
        <v/>
      </c>
      <c r="N35">
        <f>IFERROR(MATCH(ROW()-4,rOrden_ATR,0),"")</f>
        <v/>
      </c>
      <c r="O35">
        <f>IF($N35="","",INDEX('Cronograma Asistente Técnico'!$V$5:$V$1000,$N35))</f>
        <v/>
      </c>
      <c r="P35">
        <f>IF($N35="","",N(INDEX('Cronograma Asistente Técnico'!$W$5:$W$1000,$N35)))</f>
        <v/>
      </c>
      <c r="Q35">
        <f>IF(OR(LEFT($L35,7)="Vencida",LEFT($L35,5)="Vence"),SUMPRODUCT(--(LEFT($L$5:$L35,7)="Vencida"))+SUMPRODUCT(--(LEFT($L$5:$L35,5)="Vence")),"")</f>
        <v/>
      </c>
    </row>
    <row r="36">
      <c r="A36" s="56">
        <f>IF($N36="","",INDEX('Cronograma Asistente Técnico'!$A$5:$A$1000,$N36))</f>
        <v/>
      </c>
      <c r="B36" s="62">
        <f>IF($N36="","",IF($O36="Sub","      ↳  "&amp;INDEX('Cronograma Asistente Técnico'!$C$5:$C$1000,$N36),INDEX('Cronograma Asistente Técnico'!$C$5:$C$1000,$N36)&amp;""))</f>
        <v/>
      </c>
      <c r="C36" s="79">
        <f>IF($N36="","",IF(INDEX('Cronograma Asistente Técnico'!$AR$5:$AR$1000,$N36)="","",INDEX('Cronograma Asistente Técnico'!$AR$5:$AR$1000,$N36)))</f>
        <v/>
      </c>
      <c r="D36" s="79">
        <f>IF($N36="","",IF(INDEX('Cronograma Asistente Técnico'!$AS$5:$AS$1000,$N36)="","",INDEX('Cronograma Asistente Técnico'!$AS$5:$AS$1000,$N36)))</f>
        <v/>
      </c>
      <c r="E36" s="56">
        <f>IF($N36="","",IF(NOT(ISNUMBER($D36)),"",IF($D36&lt;InicioCiclo,"Antes del ciclo",IF($D36&gt;=InicioCiclo+28,"Después del ciclo","Semana "&amp;(INT(($D36-InicioCiclo)/7)+1)))))</f>
        <v/>
      </c>
      <c r="F36" s="61">
        <f>IF($N36="","",IF($P36&gt;0,IF(1&lt;=SemanaActual,INDEX('Cronograma Asistente Técnico'!$AH$5:$AH$1000,$N36),""),IF(INDEX('Cronograma Asistente Técnico'!$I$5:$I$1000,$N36)="","",INDEX('Cronograma Asistente Técnico'!$I$5:$I$1000,$N36))))</f>
        <v/>
      </c>
      <c r="G36" s="61">
        <f>IF($N36="","",IF($P36&gt;0,IF(2&lt;=SemanaActual,INDEX('Cronograma Asistente Técnico'!$AI$5:$AI$1000,$N36),""),IF(INDEX('Cronograma Asistente Técnico'!$J$5:$J$1000,$N36)="","",INDEX('Cronograma Asistente Técnico'!$J$5:$J$1000,$N36))))</f>
        <v/>
      </c>
      <c r="H36" s="61">
        <f>IF($N36="","",IF($P36&gt;0,IF(3&lt;=SemanaActual,INDEX('Cronograma Asistente Técnico'!$AJ$5:$AJ$1000,$N36),""),IF(INDEX('Cronograma Asistente Técnico'!$K$5:$K$1000,$N36)="","",INDEX('Cronograma Asistente Técnico'!$K$5:$K$1000,$N36))))</f>
        <v/>
      </c>
      <c r="I36" s="61">
        <f>IF($N36="","",IF($P36&gt;0,IF(4&lt;=SemanaActual,INDEX('Cronograma Asistente Técnico'!$AK$5:$AK$1000,$N36),""),IF(INDEX('Cronograma Asistente Técnico'!$L$5:$L$1000,$N36)="","",INDEX('Cronograma Asistente Técnico'!$L$5:$L$1000,$N36))))</f>
        <v/>
      </c>
      <c r="J36" s="61">
        <f>IF($N36="","",INDEX('Cronograma Asistente Técnico'!$M$5:$M$1000,$N36))</f>
        <v/>
      </c>
      <c r="K36" s="56">
        <f>IF($N36="","",IF(N($J36)&gt;=1,"Completado",IF(AND(ISNUMBER($D36),$D36&lt;FechaRef),"Vencida",IF(N($J36)&gt;0,"En curso","Pendiente"))))</f>
        <v/>
      </c>
      <c r="L36" s="56">
        <f>IF($N36="","",INDEX('Cronograma Asistente Técnico'!$O$5:$O$1000,$N36)&amp;"")</f>
        <v/>
      </c>
      <c r="M36" s="62">
        <f>IF($N36="","",INDEX('Cronograma Asistente Técnico'!$Q$5:$Q$1000,$N36)&amp;"")</f>
        <v/>
      </c>
      <c r="N36">
        <f>IFERROR(MATCH(ROW()-4,rOrden_ATR,0),"")</f>
        <v/>
      </c>
      <c r="O36">
        <f>IF($N36="","",INDEX('Cronograma Asistente Técnico'!$V$5:$V$1000,$N36))</f>
        <v/>
      </c>
      <c r="P36">
        <f>IF($N36="","",N(INDEX('Cronograma Asistente Técnico'!$W$5:$W$1000,$N36)))</f>
        <v/>
      </c>
      <c r="Q36">
        <f>IF(OR(LEFT($L36,7)="Vencida",LEFT($L36,5)="Vence"),SUMPRODUCT(--(LEFT($L$5:$L36,7)="Vencida"))+SUMPRODUCT(--(LEFT($L$5:$L36,5)="Vence")),"")</f>
        <v/>
      </c>
    </row>
    <row r="37">
      <c r="A37" s="56">
        <f>IF($N37="","",INDEX('Cronograma Asistente Técnico'!$A$5:$A$1000,$N37))</f>
        <v/>
      </c>
      <c r="B37" s="62">
        <f>IF($N37="","",IF($O37="Sub","      ↳  "&amp;INDEX('Cronograma Asistente Técnico'!$C$5:$C$1000,$N37),INDEX('Cronograma Asistente Técnico'!$C$5:$C$1000,$N37)&amp;""))</f>
        <v/>
      </c>
      <c r="C37" s="79">
        <f>IF($N37="","",IF(INDEX('Cronograma Asistente Técnico'!$AR$5:$AR$1000,$N37)="","",INDEX('Cronograma Asistente Técnico'!$AR$5:$AR$1000,$N37)))</f>
        <v/>
      </c>
      <c r="D37" s="79">
        <f>IF($N37="","",IF(INDEX('Cronograma Asistente Técnico'!$AS$5:$AS$1000,$N37)="","",INDEX('Cronograma Asistente Técnico'!$AS$5:$AS$1000,$N37)))</f>
        <v/>
      </c>
      <c r="E37" s="56">
        <f>IF($N37="","",IF(NOT(ISNUMBER($D37)),"",IF($D37&lt;InicioCiclo,"Antes del ciclo",IF($D37&gt;=InicioCiclo+28,"Después del ciclo","Semana "&amp;(INT(($D37-InicioCiclo)/7)+1)))))</f>
        <v/>
      </c>
      <c r="F37" s="61">
        <f>IF($N37="","",IF($P37&gt;0,IF(1&lt;=SemanaActual,INDEX('Cronograma Asistente Técnico'!$AH$5:$AH$1000,$N37),""),IF(INDEX('Cronograma Asistente Técnico'!$I$5:$I$1000,$N37)="","",INDEX('Cronograma Asistente Técnico'!$I$5:$I$1000,$N37))))</f>
        <v/>
      </c>
      <c r="G37" s="61">
        <f>IF($N37="","",IF($P37&gt;0,IF(2&lt;=SemanaActual,INDEX('Cronograma Asistente Técnico'!$AI$5:$AI$1000,$N37),""),IF(INDEX('Cronograma Asistente Técnico'!$J$5:$J$1000,$N37)="","",INDEX('Cronograma Asistente Técnico'!$J$5:$J$1000,$N37))))</f>
        <v/>
      </c>
      <c r="H37" s="61">
        <f>IF($N37="","",IF($P37&gt;0,IF(3&lt;=SemanaActual,INDEX('Cronograma Asistente Técnico'!$AJ$5:$AJ$1000,$N37),""),IF(INDEX('Cronograma Asistente Técnico'!$K$5:$K$1000,$N37)="","",INDEX('Cronograma Asistente Técnico'!$K$5:$K$1000,$N37))))</f>
        <v/>
      </c>
      <c r="I37" s="61">
        <f>IF($N37="","",IF($P37&gt;0,IF(4&lt;=SemanaActual,INDEX('Cronograma Asistente Técnico'!$AK$5:$AK$1000,$N37),""),IF(INDEX('Cronograma Asistente Técnico'!$L$5:$L$1000,$N37)="","",INDEX('Cronograma Asistente Técnico'!$L$5:$L$1000,$N37))))</f>
        <v/>
      </c>
      <c r="J37" s="61">
        <f>IF($N37="","",INDEX('Cronograma Asistente Técnico'!$M$5:$M$1000,$N37))</f>
        <v/>
      </c>
      <c r="K37" s="56">
        <f>IF($N37="","",IF(N($J37)&gt;=1,"Completado",IF(AND(ISNUMBER($D37),$D37&lt;FechaRef),"Vencida",IF(N($J37)&gt;0,"En curso","Pendiente"))))</f>
        <v/>
      </c>
      <c r="L37" s="56">
        <f>IF($N37="","",INDEX('Cronograma Asistente Técnico'!$O$5:$O$1000,$N37)&amp;"")</f>
        <v/>
      </c>
      <c r="M37" s="62">
        <f>IF($N37="","",INDEX('Cronograma Asistente Técnico'!$Q$5:$Q$1000,$N37)&amp;"")</f>
        <v/>
      </c>
      <c r="N37">
        <f>IFERROR(MATCH(ROW()-4,rOrden_ATR,0),"")</f>
        <v/>
      </c>
      <c r="O37">
        <f>IF($N37="","",INDEX('Cronograma Asistente Técnico'!$V$5:$V$1000,$N37))</f>
        <v/>
      </c>
      <c r="P37">
        <f>IF($N37="","",N(INDEX('Cronograma Asistente Técnico'!$W$5:$W$1000,$N37)))</f>
        <v/>
      </c>
      <c r="Q37">
        <f>IF(OR(LEFT($L37,7)="Vencida",LEFT($L37,5)="Vence"),SUMPRODUCT(--(LEFT($L$5:$L37,7)="Vencida"))+SUMPRODUCT(--(LEFT($L$5:$L37,5)="Vence")),"")</f>
        <v/>
      </c>
    </row>
    <row r="38">
      <c r="A38" s="56">
        <f>IF($N38="","",INDEX('Cronograma Asistente Técnico'!$A$5:$A$1000,$N38))</f>
        <v/>
      </c>
      <c r="B38" s="62">
        <f>IF($N38="","",IF($O38="Sub","      ↳  "&amp;INDEX('Cronograma Asistente Técnico'!$C$5:$C$1000,$N38),INDEX('Cronograma Asistente Técnico'!$C$5:$C$1000,$N38)&amp;""))</f>
        <v/>
      </c>
      <c r="C38" s="79">
        <f>IF($N38="","",IF(INDEX('Cronograma Asistente Técnico'!$AR$5:$AR$1000,$N38)="","",INDEX('Cronograma Asistente Técnico'!$AR$5:$AR$1000,$N38)))</f>
        <v/>
      </c>
      <c r="D38" s="79">
        <f>IF($N38="","",IF(INDEX('Cronograma Asistente Técnico'!$AS$5:$AS$1000,$N38)="","",INDEX('Cronograma Asistente Técnico'!$AS$5:$AS$1000,$N38)))</f>
        <v/>
      </c>
      <c r="E38" s="56">
        <f>IF($N38="","",IF(NOT(ISNUMBER($D38)),"",IF($D38&lt;InicioCiclo,"Antes del ciclo",IF($D38&gt;=InicioCiclo+28,"Después del ciclo","Semana "&amp;(INT(($D38-InicioCiclo)/7)+1)))))</f>
        <v/>
      </c>
      <c r="F38" s="61">
        <f>IF($N38="","",IF($P38&gt;0,IF(1&lt;=SemanaActual,INDEX('Cronograma Asistente Técnico'!$AH$5:$AH$1000,$N38),""),IF(INDEX('Cronograma Asistente Técnico'!$I$5:$I$1000,$N38)="","",INDEX('Cronograma Asistente Técnico'!$I$5:$I$1000,$N38))))</f>
        <v/>
      </c>
      <c r="G38" s="61">
        <f>IF($N38="","",IF($P38&gt;0,IF(2&lt;=SemanaActual,INDEX('Cronograma Asistente Técnico'!$AI$5:$AI$1000,$N38),""),IF(INDEX('Cronograma Asistente Técnico'!$J$5:$J$1000,$N38)="","",INDEX('Cronograma Asistente Técnico'!$J$5:$J$1000,$N38))))</f>
        <v/>
      </c>
      <c r="H38" s="61">
        <f>IF($N38="","",IF($P38&gt;0,IF(3&lt;=SemanaActual,INDEX('Cronograma Asistente Técnico'!$AJ$5:$AJ$1000,$N38),""),IF(INDEX('Cronograma Asistente Técnico'!$K$5:$K$1000,$N38)="","",INDEX('Cronograma Asistente Técnico'!$K$5:$K$1000,$N38))))</f>
        <v/>
      </c>
      <c r="I38" s="61">
        <f>IF($N38="","",IF($P38&gt;0,IF(4&lt;=SemanaActual,INDEX('Cronograma Asistente Técnico'!$AK$5:$AK$1000,$N38),""),IF(INDEX('Cronograma Asistente Técnico'!$L$5:$L$1000,$N38)="","",INDEX('Cronograma Asistente Técnico'!$L$5:$L$1000,$N38))))</f>
        <v/>
      </c>
      <c r="J38" s="61">
        <f>IF($N38="","",INDEX('Cronograma Asistente Técnico'!$M$5:$M$1000,$N38))</f>
        <v/>
      </c>
      <c r="K38" s="56">
        <f>IF($N38="","",IF(N($J38)&gt;=1,"Completado",IF(AND(ISNUMBER($D38),$D38&lt;FechaRef),"Vencida",IF(N($J38)&gt;0,"En curso","Pendiente"))))</f>
        <v/>
      </c>
      <c r="L38" s="56">
        <f>IF($N38="","",INDEX('Cronograma Asistente Técnico'!$O$5:$O$1000,$N38)&amp;"")</f>
        <v/>
      </c>
      <c r="M38" s="62">
        <f>IF($N38="","",INDEX('Cronograma Asistente Técnico'!$Q$5:$Q$1000,$N38)&amp;"")</f>
        <v/>
      </c>
      <c r="N38">
        <f>IFERROR(MATCH(ROW()-4,rOrden_ATR,0),"")</f>
        <v/>
      </c>
      <c r="O38">
        <f>IF($N38="","",INDEX('Cronograma Asistente Técnico'!$V$5:$V$1000,$N38))</f>
        <v/>
      </c>
      <c r="P38">
        <f>IF($N38="","",N(INDEX('Cronograma Asistente Técnico'!$W$5:$W$1000,$N38)))</f>
        <v/>
      </c>
      <c r="Q38">
        <f>IF(OR(LEFT($L38,7)="Vencida",LEFT($L38,5)="Vence"),SUMPRODUCT(--(LEFT($L$5:$L38,7)="Vencida"))+SUMPRODUCT(--(LEFT($L$5:$L38,5)="Vence")),"")</f>
        <v/>
      </c>
    </row>
    <row r="39">
      <c r="A39" s="56">
        <f>IF($N39="","",INDEX('Cronograma Asistente Técnico'!$A$5:$A$1000,$N39))</f>
        <v/>
      </c>
      <c r="B39" s="62">
        <f>IF($N39="","",IF($O39="Sub","      ↳  "&amp;INDEX('Cronograma Asistente Técnico'!$C$5:$C$1000,$N39),INDEX('Cronograma Asistente Técnico'!$C$5:$C$1000,$N39)&amp;""))</f>
        <v/>
      </c>
      <c r="C39" s="79">
        <f>IF($N39="","",IF(INDEX('Cronograma Asistente Técnico'!$AR$5:$AR$1000,$N39)="","",INDEX('Cronograma Asistente Técnico'!$AR$5:$AR$1000,$N39)))</f>
        <v/>
      </c>
      <c r="D39" s="79">
        <f>IF($N39="","",IF(INDEX('Cronograma Asistente Técnico'!$AS$5:$AS$1000,$N39)="","",INDEX('Cronograma Asistente Técnico'!$AS$5:$AS$1000,$N39)))</f>
        <v/>
      </c>
      <c r="E39" s="56">
        <f>IF($N39="","",IF(NOT(ISNUMBER($D39)),"",IF($D39&lt;InicioCiclo,"Antes del ciclo",IF($D39&gt;=InicioCiclo+28,"Después del ciclo","Semana "&amp;(INT(($D39-InicioCiclo)/7)+1)))))</f>
        <v/>
      </c>
      <c r="F39" s="61">
        <f>IF($N39="","",IF($P39&gt;0,IF(1&lt;=SemanaActual,INDEX('Cronograma Asistente Técnico'!$AH$5:$AH$1000,$N39),""),IF(INDEX('Cronograma Asistente Técnico'!$I$5:$I$1000,$N39)="","",INDEX('Cronograma Asistente Técnico'!$I$5:$I$1000,$N39))))</f>
        <v/>
      </c>
      <c r="G39" s="61">
        <f>IF($N39="","",IF($P39&gt;0,IF(2&lt;=SemanaActual,INDEX('Cronograma Asistente Técnico'!$AI$5:$AI$1000,$N39),""),IF(INDEX('Cronograma Asistente Técnico'!$J$5:$J$1000,$N39)="","",INDEX('Cronograma Asistente Técnico'!$J$5:$J$1000,$N39))))</f>
        <v/>
      </c>
      <c r="H39" s="61">
        <f>IF($N39="","",IF($P39&gt;0,IF(3&lt;=SemanaActual,INDEX('Cronograma Asistente Técnico'!$AJ$5:$AJ$1000,$N39),""),IF(INDEX('Cronograma Asistente Técnico'!$K$5:$K$1000,$N39)="","",INDEX('Cronograma Asistente Técnico'!$K$5:$K$1000,$N39))))</f>
        <v/>
      </c>
      <c r="I39" s="61">
        <f>IF($N39="","",IF($P39&gt;0,IF(4&lt;=SemanaActual,INDEX('Cronograma Asistente Técnico'!$AK$5:$AK$1000,$N39),""),IF(INDEX('Cronograma Asistente Técnico'!$L$5:$L$1000,$N39)="","",INDEX('Cronograma Asistente Técnico'!$L$5:$L$1000,$N39))))</f>
        <v/>
      </c>
      <c r="J39" s="61">
        <f>IF($N39="","",INDEX('Cronograma Asistente Técnico'!$M$5:$M$1000,$N39))</f>
        <v/>
      </c>
      <c r="K39" s="56">
        <f>IF($N39="","",IF(N($J39)&gt;=1,"Completado",IF(AND(ISNUMBER($D39),$D39&lt;FechaRef),"Vencida",IF(N($J39)&gt;0,"En curso","Pendiente"))))</f>
        <v/>
      </c>
      <c r="L39" s="56">
        <f>IF($N39="","",INDEX('Cronograma Asistente Técnico'!$O$5:$O$1000,$N39)&amp;"")</f>
        <v/>
      </c>
      <c r="M39" s="62">
        <f>IF($N39="","",INDEX('Cronograma Asistente Técnico'!$Q$5:$Q$1000,$N39)&amp;"")</f>
        <v/>
      </c>
      <c r="N39">
        <f>IFERROR(MATCH(ROW()-4,rOrden_ATR,0),"")</f>
        <v/>
      </c>
      <c r="O39">
        <f>IF($N39="","",INDEX('Cronograma Asistente Técnico'!$V$5:$V$1000,$N39))</f>
        <v/>
      </c>
      <c r="P39">
        <f>IF($N39="","",N(INDEX('Cronograma Asistente Técnico'!$W$5:$W$1000,$N39)))</f>
        <v/>
      </c>
      <c r="Q39">
        <f>IF(OR(LEFT($L39,7)="Vencida",LEFT($L39,5)="Vence"),SUMPRODUCT(--(LEFT($L$5:$L39,7)="Vencida"))+SUMPRODUCT(--(LEFT($L$5:$L39,5)="Vence")),"")</f>
        <v/>
      </c>
    </row>
    <row r="40">
      <c r="A40" s="56">
        <f>IF($N40="","",INDEX('Cronograma Asistente Técnico'!$A$5:$A$1000,$N40))</f>
        <v/>
      </c>
      <c r="B40" s="62">
        <f>IF($N40="","",IF($O40="Sub","      ↳  "&amp;INDEX('Cronograma Asistente Técnico'!$C$5:$C$1000,$N40),INDEX('Cronograma Asistente Técnico'!$C$5:$C$1000,$N40)&amp;""))</f>
        <v/>
      </c>
      <c r="C40" s="79">
        <f>IF($N40="","",IF(INDEX('Cronograma Asistente Técnico'!$AR$5:$AR$1000,$N40)="","",INDEX('Cronograma Asistente Técnico'!$AR$5:$AR$1000,$N40)))</f>
        <v/>
      </c>
      <c r="D40" s="79">
        <f>IF($N40="","",IF(INDEX('Cronograma Asistente Técnico'!$AS$5:$AS$1000,$N40)="","",INDEX('Cronograma Asistente Técnico'!$AS$5:$AS$1000,$N40)))</f>
        <v/>
      </c>
      <c r="E40" s="56">
        <f>IF($N40="","",IF(NOT(ISNUMBER($D40)),"",IF($D40&lt;InicioCiclo,"Antes del ciclo",IF($D40&gt;=InicioCiclo+28,"Después del ciclo","Semana "&amp;(INT(($D40-InicioCiclo)/7)+1)))))</f>
        <v/>
      </c>
      <c r="F40" s="61">
        <f>IF($N40="","",IF($P40&gt;0,IF(1&lt;=SemanaActual,INDEX('Cronograma Asistente Técnico'!$AH$5:$AH$1000,$N40),""),IF(INDEX('Cronograma Asistente Técnico'!$I$5:$I$1000,$N40)="","",INDEX('Cronograma Asistente Técnico'!$I$5:$I$1000,$N40))))</f>
        <v/>
      </c>
      <c r="G40" s="61">
        <f>IF($N40="","",IF($P40&gt;0,IF(2&lt;=SemanaActual,INDEX('Cronograma Asistente Técnico'!$AI$5:$AI$1000,$N40),""),IF(INDEX('Cronograma Asistente Técnico'!$J$5:$J$1000,$N40)="","",INDEX('Cronograma Asistente Técnico'!$J$5:$J$1000,$N40))))</f>
        <v/>
      </c>
      <c r="H40" s="61">
        <f>IF($N40="","",IF($P40&gt;0,IF(3&lt;=SemanaActual,INDEX('Cronograma Asistente Técnico'!$AJ$5:$AJ$1000,$N40),""),IF(INDEX('Cronograma Asistente Técnico'!$K$5:$K$1000,$N40)="","",INDEX('Cronograma Asistente Técnico'!$K$5:$K$1000,$N40))))</f>
        <v/>
      </c>
      <c r="I40" s="61">
        <f>IF($N40="","",IF($P40&gt;0,IF(4&lt;=SemanaActual,INDEX('Cronograma Asistente Técnico'!$AK$5:$AK$1000,$N40),""),IF(INDEX('Cronograma Asistente Técnico'!$L$5:$L$1000,$N40)="","",INDEX('Cronograma Asistente Técnico'!$L$5:$L$1000,$N40))))</f>
        <v/>
      </c>
      <c r="J40" s="61">
        <f>IF($N40="","",INDEX('Cronograma Asistente Técnico'!$M$5:$M$1000,$N40))</f>
        <v/>
      </c>
      <c r="K40" s="56">
        <f>IF($N40="","",IF(N($J40)&gt;=1,"Completado",IF(AND(ISNUMBER($D40),$D40&lt;FechaRef),"Vencida",IF(N($J40)&gt;0,"En curso","Pendiente"))))</f>
        <v/>
      </c>
      <c r="L40" s="56">
        <f>IF($N40="","",INDEX('Cronograma Asistente Técnico'!$O$5:$O$1000,$N40)&amp;"")</f>
        <v/>
      </c>
      <c r="M40" s="62">
        <f>IF($N40="","",INDEX('Cronograma Asistente Técnico'!$Q$5:$Q$1000,$N40)&amp;"")</f>
        <v/>
      </c>
      <c r="N40">
        <f>IFERROR(MATCH(ROW()-4,rOrden_ATR,0),"")</f>
        <v/>
      </c>
      <c r="O40">
        <f>IF($N40="","",INDEX('Cronograma Asistente Técnico'!$V$5:$V$1000,$N40))</f>
        <v/>
      </c>
      <c r="P40">
        <f>IF($N40="","",N(INDEX('Cronograma Asistente Técnico'!$W$5:$W$1000,$N40)))</f>
        <v/>
      </c>
      <c r="Q40">
        <f>IF(OR(LEFT($L40,7)="Vencida",LEFT($L40,5)="Vence"),SUMPRODUCT(--(LEFT($L$5:$L40,7)="Vencida"))+SUMPRODUCT(--(LEFT($L$5:$L40,5)="Vence")),"")</f>
        <v/>
      </c>
    </row>
    <row r="41">
      <c r="A41" s="56">
        <f>IF($N41="","",INDEX('Cronograma Asistente Técnico'!$A$5:$A$1000,$N41))</f>
        <v/>
      </c>
      <c r="B41" s="62">
        <f>IF($N41="","",IF($O41="Sub","      ↳  "&amp;INDEX('Cronograma Asistente Técnico'!$C$5:$C$1000,$N41),INDEX('Cronograma Asistente Técnico'!$C$5:$C$1000,$N41)&amp;""))</f>
        <v/>
      </c>
      <c r="C41" s="79">
        <f>IF($N41="","",IF(INDEX('Cronograma Asistente Técnico'!$AR$5:$AR$1000,$N41)="","",INDEX('Cronograma Asistente Técnico'!$AR$5:$AR$1000,$N41)))</f>
        <v/>
      </c>
      <c r="D41" s="79">
        <f>IF($N41="","",IF(INDEX('Cronograma Asistente Técnico'!$AS$5:$AS$1000,$N41)="","",INDEX('Cronograma Asistente Técnico'!$AS$5:$AS$1000,$N41)))</f>
        <v/>
      </c>
      <c r="E41" s="56">
        <f>IF($N41="","",IF(NOT(ISNUMBER($D41)),"",IF($D41&lt;InicioCiclo,"Antes del ciclo",IF($D41&gt;=InicioCiclo+28,"Después del ciclo","Semana "&amp;(INT(($D41-InicioCiclo)/7)+1)))))</f>
        <v/>
      </c>
      <c r="F41" s="61">
        <f>IF($N41="","",IF($P41&gt;0,IF(1&lt;=SemanaActual,INDEX('Cronograma Asistente Técnico'!$AH$5:$AH$1000,$N41),""),IF(INDEX('Cronograma Asistente Técnico'!$I$5:$I$1000,$N41)="","",INDEX('Cronograma Asistente Técnico'!$I$5:$I$1000,$N41))))</f>
        <v/>
      </c>
      <c r="G41" s="61">
        <f>IF($N41="","",IF($P41&gt;0,IF(2&lt;=SemanaActual,INDEX('Cronograma Asistente Técnico'!$AI$5:$AI$1000,$N41),""),IF(INDEX('Cronograma Asistente Técnico'!$J$5:$J$1000,$N41)="","",INDEX('Cronograma Asistente Técnico'!$J$5:$J$1000,$N41))))</f>
        <v/>
      </c>
      <c r="H41" s="61">
        <f>IF($N41="","",IF($P41&gt;0,IF(3&lt;=SemanaActual,INDEX('Cronograma Asistente Técnico'!$AJ$5:$AJ$1000,$N41),""),IF(INDEX('Cronograma Asistente Técnico'!$K$5:$K$1000,$N41)="","",INDEX('Cronograma Asistente Técnico'!$K$5:$K$1000,$N41))))</f>
        <v/>
      </c>
      <c r="I41" s="61">
        <f>IF($N41="","",IF($P41&gt;0,IF(4&lt;=SemanaActual,INDEX('Cronograma Asistente Técnico'!$AK$5:$AK$1000,$N41),""),IF(INDEX('Cronograma Asistente Técnico'!$L$5:$L$1000,$N41)="","",INDEX('Cronograma Asistente Técnico'!$L$5:$L$1000,$N41))))</f>
        <v/>
      </c>
      <c r="J41" s="61">
        <f>IF($N41="","",INDEX('Cronograma Asistente Técnico'!$M$5:$M$1000,$N41))</f>
        <v/>
      </c>
      <c r="K41" s="56">
        <f>IF($N41="","",IF(N($J41)&gt;=1,"Completado",IF(AND(ISNUMBER($D41),$D41&lt;FechaRef),"Vencida",IF(N($J41)&gt;0,"En curso","Pendiente"))))</f>
        <v/>
      </c>
      <c r="L41" s="56">
        <f>IF($N41="","",INDEX('Cronograma Asistente Técnico'!$O$5:$O$1000,$N41)&amp;"")</f>
        <v/>
      </c>
      <c r="M41" s="62">
        <f>IF($N41="","",INDEX('Cronograma Asistente Técnico'!$Q$5:$Q$1000,$N41)&amp;"")</f>
        <v/>
      </c>
      <c r="N41">
        <f>IFERROR(MATCH(ROW()-4,rOrden_ATR,0),"")</f>
        <v/>
      </c>
      <c r="O41">
        <f>IF($N41="","",INDEX('Cronograma Asistente Técnico'!$V$5:$V$1000,$N41))</f>
        <v/>
      </c>
      <c r="P41">
        <f>IF($N41="","",N(INDEX('Cronograma Asistente Técnico'!$W$5:$W$1000,$N41)))</f>
        <v/>
      </c>
      <c r="Q41">
        <f>IF(OR(LEFT($L41,7)="Vencida",LEFT($L41,5)="Vence"),SUMPRODUCT(--(LEFT($L$5:$L41,7)="Vencida"))+SUMPRODUCT(--(LEFT($L$5:$L41,5)="Vence")),"")</f>
        <v/>
      </c>
    </row>
    <row r="42">
      <c r="A42" s="56">
        <f>IF($N42="","",INDEX('Cronograma Asistente Técnico'!$A$5:$A$1000,$N42))</f>
        <v/>
      </c>
      <c r="B42" s="62">
        <f>IF($N42="","",IF($O42="Sub","      ↳  "&amp;INDEX('Cronograma Asistente Técnico'!$C$5:$C$1000,$N42),INDEX('Cronograma Asistente Técnico'!$C$5:$C$1000,$N42)&amp;""))</f>
        <v/>
      </c>
      <c r="C42" s="79">
        <f>IF($N42="","",IF(INDEX('Cronograma Asistente Técnico'!$AR$5:$AR$1000,$N42)="","",INDEX('Cronograma Asistente Técnico'!$AR$5:$AR$1000,$N42)))</f>
        <v/>
      </c>
      <c r="D42" s="79">
        <f>IF($N42="","",IF(INDEX('Cronograma Asistente Técnico'!$AS$5:$AS$1000,$N42)="","",INDEX('Cronograma Asistente Técnico'!$AS$5:$AS$1000,$N42)))</f>
        <v/>
      </c>
      <c r="E42" s="56">
        <f>IF($N42="","",IF(NOT(ISNUMBER($D42)),"",IF($D42&lt;InicioCiclo,"Antes del ciclo",IF($D42&gt;=InicioCiclo+28,"Después del ciclo","Semana "&amp;(INT(($D42-InicioCiclo)/7)+1)))))</f>
        <v/>
      </c>
      <c r="F42" s="61">
        <f>IF($N42="","",IF($P42&gt;0,IF(1&lt;=SemanaActual,INDEX('Cronograma Asistente Técnico'!$AH$5:$AH$1000,$N42),""),IF(INDEX('Cronograma Asistente Técnico'!$I$5:$I$1000,$N42)="","",INDEX('Cronograma Asistente Técnico'!$I$5:$I$1000,$N42))))</f>
        <v/>
      </c>
      <c r="G42" s="61">
        <f>IF($N42="","",IF($P42&gt;0,IF(2&lt;=SemanaActual,INDEX('Cronograma Asistente Técnico'!$AI$5:$AI$1000,$N42),""),IF(INDEX('Cronograma Asistente Técnico'!$J$5:$J$1000,$N42)="","",INDEX('Cronograma Asistente Técnico'!$J$5:$J$1000,$N42))))</f>
        <v/>
      </c>
      <c r="H42" s="61">
        <f>IF($N42="","",IF($P42&gt;0,IF(3&lt;=SemanaActual,INDEX('Cronograma Asistente Técnico'!$AJ$5:$AJ$1000,$N42),""),IF(INDEX('Cronograma Asistente Técnico'!$K$5:$K$1000,$N42)="","",INDEX('Cronograma Asistente Técnico'!$K$5:$K$1000,$N42))))</f>
        <v/>
      </c>
      <c r="I42" s="61">
        <f>IF($N42="","",IF($P42&gt;0,IF(4&lt;=SemanaActual,INDEX('Cronograma Asistente Técnico'!$AK$5:$AK$1000,$N42),""),IF(INDEX('Cronograma Asistente Técnico'!$L$5:$L$1000,$N42)="","",INDEX('Cronograma Asistente Técnico'!$L$5:$L$1000,$N42))))</f>
        <v/>
      </c>
      <c r="J42" s="61">
        <f>IF($N42="","",INDEX('Cronograma Asistente Técnico'!$M$5:$M$1000,$N42))</f>
        <v/>
      </c>
      <c r="K42" s="56">
        <f>IF($N42="","",IF(N($J42)&gt;=1,"Completado",IF(AND(ISNUMBER($D42),$D42&lt;FechaRef),"Vencida",IF(N($J42)&gt;0,"En curso","Pendiente"))))</f>
        <v/>
      </c>
      <c r="L42" s="56">
        <f>IF($N42="","",INDEX('Cronograma Asistente Técnico'!$O$5:$O$1000,$N42)&amp;"")</f>
        <v/>
      </c>
      <c r="M42" s="62">
        <f>IF($N42="","",INDEX('Cronograma Asistente Técnico'!$Q$5:$Q$1000,$N42)&amp;"")</f>
        <v/>
      </c>
      <c r="N42">
        <f>IFERROR(MATCH(ROW()-4,rOrden_ATR,0),"")</f>
        <v/>
      </c>
      <c r="O42">
        <f>IF($N42="","",INDEX('Cronograma Asistente Técnico'!$V$5:$V$1000,$N42))</f>
        <v/>
      </c>
      <c r="P42">
        <f>IF($N42="","",N(INDEX('Cronograma Asistente Técnico'!$W$5:$W$1000,$N42)))</f>
        <v/>
      </c>
      <c r="Q42">
        <f>IF(OR(LEFT($L42,7)="Vencida",LEFT($L42,5)="Vence"),SUMPRODUCT(--(LEFT($L$5:$L42,7)="Vencida"))+SUMPRODUCT(--(LEFT($L$5:$L42,5)="Vence")),"")</f>
        <v/>
      </c>
    </row>
    <row r="43">
      <c r="A43" s="56">
        <f>IF($N43="","",INDEX('Cronograma Asistente Técnico'!$A$5:$A$1000,$N43))</f>
        <v/>
      </c>
      <c r="B43" s="62">
        <f>IF($N43="","",IF($O43="Sub","      ↳  "&amp;INDEX('Cronograma Asistente Técnico'!$C$5:$C$1000,$N43),INDEX('Cronograma Asistente Técnico'!$C$5:$C$1000,$N43)&amp;""))</f>
        <v/>
      </c>
      <c r="C43" s="79">
        <f>IF($N43="","",IF(INDEX('Cronograma Asistente Técnico'!$AR$5:$AR$1000,$N43)="","",INDEX('Cronograma Asistente Técnico'!$AR$5:$AR$1000,$N43)))</f>
        <v/>
      </c>
      <c r="D43" s="79">
        <f>IF($N43="","",IF(INDEX('Cronograma Asistente Técnico'!$AS$5:$AS$1000,$N43)="","",INDEX('Cronograma Asistente Técnico'!$AS$5:$AS$1000,$N43)))</f>
        <v/>
      </c>
      <c r="E43" s="56">
        <f>IF($N43="","",IF(NOT(ISNUMBER($D43)),"",IF($D43&lt;InicioCiclo,"Antes del ciclo",IF($D43&gt;=InicioCiclo+28,"Después del ciclo","Semana "&amp;(INT(($D43-InicioCiclo)/7)+1)))))</f>
        <v/>
      </c>
      <c r="F43" s="61">
        <f>IF($N43="","",IF($P43&gt;0,IF(1&lt;=SemanaActual,INDEX('Cronograma Asistente Técnico'!$AH$5:$AH$1000,$N43),""),IF(INDEX('Cronograma Asistente Técnico'!$I$5:$I$1000,$N43)="","",INDEX('Cronograma Asistente Técnico'!$I$5:$I$1000,$N43))))</f>
        <v/>
      </c>
      <c r="G43" s="61">
        <f>IF($N43="","",IF($P43&gt;0,IF(2&lt;=SemanaActual,INDEX('Cronograma Asistente Técnico'!$AI$5:$AI$1000,$N43),""),IF(INDEX('Cronograma Asistente Técnico'!$J$5:$J$1000,$N43)="","",INDEX('Cronograma Asistente Técnico'!$J$5:$J$1000,$N43))))</f>
        <v/>
      </c>
      <c r="H43" s="61">
        <f>IF($N43="","",IF($P43&gt;0,IF(3&lt;=SemanaActual,INDEX('Cronograma Asistente Técnico'!$AJ$5:$AJ$1000,$N43),""),IF(INDEX('Cronograma Asistente Técnico'!$K$5:$K$1000,$N43)="","",INDEX('Cronograma Asistente Técnico'!$K$5:$K$1000,$N43))))</f>
        <v/>
      </c>
      <c r="I43" s="61">
        <f>IF($N43="","",IF($P43&gt;0,IF(4&lt;=SemanaActual,INDEX('Cronograma Asistente Técnico'!$AK$5:$AK$1000,$N43),""),IF(INDEX('Cronograma Asistente Técnico'!$L$5:$L$1000,$N43)="","",INDEX('Cronograma Asistente Técnico'!$L$5:$L$1000,$N43))))</f>
        <v/>
      </c>
      <c r="J43" s="61">
        <f>IF($N43="","",INDEX('Cronograma Asistente Técnico'!$M$5:$M$1000,$N43))</f>
        <v/>
      </c>
      <c r="K43" s="56">
        <f>IF($N43="","",IF(N($J43)&gt;=1,"Completado",IF(AND(ISNUMBER($D43),$D43&lt;FechaRef),"Vencida",IF(N($J43)&gt;0,"En curso","Pendiente"))))</f>
        <v/>
      </c>
      <c r="L43" s="56">
        <f>IF($N43="","",INDEX('Cronograma Asistente Técnico'!$O$5:$O$1000,$N43)&amp;"")</f>
        <v/>
      </c>
      <c r="M43" s="62">
        <f>IF($N43="","",INDEX('Cronograma Asistente Técnico'!$Q$5:$Q$1000,$N43)&amp;"")</f>
        <v/>
      </c>
      <c r="N43">
        <f>IFERROR(MATCH(ROW()-4,rOrden_ATR,0),"")</f>
        <v/>
      </c>
      <c r="O43">
        <f>IF($N43="","",INDEX('Cronograma Asistente Técnico'!$V$5:$V$1000,$N43))</f>
        <v/>
      </c>
      <c r="P43">
        <f>IF($N43="","",N(INDEX('Cronograma Asistente Técnico'!$W$5:$W$1000,$N43)))</f>
        <v/>
      </c>
      <c r="Q43">
        <f>IF(OR(LEFT($L43,7)="Vencida",LEFT($L43,5)="Vence"),SUMPRODUCT(--(LEFT($L$5:$L43,7)="Vencida"))+SUMPRODUCT(--(LEFT($L$5:$L43,5)="Vence")),"")</f>
        <v/>
      </c>
    </row>
    <row r="44">
      <c r="A44" s="56">
        <f>IF($N44="","",INDEX('Cronograma Asistente Técnico'!$A$5:$A$1000,$N44))</f>
        <v/>
      </c>
      <c r="B44" s="62">
        <f>IF($N44="","",IF($O44="Sub","      ↳  "&amp;INDEX('Cronograma Asistente Técnico'!$C$5:$C$1000,$N44),INDEX('Cronograma Asistente Técnico'!$C$5:$C$1000,$N44)&amp;""))</f>
        <v/>
      </c>
      <c r="C44" s="79">
        <f>IF($N44="","",IF(INDEX('Cronograma Asistente Técnico'!$AR$5:$AR$1000,$N44)="","",INDEX('Cronograma Asistente Técnico'!$AR$5:$AR$1000,$N44)))</f>
        <v/>
      </c>
      <c r="D44" s="79">
        <f>IF($N44="","",IF(INDEX('Cronograma Asistente Técnico'!$AS$5:$AS$1000,$N44)="","",INDEX('Cronograma Asistente Técnico'!$AS$5:$AS$1000,$N44)))</f>
        <v/>
      </c>
      <c r="E44" s="56">
        <f>IF($N44="","",IF(NOT(ISNUMBER($D44)),"",IF($D44&lt;InicioCiclo,"Antes del ciclo",IF($D44&gt;=InicioCiclo+28,"Después del ciclo","Semana "&amp;(INT(($D44-InicioCiclo)/7)+1)))))</f>
        <v/>
      </c>
      <c r="F44" s="61">
        <f>IF($N44="","",IF($P44&gt;0,IF(1&lt;=SemanaActual,INDEX('Cronograma Asistente Técnico'!$AH$5:$AH$1000,$N44),""),IF(INDEX('Cronograma Asistente Técnico'!$I$5:$I$1000,$N44)="","",INDEX('Cronograma Asistente Técnico'!$I$5:$I$1000,$N44))))</f>
        <v/>
      </c>
      <c r="G44" s="61">
        <f>IF($N44="","",IF($P44&gt;0,IF(2&lt;=SemanaActual,INDEX('Cronograma Asistente Técnico'!$AI$5:$AI$1000,$N44),""),IF(INDEX('Cronograma Asistente Técnico'!$J$5:$J$1000,$N44)="","",INDEX('Cronograma Asistente Técnico'!$J$5:$J$1000,$N44))))</f>
        <v/>
      </c>
      <c r="H44" s="61">
        <f>IF($N44="","",IF($P44&gt;0,IF(3&lt;=SemanaActual,INDEX('Cronograma Asistente Técnico'!$AJ$5:$AJ$1000,$N44),""),IF(INDEX('Cronograma Asistente Técnico'!$K$5:$K$1000,$N44)="","",INDEX('Cronograma Asistente Técnico'!$K$5:$K$1000,$N44))))</f>
        <v/>
      </c>
      <c r="I44" s="61">
        <f>IF($N44="","",IF($P44&gt;0,IF(4&lt;=SemanaActual,INDEX('Cronograma Asistente Técnico'!$AK$5:$AK$1000,$N44),""),IF(INDEX('Cronograma Asistente Técnico'!$L$5:$L$1000,$N44)="","",INDEX('Cronograma Asistente Técnico'!$L$5:$L$1000,$N44))))</f>
        <v/>
      </c>
      <c r="J44" s="61">
        <f>IF($N44="","",INDEX('Cronograma Asistente Técnico'!$M$5:$M$1000,$N44))</f>
        <v/>
      </c>
      <c r="K44" s="56">
        <f>IF($N44="","",IF(N($J44)&gt;=1,"Completado",IF(AND(ISNUMBER($D44),$D44&lt;FechaRef),"Vencida",IF(N($J44)&gt;0,"En curso","Pendiente"))))</f>
        <v/>
      </c>
      <c r="L44" s="56">
        <f>IF($N44="","",INDEX('Cronograma Asistente Técnico'!$O$5:$O$1000,$N44)&amp;"")</f>
        <v/>
      </c>
      <c r="M44" s="62">
        <f>IF($N44="","",INDEX('Cronograma Asistente Técnico'!$Q$5:$Q$1000,$N44)&amp;"")</f>
        <v/>
      </c>
      <c r="N44">
        <f>IFERROR(MATCH(ROW()-4,rOrden_ATR,0),"")</f>
        <v/>
      </c>
      <c r="O44">
        <f>IF($N44="","",INDEX('Cronograma Asistente Técnico'!$V$5:$V$1000,$N44))</f>
        <v/>
      </c>
      <c r="P44">
        <f>IF($N44="","",N(INDEX('Cronograma Asistente Técnico'!$W$5:$W$1000,$N44)))</f>
        <v/>
      </c>
      <c r="Q44">
        <f>IF(OR(LEFT($L44,7)="Vencida",LEFT($L44,5)="Vence"),SUMPRODUCT(--(LEFT($L$5:$L44,7)="Vencida"))+SUMPRODUCT(--(LEFT($L$5:$L44,5)="Vence")),"")</f>
        <v/>
      </c>
    </row>
    <row r="45">
      <c r="A45" s="56">
        <f>IF($N45="","",INDEX('Cronograma Asistente Técnico'!$A$5:$A$1000,$N45))</f>
        <v/>
      </c>
      <c r="B45" s="62">
        <f>IF($N45="","",IF($O45="Sub","      ↳  "&amp;INDEX('Cronograma Asistente Técnico'!$C$5:$C$1000,$N45),INDEX('Cronograma Asistente Técnico'!$C$5:$C$1000,$N45)&amp;""))</f>
        <v/>
      </c>
      <c r="C45" s="79">
        <f>IF($N45="","",IF(INDEX('Cronograma Asistente Técnico'!$AR$5:$AR$1000,$N45)="","",INDEX('Cronograma Asistente Técnico'!$AR$5:$AR$1000,$N45)))</f>
        <v/>
      </c>
      <c r="D45" s="79">
        <f>IF($N45="","",IF(INDEX('Cronograma Asistente Técnico'!$AS$5:$AS$1000,$N45)="","",INDEX('Cronograma Asistente Técnico'!$AS$5:$AS$1000,$N45)))</f>
        <v/>
      </c>
      <c r="E45" s="56">
        <f>IF($N45="","",IF(NOT(ISNUMBER($D45)),"",IF($D45&lt;InicioCiclo,"Antes del ciclo",IF($D45&gt;=InicioCiclo+28,"Después del ciclo","Semana "&amp;(INT(($D45-InicioCiclo)/7)+1)))))</f>
        <v/>
      </c>
      <c r="F45" s="61">
        <f>IF($N45="","",IF($P45&gt;0,IF(1&lt;=SemanaActual,INDEX('Cronograma Asistente Técnico'!$AH$5:$AH$1000,$N45),""),IF(INDEX('Cronograma Asistente Técnico'!$I$5:$I$1000,$N45)="","",INDEX('Cronograma Asistente Técnico'!$I$5:$I$1000,$N45))))</f>
        <v/>
      </c>
      <c r="G45" s="61">
        <f>IF($N45="","",IF($P45&gt;0,IF(2&lt;=SemanaActual,INDEX('Cronograma Asistente Técnico'!$AI$5:$AI$1000,$N45),""),IF(INDEX('Cronograma Asistente Técnico'!$J$5:$J$1000,$N45)="","",INDEX('Cronograma Asistente Técnico'!$J$5:$J$1000,$N45))))</f>
        <v/>
      </c>
      <c r="H45" s="61">
        <f>IF($N45="","",IF($P45&gt;0,IF(3&lt;=SemanaActual,INDEX('Cronograma Asistente Técnico'!$AJ$5:$AJ$1000,$N45),""),IF(INDEX('Cronograma Asistente Técnico'!$K$5:$K$1000,$N45)="","",INDEX('Cronograma Asistente Técnico'!$K$5:$K$1000,$N45))))</f>
        <v/>
      </c>
      <c r="I45" s="61">
        <f>IF($N45="","",IF($P45&gt;0,IF(4&lt;=SemanaActual,INDEX('Cronograma Asistente Técnico'!$AK$5:$AK$1000,$N45),""),IF(INDEX('Cronograma Asistente Técnico'!$L$5:$L$1000,$N45)="","",INDEX('Cronograma Asistente Técnico'!$L$5:$L$1000,$N45))))</f>
        <v/>
      </c>
      <c r="J45" s="61">
        <f>IF($N45="","",INDEX('Cronograma Asistente Técnico'!$M$5:$M$1000,$N45))</f>
        <v/>
      </c>
      <c r="K45" s="56">
        <f>IF($N45="","",IF(N($J45)&gt;=1,"Completado",IF(AND(ISNUMBER($D45),$D45&lt;FechaRef),"Vencida",IF(N($J45)&gt;0,"En curso","Pendiente"))))</f>
        <v/>
      </c>
      <c r="L45" s="56">
        <f>IF($N45="","",INDEX('Cronograma Asistente Técnico'!$O$5:$O$1000,$N45)&amp;"")</f>
        <v/>
      </c>
      <c r="M45" s="62">
        <f>IF($N45="","",INDEX('Cronograma Asistente Técnico'!$Q$5:$Q$1000,$N45)&amp;"")</f>
        <v/>
      </c>
      <c r="N45">
        <f>IFERROR(MATCH(ROW()-4,rOrden_ATR,0),"")</f>
        <v/>
      </c>
      <c r="O45">
        <f>IF($N45="","",INDEX('Cronograma Asistente Técnico'!$V$5:$V$1000,$N45))</f>
        <v/>
      </c>
      <c r="P45">
        <f>IF($N45="","",N(INDEX('Cronograma Asistente Técnico'!$W$5:$W$1000,$N45)))</f>
        <v/>
      </c>
      <c r="Q45">
        <f>IF(OR(LEFT($L45,7)="Vencida",LEFT($L45,5)="Vence"),SUMPRODUCT(--(LEFT($L$5:$L45,7)="Vencida"))+SUMPRODUCT(--(LEFT($L$5:$L45,5)="Vence")),"")</f>
        <v/>
      </c>
    </row>
    <row r="46">
      <c r="A46" s="56">
        <f>IF($N46="","",INDEX('Cronograma Asistente Técnico'!$A$5:$A$1000,$N46))</f>
        <v/>
      </c>
      <c r="B46" s="62">
        <f>IF($N46="","",IF($O46="Sub","      ↳  "&amp;INDEX('Cronograma Asistente Técnico'!$C$5:$C$1000,$N46),INDEX('Cronograma Asistente Técnico'!$C$5:$C$1000,$N46)&amp;""))</f>
        <v/>
      </c>
      <c r="C46" s="79">
        <f>IF($N46="","",IF(INDEX('Cronograma Asistente Técnico'!$AR$5:$AR$1000,$N46)="","",INDEX('Cronograma Asistente Técnico'!$AR$5:$AR$1000,$N46)))</f>
        <v/>
      </c>
      <c r="D46" s="79">
        <f>IF($N46="","",IF(INDEX('Cronograma Asistente Técnico'!$AS$5:$AS$1000,$N46)="","",INDEX('Cronograma Asistente Técnico'!$AS$5:$AS$1000,$N46)))</f>
        <v/>
      </c>
      <c r="E46" s="56">
        <f>IF($N46="","",IF(NOT(ISNUMBER($D46)),"",IF($D46&lt;InicioCiclo,"Antes del ciclo",IF($D46&gt;=InicioCiclo+28,"Después del ciclo","Semana "&amp;(INT(($D46-InicioCiclo)/7)+1)))))</f>
        <v/>
      </c>
      <c r="F46" s="61">
        <f>IF($N46="","",IF($P46&gt;0,IF(1&lt;=SemanaActual,INDEX('Cronograma Asistente Técnico'!$AH$5:$AH$1000,$N46),""),IF(INDEX('Cronograma Asistente Técnico'!$I$5:$I$1000,$N46)="","",INDEX('Cronograma Asistente Técnico'!$I$5:$I$1000,$N46))))</f>
        <v/>
      </c>
      <c r="G46" s="61">
        <f>IF($N46="","",IF($P46&gt;0,IF(2&lt;=SemanaActual,INDEX('Cronograma Asistente Técnico'!$AI$5:$AI$1000,$N46),""),IF(INDEX('Cronograma Asistente Técnico'!$J$5:$J$1000,$N46)="","",INDEX('Cronograma Asistente Técnico'!$J$5:$J$1000,$N46))))</f>
        <v/>
      </c>
      <c r="H46" s="61">
        <f>IF($N46="","",IF($P46&gt;0,IF(3&lt;=SemanaActual,INDEX('Cronograma Asistente Técnico'!$AJ$5:$AJ$1000,$N46),""),IF(INDEX('Cronograma Asistente Técnico'!$K$5:$K$1000,$N46)="","",INDEX('Cronograma Asistente Técnico'!$K$5:$K$1000,$N46))))</f>
        <v/>
      </c>
      <c r="I46" s="61">
        <f>IF($N46="","",IF($P46&gt;0,IF(4&lt;=SemanaActual,INDEX('Cronograma Asistente Técnico'!$AK$5:$AK$1000,$N46),""),IF(INDEX('Cronograma Asistente Técnico'!$L$5:$L$1000,$N46)="","",INDEX('Cronograma Asistente Técnico'!$L$5:$L$1000,$N46))))</f>
        <v/>
      </c>
      <c r="J46" s="61">
        <f>IF($N46="","",INDEX('Cronograma Asistente Técnico'!$M$5:$M$1000,$N46))</f>
        <v/>
      </c>
      <c r="K46" s="56">
        <f>IF($N46="","",IF(N($J46)&gt;=1,"Completado",IF(AND(ISNUMBER($D46),$D46&lt;FechaRef),"Vencida",IF(N($J46)&gt;0,"En curso","Pendiente"))))</f>
        <v/>
      </c>
      <c r="L46" s="56">
        <f>IF($N46="","",INDEX('Cronograma Asistente Técnico'!$O$5:$O$1000,$N46)&amp;"")</f>
        <v/>
      </c>
      <c r="M46" s="62">
        <f>IF($N46="","",INDEX('Cronograma Asistente Técnico'!$Q$5:$Q$1000,$N46)&amp;"")</f>
        <v/>
      </c>
      <c r="N46">
        <f>IFERROR(MATCH(ROW()-4,rOrden_ATR,0),"")</f>
        <v/>
      </c>
      <c r="O46">
        <f>IF($N46="","",INDEX('Cronograma Asistente Técnico'!$V$5:$V$1000,$N46))</f>
        <v/>
      </c>
      <c r="P46">
        <f>IF($N46="","",N(INDEX('Cronograma Asistente Técnico'!$W$5:$W$1000,$N46)))</f>
        <v/>
      </c>
      <c r="Q46">
        <f>IF(OR(LEFT($L46,7)="Vencida",LEFT($L46,5)="Vence"),SUMPRODUCT(--(LEFT($L$5:$L46,7)="Vencida"))+SUMPRODUCT(--(LEFT($L$5:$L46,5)="Vence")),"")</f>
        <v/>
      </c>
    </row>
    <row r="47">
      <c r="A47" s="56">
        <f>IF($N47="","",INDEX('Cronograma Asistente Técnico'!$A$5:$A$1000,$N47))</f>
        <v/>
      </c>
      <c r="B47" s="62">
        <f>IF($N47="","",IF($O47="Sub","      ↳  "&amp;INDEX('Cronograma Asistente Técnico'!$C$5:$C$1000,$N47),INDEX('Cronograma Asistente Técnico'!$C$5:$C$1000,$N47)&amp;""))</f>
        <v/>
      </c>
      <c r="C47" s="79">
        <f>IF($N47="","",IF(INDEX('Cronograma Asistente Técnico'!$AR$5:$AR$1000,$N47)="","",INDEX('Cronograma Asistente Técnico'!$AR$5:$AR$1000,$N47)))</f>
        <v/>
      </c>
      <c r="D47" s="79">
        <f>IF($N47="","",IF(INDEX('Cronograma Asistente Técnico'!$AS$5:$AS$1000,$N47)="","",INDEX('Cronograma Asistente Técnico'!$AS$5:$AS$1000,$N47)))</f>
        <v/>
      </c>
      <c r="E47" s="56">
        <f>IF($N47="","",IF(NOT(ISNUMBER($D47)),"",IF($D47&lt;InicioCiclo,"Antes del ciclo",IF($D47&gt;=InicioCiclo+28,"Después del ciclo","Semana "&amp;(INT(($D47-InicioCiclo)/7)+1)))))</f>
        <v/>
      </c>
      <c r="F47" s="61">
        <f>IF($N47="","",IF($P47&gt;0,IF(1&lt;=SemanaActual,INDEX('Cronograma Asistente Técnico'!$AH$5:$AH$1000,$N47),""),IF(INDEX('Cronograma Asistente Técnico'!$I$5:$I$1000,$N47)="","",INDEX('Cronograma Asistente Técnico'!$I$5:$I$1000,$N47))))</f>
        <v/>
      </c>
      <c r="G47" s="61">
        <f>IF($N47="","",IF($P47&gt;0,IF(2&lt;=SemanaActual,INDEX('Cronograma Asistente Técnico'!$AI$5:$AI$1000,$N47),""),IF(INDEX('Cronograma Asistente Técnico'!$J$5:$J$1000,$N47)="","",INDEX('Cronograma Asistente Técnico'!$J$5:$J$1000,$N47))))</f>
        <v/>
      </c>
      <c r="H47" s="61">
        <f>IF($N47="","",IF($P47&gt;0,IF(3&lt;=SemanaActual,INDEX('Cronograma Asistente Técnico'!$AJ$5:$AJ$1000,$N47),""),IF(INDEX('Cronograma Asistente Técnico'!$K$5:$K$1000,$N47)="","",INDEX('Cronograma Asistente Técnico'!$K$5:$K$1000,$N47))))</f>
        <v/>
      </c>
      <c r="I47" s="61">
        <f>IF($N47="","",IF($P47&gt;0,IF(4&lt;=SemanaActual,INDEX('Cronograma Asistente Técnico'!$AK$5:$AK$1000,$N47),""),IF(INDEX('Cronograma Asistente Técnico'!$L$5:$L$1000,$N47)="","",INDEX('Cronograma Asistente Técnico'!$L$5:$L$1000,$N47))))</f>
        <v/>
      </c>
      <c r="J47" s="61">
        <f>IF($N47="","",INDEX('Cronograma Asistente Técnico'!$M$5:$M$1000,$N47))</f>
        <v/>
      </c>
      <c r="K47" s="56">
        <f>IF($N47="","",IF(N($J47)&gt;=1,"Completado",IF(AND(ISNUMBER($D47),$D47&lt;FechaRef),"Vencida",IF(N($J47)&gt;0,"En curso","Pendiente"))))</f>
        <v/>
      </c>
      <c r="L47" s="56">
        <f>IF($N47="","",INDEX('Cronograma Asistente Técnico'!$O$5:$O$1000,$N47)&amp;"")</f>
        <v/>
      </c>
      <c r="M47" s="62">
        <f>IF($N47="","",INDEX('Cronograma Asistente Técnico'!$Q$5:$Q$1000,$N47)&amp;"")</f>
        <v/>
      </c>
      <c r="N47">
        <f>IFERROR(MATCH(ROW()-4,rOrden_ATR,0),"")</f>
        <v/>
      </c>
      <c r="O47">
        <f>IF($N47="","",INDEX('Cronograma Asistente Técnico'!$V$5:$V$1000,$N47))</f>
        <v/>
      </c>
      <c r="P47">
        <f>IF($N47="","",N(INDEX('Cronograma Asistente Técnico'!$W$5:$W$1000,$N47)))</f>
        <v/>
      </c>
      <c r="Q47">
        <f>IF(OR(LEFT($L47,7)="Vencida",LEFT($L47,5)="Vence"),SUMPRODUCT(--(LEFT($L$5:$L47,7)="Vencida"))+SUMPRODUCT(--(LEFT($L$5:$L47,5)="Vence")),"")</f>
        <v/>
      </c>
    </row>
    <row r="48">
      <c r="A48" s="56">
        <f>IF($N48="","",INDEX('Cronograma Asistente Técnico'!$A$5:$A$1000,$N48))</f>
        <v/>
      </c>
      <c r="B48" s="62">
        <f>IF($N48="","",IF($O48="Sub","      ↳  "&amp;INDEX('Cronograma Asistente Técnico'!$C$5:$C$1000,$N48),INDEX('Cronograma Asistente Técnico'!$C$5:$C$1000,$N48)&amp;""))</f>
        <v/>
      </c>
      <c r="C48" s="79">
        <f>IF($N48="","",IF(INDEX('Cronograma Asistente Técnico'!$AR$5:$AR$1000,$N48)="","",INDEX('Cronograma Asistente Técnico'!$AR$5:$AR$1000,$N48)))</f>
        <v/>
      </c>
      <c r="D48" s="79">
        <f>IF($N48="","",IF(INDEX('Cronograma Asistente Técnico'!$AS$5:$AS$1000,$N48)="","",INDEX('Cronograma Asistente Técnico'!$AS$5:$AS$1000,$N48)))</f>
        <v/>
      </c>
      <c r="E48" s="56">
        <f>IF($N48="","",IF(NOT(ISNUMBER($D48)),"",IF($D48&lt;InicioCiclo,"Antes del ciclo",IF($D48&gt;=InicioCiclo+28,"Después del ciclo","Semana "&amp;(INT(($D48-InicioCiclo)/7)+1)))))</f>
        <v/>
      </c>
      <c r="F48" s="61">
        <f>IF($N48="","",IF($P48&gt;0,IF(1&lt;=SemanaActual,INDEX('Cronograma Asistente Técnico'!$AH$5:$AH$1000,$N48),""),IF(INDEX('Cronograma Asistente Técnico'!$I$5:$I$1000,$N48)="","",INDEX('Cronograma Asistente Técnico'!$I$5:$I$1000,$N48))))</f>
        <v/>
      </c>
      <c r="G48" s="61">
        <f>IF($N48="","",IF($P48&gt;0,IF(2&lt;=SemanaActual,INDEX('Cronograma Asistente Técnico'!$AI$5:$AI$1000,$N48),""),IF(INDEX('Cronograma Asistente Técnico'!$J$5:$J$1000,$N48)="","",INDEX('Cronograma Asistente Técnico'!$J$5:$J$1000,$N48))))</f>
        <v/>
      </c>
      <c r="H48" s="61">
        <f>IF($N48="","",IF($P48&gt;0,IF(3&lt;=SemanaActual,INDEX('Cronograma Asistente Técnico'!$AJ$5:$AJ$1000,$N48),""),IF(INDEX('Cronograma Asistente Técnico'!$K$5:$K$1000,$N48)="","",INDEX('Cronograma Asistente Técnico'!$K$5:$K$1000,$N48))))</f>
        <v/>
      </c>
      <c r="I48" s="61">
        <f>IF($N48="","",IF($P48&gt;0,IF(4&lt;=SemanaActual,INDEX('Cronograma Asistente Técnico'!$AK$5:$AK$1000,$N48),""),IF(INDEX('Cronograma Asistente Técnico'!$L$5:$L$1000,$N48)="","",INDEX('Cronograma Asistente Técnico'!$L$5:$L$1000,$N48))))</f>
        <v/>
      </c>
      <c r="J48" s="61">
        <f>IF($N48="","",INDEX('Cronograma Asistente Técnico'!$M$5:$M$1000,$N48))</f>
        <v/>
      </c>
      <c r="K48" s="56">
        <f>IF($N48="","",IF(N($J48)&gt;=1,"Completado",IF(AND(ISNUMBER($D48),$D48&lt;FechaRef),"Vencida",IF(N($J48)&gt;0,"En curso","Pendiente"))))</f>
        <v/>
      </c>
      <c r="L48" s="56">
        <f>IF($N48="","",INDEX('Cronograma Asistente Técnico'!$O$5:$O$1000,$N48)&amp;"")</f>
        <v/>
      </c>
      <c r="M48" s="62">
        <f>IF($N48="","",INDEX('Cronograma Asistente Técnico'!$Q$5:$Q$1000,$N48)&amp;"")</f>
        <v/>
      </c>
      <c r="N48">
        <f>IFERROR(MATCH(ROW()-4,rOrden_ATR,0),"")</f>
        <v/>
      </c>
      <c r="O48">
        <f>IF($N48="","",INDEX('Cronograma Asistente Técnico'!$V$5:$V$1000,$N48))</f>
        <v/>
      </c>
      <c r="P48">
        <f>IF($N48="","",N(INDEX('Cronograma Asistente Técnico'!$W$5:$W$1000,$N48)))</f>
        <v/>
      </c>
      <c r="Q48">
        <f>IF(OR(LEFT($L48,7)="Vencida",LEFT($L48,5)="Vence"),SUMPRODUCT(--(LEFT($L$5:$L48,7)="Vencida"))+SUMPRODUCT(--(LEFT($L$5:$L48,5)="Vence")),"")</f>
        <v/>
      </c>
    </row>
    <row r="49">
      <c r="A49" s="56">
        <f>IF($N49="","",INDEX('Cronograma Asistente Técnico'!$A$5:$A$1000,$N49))</f>
        <v/>
      </c>
      <c r="B49" s="62">
        <f>IF($N49="","",IF($O49="Sub","      ↳  "&amp;INDEX('Cronograma Asistente Técnico'!$C$5:$C$1000,$N49),INDEX('Cronograma Asistente Técnico'!$C$5:$C$1000,$N49)&amp;""))</f>
        <v/>
      </c>
      <c r="C49" s="79">
        <f>IF($N49="","",IF(INDEX('Cronograma Asistente Técnico'!$AR$5:$AR$1000,$N49)="","",INDEX('Cronograma Asistente Técnico'!$AR$5:$AR$1000,$N49)))</f>
        <v/>
      </c>
      <c r="D49" s="79">
        <f>IF($N49="","",IF(INDEX('Cronograma Asistente Técnico'!$AS$5:$AS$1000,$N49)="","",INDEX('Cronograma Asistente Técnico'!$AS$5:$AS$1000,$N49)))</f>
        <v/>
      </c>
      <c r="E49" s="56">
        <f>IF($N49="","",IF(NOT(ISNUMBER($D49)),"",IF($D49&lt;InicioCiclo,"Antes del ciclo",IF($D49&gt;=InicioCiclo+28,"Después del ciclo","Semana "&amp;(INT(($D49-InicioCiclo)/7)+1)))))</f>
        <v/>
      </c>
      <c r="F49" s="61">
        <f>IF($N49="","",IF($P49&gt;0,IF(1&lt;=SemanaActual,INDEX('Cronograma Asistente Técnico'!$AH$5:$AH$1000,$N49),""),IF(INDEX('Cronograma Asistente Técnico'!$I$5:$I$1000,$N49)="","",INDEX('Cronograma Asistente Técnico'!$I$5:$I$1000,$N49))))</f>
        <v/>
      </c>
      <c r="G49" s="61">
        <f>IF($N49="","",IF($P49&gt;0,IF(2&lt;=SemanaActual,INDEX('Cronograma Asistente Técnico'!$AI$5:$AI$1000,$N49),""),IF(INDEX('Cronograma Asistente Técnico'!$J$5:$J$1000,$N49)="","",INDEX('Cronograma Asistente Técnico'!$J$5:$J$1000,$N49))))</f>
        <v/>
      </c>
      <c r="H49" s="61">
        <f>IF($N49="","",IF($P49&gt;0,IF(3&lt;=SemanaActual,INDEX('Cronograma Asistente Técnico'!$AJ$5:$AJ$1000,$N49),""),IF(INDEX('Cronograma Asistente Técnico'!$K$5:$K$1000,$N49)="","",INDEX('Cronograma Asistente Técnico'!$K$5:$K$1000,$N49))))</f>
        <v/>
      </c>
      <c r="I49" s="61">
        <f>IF($N49="","",IF($P49&gt;0,IF(4&lt;=SemanaActual,INDEX('Cronograma Asistente Técnico'!$AK$5:$AK$1000,$N49),""),IF(INDEX('Cronograma Asistente Técnico'!$L$5:$L$1000,$N49)="","",INDEX('Cronograma Asistente Técnico'!$L$5:$L$1000,$N49))))</f>
        <v/>
      </c>
      <c r="J49" s="61">
        <f>IF($N49="","",INDEX('Cronograma Asistente Técnico'!$M$5:$M$1000,$N49))</f>
        <v/>
      </c>
      <c r="K49" s="56">
        <f>IF($N49="","",IF(N($J49)&gt;=1,"Completado",IF(AND(ISNUMBER($D49),$D49&lt;FechaRef),"Vencida",IF(N($J49)&gt;0,"En curso","Pendiente"))))</f>
        <v/>
      </c>
      <c r="L49" s="56">
        <f>IF($N49="","",INDEX('Cronograma Asistente Técnico'!$O$5:$O$1000,$N49)&amp;"")</f>
        <v/>
      </c>
      <c r="M49" s="62">
        <f>IF($N49="","",INDEX('Cronograma Asistente Técnico'!$Q$5:$Q$1000,$N49)&amp;"")</f>
        <v/>
      </c>
      <c r="N49">
        <f>IFERROR(MATCH(ROW()-4,rOrden_ATR,0),"")</f>
        <v/>
      </c>
      <c r="O49">
        <f>IF($N49="","",INDEX('Cronograma Asistente Técnico'!$V$5:$V$1000,$N49))</f>
        <v/>
      </c>
      <c r="P49">
        <f>IF($N49="","",N(INDEX('Cronograma Asistente Técnico'!$W$5:$W$1000,$N49)))</f>
        <v/>
      </c>
      <c r="Q49">
        <f>IF(OR(LEFT($L49,7)="Vencida",LEFT($L49,5)="Vence"),SUMPRODUCT(--(LEFT($L$5:$L49,7)="Vencida"))+SUMPRODUCT(--(LEFT($L$5:$L49,5)="Vence")),"")</f>
        <v/>
      </c>
    </row>
    <row r="50">
      <c r="A50" s="56">
        <f>IF($N50="","",INDEX('Cronograma Asistente Técnico'!$A$5:$A$1000,$N50))</f>
        <v/>
      </c>
      <c r="B50" s="62">
        <f>IF($N50="","",IF($O50="Sub","      ↳  "&amp;INDEX('Cronograma Asistente Técnico'!$C$5:$C$1000,$N50),INDEX('Cronograma Asistente Técnico'!$C$5:$C$1000,$N50)&amp;""))</f>
        <v/>
      </c>
      <c r="C50" s="79">
        <f>IF($N50="","",IF(INDEX('Cronograma Asistente Técnico'!$AR$5:$AR$1000,$N50)="","",INDEX('Cronograma Asistente Técnico'!$AR$5:$AR$1000,$N50)))</f>
        <v/>
      </c>
      <c r="D50" s="79">
        <f>IF($N50="","",IF(INDEX('Cronograma Asistente Técnico'!$AS$5:$AS$1000,$N50)="","",INDEX('Cronograma Asistente Técnico'!$AS$5:$AS$1000,$N50)))</f>
        <v/>
      </c>
      <c r="E50" s="56">
        <f>IF($N50="","",IF(NOT(ISNUMBER($D50)),"",IF($D50&lt;InicioCiclo,"Antes del ciclo",IF($D50&gt;=InicioCiclo+28,"Después del ciclo","Semana "&amp;(INT(($D50-InicioCiclo)/7)+1)))))</f>
        <v/>
      </c>
      <c r="F50" s="61">
        <f>IF($N50="","",IF($P50&gt;0,IF(1&lt;=SemanaActual,INDEX('Cronograma Asistente Técnico'!$AH$5:$AH$1000,$N50),""),IF(INDEX('Cronograma Asistente Técnico'!$I$5:$I$1000,$N50)="","",INDEX('Cronograma Asistente Técnico'!$I$5:$I$1000,$N50))))</f>
        <v/>
      </c>
      <c r="G50" s="61">
        <f>IF($N50="","",IF($P50&gt;0,IF(2&lt;=SemanaActual,INDEX('Cronograma Asistente Técnico'!$AI$5:$AI$1000,$N50),""),IF(INDEX('Cronograma Asistente Técnico'!$J$5:$J$1000,$N50)="","",INDEX('Cronograma Asistente Técnico'!$J$5:$J$1000,$N50))))</f>
        <v/>
      </c>
      <c r="H50" s="61">
        <f>IF($N50="","",IF($P50&gt;0,IF(3&lt;=SemanaActual,INDEX('Cronograma Asistente Técnico'!$AJ$5:$AJ$1000,$N50),""),IF(INDEX('Cronograma Asistente Técnico'!$K$5:$K$1000,$N50)="","",INDEX('Cronograma Asistente Técnico'!$K$5:$K$1000,$N50))))</f>
        <v/>
      </c>
      <c r="I50" s="61">
        <f>IF($N50="","",IF($P50&gt;0,IF(4&lt;=SemanaActual,INDEX('Cronograma Asistente Técnico'!$AK$5:$AK$1000,$N50),""),IF(INDEX('Cronograma Asistente Técnico'!$L$5:$L$1000,$N50)="","",INDEX('Cronograma Asistente Técnico'!$L$5:$L$1000,$N50))))</f>
        <v/>
      </c>
      <c r="J50" s="61">
        <f>IF($N50="","",INDEX('Cronograma Asistente Técnico'!$M$5:$M$1000,$N50))</f>
        <v/>
      </c>
      <c r="K50" s="56">
        <f>IF($N50="","",IF(N($J50)&gt;=1,"Completado",IF(AND(ISNUMBER($D50),$D50&lt;FechaRef),"Vencida",IF(N($J50)&gt;0,"En curso","Pendiente"))))</f>
        <v/>
      </c>
      <c r="L50" s="56">
        <f>IF($N50="","",INDEX('Cronograma Asistente Técnico'!$O$5:$O$1000,$N50)&amp;"")</f>
        <v/>
      </c>
      <c r="M50" s="62">
        <f>IF($N50="","",INDEX('Cronograma Asistente Técnico'!$Q$5:$Q$1000,$N50)&amp;"")</f>
        <v/>
      </c>
      <c r="N50">
        <f>IFERROR(MATCH(ROW()-4,rOrden_ATR,0),"")</f>
        <v/>
      </c>
      <c r="O50">
        <f>IF($N50="","",INDEX('Cronograma Asistente Técnico'!$V$5:$V$1000,$N50))</f>
        <v/>
      </c>
      <c r="P50">
        <f>IF($N50="","",N(INDEX('Cronograma Asistente Técnico'!$W$5:$W$1000,$N50)))</f>
        <v/>
      </c>
      <c r="Q50">
        <f>IF(OR(LEFT($L50,7)="Vencida",LEFT($L50,5)="Vence"),SUMPRODUCT(--(LEFT($L$5:$L50,7)="Vencida"))+SUMPRODUCT(--(LEFT($L$5:$L50,5)="Vence")),"")</f>
        <v/>
      </c>
    </row>
    <row r="51">
      <c r="A51" s="56">
        <f>IF($N51="","",INDEX('Cronograma Asistente Técnico'!$A$5:$A$1000,$N51))</f>
        <v/>
      </c>
      <c r="B51" s="62">
        <f>IF($N51="","",IF($O51="Sub","      ↳  "&amp;INDEX('Cronograma Asistente Técnico'!$C$5:$C$1000,$N51),INDEX('Cronograma Asistente Técnico'!$C$5:$C$1000,$N51)&amp;""))</f>
        <v/>
      </c>
      <c r="C51" s="79">
        <f>IF($N51="","",IF(INDEX('Cronograma Asistente Técnico'!$AR$5:$AR$1000,$N51)="","",INDEX('Cronograma Asistente Técnico'!$AR$5:$AR$1000,$N51)))</f>
        <v/>
      </c>
      <c r="D51" s="79">
        <f>IF($N51="","",IF(INDEX('Cronograma Asistente Técnico'!$AS$5:$AS$1000,$N51)="","",INDEX('Cronograma Asistente Técnico'!$AS$5:$AS$1000,$N51)))</f>
        <v/>
      </c>
      <c r="E51" s="56">
        <f>IF($N51="","",IF(NOT(ISNUMBER($D51)),"",IF($D51&lt;InicioCiclo,"Antes del ciclo",IF($D51&gt;=InicioCiclo+28,"Después del ciclo","Semana "&amp;(INT(($D51-InicioCiclo)/7)+1)))))</f>
        <v/>
      </c>
      <c r="F51" s="61">
        <f>IF($N51="","",IF($P51&gt;0,IF(1&lt;=SemanaActual,INDEX('Cronograma Asistente Técnico'!$AH$5:$AH$1000,$N51),""),IF(INDEX('Cronograma Asistente Técnico'!$I$5:$I$1000,$N51)="","",INDEX('Cronograma Asistente Técnico'!$I$5:$I$1000,$N51))))</f>
        <v/>
      </c>
      <c r="G51" s="61">
        <f>IF($N51="","",IF($P51&gt;0,IF(2&lt;=SemanaActual,INDEX('Cronograma Asistente Técnico'!$AI$5:$AI$1000,$N51),""),IF(INDEX('Cronograma Asistente Técnico'!$J$5:$J$1000,$N51)="","",INDEX('Cronograma Asistente Técnico'!$J$5:$J$1000,$N51))))</f>
        <v/>
      </c>
      <c r="H51" s="61">
        <f>IF($N51="","",IF($P51&gt;0,IF(3&lt;=SemanaActual,INDEX('Cronograma Asistente Técnico'!$AJ$5:$AJ$1000,$N51),""),IF(INDEX('Cronograma Asistente Técnico'!$K$5:$K$1000,$N51)="","",INDEX('Cronograma Asistente Técnico'!$K$5:$K$1000,$N51))))</f>
        <v/>
      </c>
      <c r="I51" s="61">
        <f>IF($N51="","",IF($P51&gt;0,IF(4&lt;=SemanaActual,INDEX('Cronograma Asistente Técnico'!$AK$5:$AK$1000,$N51),""),IF(INDEX('Cronograma Asistente Técnico'!$L$5:$L$1000,$N51)="","",INDEX('Cronograma Asistente Técnico'!$L$5:$L$1000,$N51))))</f>
        <v/>
      </c>
      <c r="J51" s="61">
        <f>IF($N51="","",INDEX('Cronograma Asistente Técnico'!$M$5:$M$1000,$N51))</f>
        <v/>
      </c>
      <c r="K51" s="56">
        <f>IF($N51="","",IF(N($J51)&gt;=1,"Completado",IF(AND(ISNUMBER($D51),$D51&lt;FechaRef),"Vencida",IF(N($J51)&gt;0,"En curso","Pendiente"))))</f>
        <v/>
      </c>
      <c r="L51" s="56">
        <f>IF($N51="","",INDEX('Cronograma Asistente Técnico'!$O$5:$O$1000,$N51)&amp;"")</f>
        <v/>
      </c>
      <c r="M51" s="62">
        <f>IF($N51="","",INDEX('Cronograma Asistente Técnico'!$Q$5:$Q$1000,$N51)&amp;"")</f>
        <v/>
      </c>
      <c r="N51">
        <f>IFERROR(MATCH(ROW()-4,rOrden_ATR,0),"")</f>
        <v/>
      </c>
      <c r="O51">
        <f>IF($N51="","",INDEX('Cronograma Asistente Técnico'!$V$5:$V$1000,$N51))</f>
        <v/>
      </c>
      <c r="P51">
        <f>IF($N51="","",N(INDEX('Cronograma Asistente Técnico'!$W$5:$W$1000,$N51)))</f>
        <v/>
      </c>
      <c r="Q51">
        <f>IF(OR(LEFT($L51,7)="Vencida",LEFT($L51,5)="Vence"),SUMPRODUCT(--(LEFT($L$5:$L51,7)="Vencida"))+SUMPRODUCT(--(LEFT($L$5:$L51,5)="Vence")),"")</f>
        <v/>
      </c>
    </row>
    <row r="52">
      <c r="A52" s="56">
        <f>IF($N52="","",INDEX('Cronograma Asistente Técnico'!$A$5:$A$1000,$N52))</f>
        <v/>
      </c>
      <c r="B52" s="62">
        <f>IF($N52="","",IF($O52="Sub","      ↳  "&amp;INDEX('Cronograma Asistente Técnico'!$C$5:$C$1000,$N52),INDEX('Cronograma Asistente Técnico'!$C$5:$C$1000,$N52)&amp;""))</f>
        <v/>
      </c>
      <c r="C52" s="79">
        <f>IF($N52="","",IF(INDEX('Cronograma Asistente Técnico'!$AR$5:$AR$1000,$N52)="","",INDEX('Cronograma Asistente Técnico'!$AR$5:$AR$1000,$N52)))</f>
        <v/>
      </c>
      <c r="D52" s="79">
        <f>IF($N52="","",IF(INDEX('Cronograma Asistente Técnico'!$AS$5:$AS$1000,$N52)="","",INDEX('Cronograma Asistente Técnico'!$AS$5:$AS$1000,$N52)))</f>
        <v/>
      </c>
      <c r="E52" s="56">
        <f>IF($N52="","",IF(NOT(ISNUMBER($D52)),"",IF($D52&lt;InicioCiclo,"Antes del ciclo",IF($D52&gt;=InicioCiclo+28,"Después del ciclo","Semana "&amp;(INT(($D52-InicioCiclo)/7)+1)))))</f>
        <v/>
      </c>
      <c r="F52" s="61">
        <f>IF($N52="","",IF($P52&gt;0,IF(1&lt;=SemanaActual,INDEX('Cronograma Asistente Técnico'!$AH$5:$AH$1000,$N52),""),IF(INDEX('Cronograma Asistente Técnico'!$I$5:$I$1000,$N52)="","",INDEX('Cronograma Asistente Técnico'!$I$5:$I$1000,$N52))))</f>
        <v/>
      </c>
      <c r="G52" s="61">
        <f>IF($N52="","",IF($P52&gt;0,IF(2&lt;=SemanaActual,INDEX('Cronograma Asistente Técnico'!$AI$5:$AI$1000,$N52),""),IF(INDEX('Cronograma Asistente Técnico'!$J$5:$J$1000,$N52)="","",INDEX('Cronograma Asistente Técnico'!$J$5:$J$1000,$N52))))</f>
        <v/>
      </c>
      <c r="H52" s="61">
        <f>IF($N52="","",IF($P52&gt;0,IF(3&lt;=SemanaActual,INDEX('Cronograma Asistente Técnico'!$AJ$5:$AJ$1000,$N52),""),IF(INDEX('Cronograma Asistente Técnico'!$K$5:$K$1000,$N52)="","",INDEX('Cronograma Asistente Técnico'!$K$5:$K$1000,$N52))))</f>
        <v/>
      </c>
      <c r="I52" s="61">
        <f>IF($N52="","",IF($P52&gt;0,IF(4&lt;=SemanaActual,INDEX('Cronograma Asistente Técnico'!$AK$5:$AK$1000,$N52),""),IF(INDEX('Cronograma Asistente Técnico'!$L$5:$L$1000,$N52)="","",INDEX('Cronograma Asistente Técnico'!$L$5:$L$1000,$N52))))</f>
        <v/>
      </c>
      <c r="J52" s="61">
        <f>IF($N52="","",INDEX('Cronograma Asistente Técnico'!$M$5:$M$1000,$N52))</f>
        <v/>
      </c>
      <c r="K52" s="56">
        <f>IF($N52="","",IF(N($J52)&gt;=1,"Completado",IF(AND(ISNUMBER($D52),$D52&lt;FechaRef),"Vencida",IF(N($J52)&gt;0,"En curso","Pendiente"))))</f>
        <v/>
      </c>
      <c r="L52" s="56">
        <f>IF($N52="","",INDEX('Cronograma Asistente Técnico'!$O$5:$O$1000,$N52)&amp;"")</f>
        <v/>
      </c>
      <c r="M52" s="62">
        <f>IF($N52="","",INDEX('Cronograma Asistente Técnico'!$Q$5:$Q$1000,$N52)&amp;"")</f>
        <v/>
      </c>
      <c r="N52">
        <f>IFERROR(MATCH(ROW()-4,rOrden_ATR,0),"")</f>
        <v/>
      </c>
      <c r="O52">
        <f>IF($N52="","",INDEX('Cronograma Asistente Técnico'!$V$5:$V$1000,$N52))</f>
        <v/>
      </c>
      <c r="P52">
        <f>IF($N52="","",N(INDEX('Cronograma Asistente Técnico'!$W$5:$W$1000,$N52)))</f>
        <v/>
      </c>
      <c r="Q52">
        <f>IF(OR(LEFT($L52,7)="Vencida",LEFT($L52,5)="Vence"),SUMPRODUCT(--(LEFT($L$5:$L52,7)="Vencida"))+SUMPRODUCT(--(LEFT($L$5:$L52,5)="Vence")),"")</f>
        <v/>
      </c>
    </row>
    <row r="53">
      <c r="A53" s="56">
        <f>IF($N53="","",INDEX('Cronograma Asistente Técnico'!$A$5:$A$1000,$N53))</f>
        <v/>
      </c>
      <c r="B53" s="62">
        <f>IF($N53="","",IF($O53="Sub","      ↳  "&amp;INDEX('Cronograma Asistente Técnico'!$C$5:$C$1000,$N53),INDEX('Cronograma Asistente Técnico'!$C$5:$C$1000,$N53)&amp;""))</f>
        <v/>
      </c>
      <c r="C53" s="79">
        <f>IF($N53="","",IF(INDEX('Cronograma Asistente Técnico'!$AR$5:$AR$1000,$N53)="","",INDEX('Cronograma Asistente Técnico'!$AR$5:$AR$1000,$N53)))</f>
        <v/>
      </c>
      <c r="D53" s="79">
        <f>IF($N53="","",IF(INDEX('Cronograma Asistente Técnico'!$AS$5:$AS$1000,$N53)="","",INDEX('Cronograma Asistente Técnico'!$AS$5:$AS$1000,$N53)))</f>
        <v/>
      </c>
      <c r="E53" s="56">
        <f>IF($N53="","",IF(NOT(ISNUMBER($D53)),"",IF($D53&lt;InicioCiclo,"Antes del ciclo",IF($D53&gt;=InicioCiclo+28,"Después del ciclo","Semana "&amp;(INT(($D53-InicioCiclo)/7)+1)))))</f>
        <v/>
      </c>
      <c r="F53" s="61">
        <f>IF($N53="","",IF($P53&gt;0,IF(1&lt;=SemanaActual,INDEX('Cronograma Asistente Técnico'!$AH$5:$AH$1000,$N53),""),IF(INDEX('Cronograma Asistente Técnico'!$I$5:$I$1000,$N53)="","",INDEX('Cronograma Asistente Técnico'!$I$5:$I$1000,$N53))))</f>
        <v/>
      </c>
      <c r="G53" s="61">
        <f>IF($N53="","",IF($P53&gt;0,IF(2&lt;=SemanaActual,INDEX('Cronograma Asistente Técnico'!$AI$5:$AI$1000,$N53),""),IF(INDEX('Cronograma Asistente Técnico'!$J$5:$J$1000,$N53)="","",INDEX('Cronograma Asistente Técnico'!$J$5:$J$1000,$N53))))</f>
        <v/>
      </c>
      <c r="H53" s="61">
        <f>IF($N53="","",IF($P53&gt;0,IF(3&lt;=SemanaActual,INDEX('Cronograma Asistente Técnico'!$AJ$5:$AJ$1000,$N53),""),IF(INDEX('Cronograma Asistente Técnico'!$K$5:$K$1000,$N53)="","",INDEX('Cronograma Asistente Técnico'!$K$5:$K$1000,$N53))))</f>
        <v/>
      </c>
      <c r="I53" s="61">
        <f>IF($N53="","",IF($P53&gt;0,IF(4&lt;=SemanaActual,INDEX('Cronograma Asistente Técnico'!$AK$5:$AK$1000,$N53),""),IF(INDEX('Cronograma Asistente Técnico'!$L$5:$L$1000,$N53)="","",INDEX('Cronograma Asistente Técnico'!$L$5:$L$1000,$N53))))</f>
        <v/>
      </c>
      <c r="J53" s="61">
        <f>IF($N53="","",INDEX('Cronograma Asistente Técnico'!$M$5:$M$1000,$N53))</f>
        <v/>
      </c>
      <c r="K53" s="56">
        <f>IF($N53="","",IF(N($J53)&gt;=1,"Completado",IF(AND(ISNUMBER($D53),$D53&lt;FechaRef),"Vencida",IF(N($J53)&gt;0,"En curso","Pendiente"))))</f>
        <v/>
      </c>
      <c r="L53" s="56">
        <f>IF($N53="","",INDEX('Cronograma Asistente Técnico'!$O$5:$O$1000,$N53)&amp;"")</f>
        <v/>
      </c>
      <c r="M53" s="62">
        <f>IF($N53="","",INDEX('Cronograma Asistente Técnico'!$Q$5:$Q$1000,$N53)&amp;"")</f>
        <v/>
      </c>
      <c r="N53">
        <f>IFERROR(MATCH(ROW()-4,rOrden_ATR,0),"")</f>
        <v/>
      </c>
      <c r="O53">
        <f>IF($N53="","",INDEX('Cronograma Asistente Técnico'!$V$5:$V$1000,$N53))</f>
        <v/>
      </c>
      <c r="P53">
        <f>IF($N53="","",N(INDEX('Cronograma Asistente Técnico'!$W$5:$W$1000,$N53)))</f>
        <v/>
      </c>
      <c r="Q53">
        <f>IF(OR(LEFT($L53,7)="Vencida",LEFT($L53,5)="Vence"),SUMPRODUCT(--(LEFT($L$5:$L53,7)="Vencida"))+SUMPRODUCT(--(LEFT($L$5:$L53,5)="Vence")),"")</f>
        <v/>
      </c>
    </row>
    <row r="54">
      <c r="A54" s="56">
        <f>IF($N54="","",INDEX('Cronograma Asistente Técnico'!$A$5:$A$1000,$N54))</f>
        <v/>
      </c>
      <c r="B54" s="62">
        <f>IF($N54="","",IF($O54="Sub","      ↳  "&amp;INDEX('Cronograma Asistente Técnico'!$C$5:$C$1000,$N54),INDEX('Cronograma Asistente Técnico'!$C$5:$C$1000,$N54)&amp;""))</f>
        <v/>
      </c>
      <c r="C54" s="79">
        <f>IF($N54="","",IF(INDEX('Cronograma Asistente Técnico'!$AR$5:$AR$1000,$N54)="","",INDEX('Cronograma Asistente Técnico'!$AR$5:$AR$1000,$N54)))</f>
        <v/>
      </c>
      <c r="D54" s="79">
        <f>IF($N54="","",IF(INDEX('Cronograma Asistente Técnico'!$AS$5:$AS$1000,$N54)="","",INDEX('Cronograma Asistente Técnico'!$AS$5:$AS$1000,$N54)))</f>
        <v/>
      </c>
      <c r="E54" s="56">
        <f>IF($N54="","",IF(NOT(ISNUMBER($D54)),"",IF($D54&lt;InicioCiclo,"Antes del ciclo",IF($D54&gt;=InicioCiclo+28,"Después del ciclo","Semana "&amp;(INT(($D54-InicioCiclo)/7)+1)))))</f>
        <v/>
      </c>
      <c r="F54" s="61">
        <f>IF($N54="","",IF($P54&gt;0,IF(1&lt;=SemanaActual,INDEX('Cronograma Asistente Técnico'!$AH$5:$AH$1000,$N54),""),IF(INDEX('Cronograma Asistente Técnico'!$I$5:$I$1000,$N54)="","",INDEX('Cronograma Asistente Técnico'!$I$5:$I$1000,$N54))))</f>
        <v/>
      </c>
      <c r="G54" s="61">
        <f>IF($N54="","",IF($P54&gt;0,IF(2&lt;=SemanaActual,INDEX('Cronograma Asistente Técnico'!$AI$5:$AI$1000,$N54),""),IF(INDEX('Cronograma Asistente Técnico'!$J$5:$J$1000,$N54)="","",INDEX('Cronograma Asistente Técnico'!$J$5:$J$1000,$N54))))</f>
        <v/>
      </c>
      <c r="H54" s="61">
        <f>IF($N54="","",IF($P54&gt;0,IF(3&lt;=SemanaActual,INDEX('Cronograma Asistente Técnico'!$AJ$5:$AJ$1000,$N54),""),IF(INDEX('Cronograma Asistente Técnico'!$K$5:$K$1000,$N54)="","",INDEX('Cronograma Asistente Técnico'!$K$5:$K$1000,$N54))))</f>
        <v/>
      </c>
      <c r="I54" s="61">
        <f>IF($N54="","",IF($P54&gt;0,IF(4&lt;=SemanaActual,INDEX('Cronograma Asistente Técnico'!$AK$5:$AK$1000,$N54),""),IF(INDEX('Cronograma Asistente Técnico'!$L$5:$L$1000,$N54)="","",INDEX('Cronograma Asistente Técnico'!$L$5:$L$1000,$N54))))</f>
        <v/>
      </c>
      <c r="J54" s="61">
        <f>IF($N54="","",INDEX('Cronograma Asistente Técnico'!$M$5:$M$1000,$N54))</f>
        <v/>
      </c>
      <c r="K54" s="56">
        <f>IF($N54="","",IF(N($J54)&gt;=1,"Completado",IF(AND(ISNUMBER($D54),$D54&lt;FechaRef),"Vencida",IF(N($J54)&gt;0,"En curso","Pendiente"))))</f>
        <v/>
      </c>
      <c r="L54" s="56">
        <f>IF($N54="","",INDEX('Cronograma Asistente Técnico'!$O$5:$O$1000,$N54)&amp;"")</f>
        <v/>
      </c>
      <c r="M54" s="62">
        <f>IF($N54="","",INDEX('Cronograma Asistente Técnico'!$Q$5:$Q$1000,$N54)&amp;"")</f>
        <v/>
      </c>
      <c r="N54">
        <f>IFERROR(MATCH(ROW()-4,rOrden_ATR,0),"")</f>
        <v/>
      </c>
      <c r="O54">
        <f>IF($N54="","",INDEX('Cronograma Asistente Técnico'!$V$5:$V$1000,$N54))</f>
        <v/>
      </c>
      <c r="P54">
        <f>IF($N54="","",N(INDEX('Cronograma Asistente Técnico'!$W$5:$W$1000,$N54)))</f>
        <v/>
      </c>
      <c r="Q54">
        <f>IF(OR(LEFT($L54,7)="Vencida",LEFT($L54,5)="Vence"),SUMPRODUCT(--(LEFT($L$5:$L54,7)="Vencida"))+SUMPRODUCT(--(LEFT($L$5:$L54,5)="Vence")),"")</f>
        <v/>
      </c>
    </row>
    <row r="55">
      <c r="A55" s="56">
        <f>IF($N55="","",INDEX('Cronograma Asistente Técnico'!$A$5:$A$1000,$N55))</f>
        <v/>
      </c>
      <c r="B55" s="62">
        <f>IF($N55="","",IF($O55="Sub","      ↳  "&amp;INDEX('Cronograma Asistente Técnico'!$C$5:$C$1000,$N55),INDEX('Cronograma Asistente Técnico'!$C$5:$C$1000,$N55)&amp;""))</f>
        <v/>
      </c>
      <c r="C55" s="79">
        <f>IF($N55="","",IF(INDEX('Cronograma Asistente Técnico'!$AR$5:$AR$1000,$N55)="","",INDEX('Cronograma Asistente Técnico'!$AR$5:$AR$1000,$N55)))</f>
        <v/>
      </c>
      <c r="D55" s="79">
        <f>IF($N55="","",IF(INDEX('Cronograma Asistente Técnico'!$AS$5:$AS$1000,$N55)="","",INDEX('Cronograma Asistente Técnico'!$AS$5:$AS$1000,$N55)))</f>
        <v/>
      </c>
      <c r="E55" s="56">
        <f>IF($N55="","",IF(NOT(ISNUMBER($D55)),"",IF($D55&lt;InicioCiclo,"Antes del ciclo",IF($D55&gt;=InicioCiclo+28,"Después del ciclo","Semana "&amp;(INT(($D55-InicioCiclo)/7)+1)))))</f>
        <v/>
      </c>
      <c r="F55" s="61">
        <f>IF($N55="","",IF($P55&gt;0,IF(1&lt;=SemanaActual,INDEX('Cronograma Asistente Técnico'!$AH$5:$AH$1000,$N55),""),IF(INDEX('Cronograma Asistente Técnico'!$I$5:$I$1000,$N55)="","",INDEX('Cronograma Asistente Técnico'!$I$5:$I$1000,$N55))))</f>
        <v/>
      </c>
      <c r="G55" s="61">
        <f>IF($N55="","",IF($P55&gt;0,IF(2&lt;=SemanaActual,INDEX('Cronograma Asistente Técnico'!$AI$5:$AI$1000,$N55),""),IF(INDEX('Cronograma Asistente Técnico'!$J$5:$J$1000,$N55)="","",INDEX('Cronograma Asistente Técnico'!$J$5:$J$1000,$N55))))</f>
        <v/>
      </c>
      <c r="H55" s="61">
        <f>IF($N55="","",IF($P55&gt;0,IF(3&lt;=SemanaActual,INDEX('Cronograma Asistente Técnico'!$AJ$5:$AJ$1000,$N55),""),IF(INDEX('Cronograma Asistente Técnico'!$K$5:$K$1000,$N55)="","",INDEX('Cronograma Asistente Técnico'!$K$5:$K$1000,$N55))))</f>
        <v/>
      </c>
      <c r="I55" s="61">
        <f>IF($N55="","",IF($P55&gt;0,IF(4&lt;=SemanaActual,INDEX('Cronograma Asistente Técnico'!$AK$5:$AK$1000,$N55),""),IF(INDEX('Cronograma Asistente Técnico'!$L$5:$L$1000,$N55)="","",INDEX('Cronograma Asistente Técnico'!$L$5:$L$1000,$N55))))</f>
        <v/>
      </c>
      <c r="J55" s="61">
        <f>IF($N55="","",INDEX('Cronograma Asistente Técnico'!$M$5:$M$1000,$N55))</f>
        <v/>
      </c>
      <c r="K55" s="56">
        <f>IF($N55="","",IF(N($J55)&gt;=1,"Completado",IF(AND(ISNUMBER($D55),$D55&lt;FechaRef),"Vencida",IF(N($J55)&gt;0,"En curso","Pendiente"))))</f>
        <v/>
      </c>
      <c r="L55" s="56">
        <f>IF($N55="","",INDEX('Cronograma Asistente Técnico'!$O$5:$O$1000,$N55)&amp;"")</f>
        <v/>
      </c>
      <c r="M55" s="62">
        <f>IF($N55="","",INDEX('Cronograma Asistente Técnico'!$Q$5:$Q$1000,$N55)&amp;"")</f>
        <v/>
      </c>
      <c r="N55">
        <f>IFERROR(MATCH(ROW()-4,rOrden_ATR,0),"")</f>
        <v/>
      </c>
      <c r="O55">
        <f>IF($N55="","",INDEX('Cronograma Asistente Técnico'!$V$5:$V$1000,$N55))</f>
        <v/>
      </c>
      <c r="P55">
        <f>IF($N55="","",N(INDEX('Cronograma Asistente Técnico'!$W$5:$W$1000,$N55)))</f>
        <v/>
      </c>
      <c r="Q55">
        <f>IF(OR(LEFT($L55,7)="Vencida",LEFT($L55,5)="Vence"),SUMPRODUCT(--(LEFT($L$5:$L55,7)="Vencida"))+SUMPRODUCT(--(LEFT($L$5:$L55,5)="Vence")),"")</f>
        <v/>
      </c>
    </row>
    <row r="56">
      <c r="A56" s="56">
        <f>IF($N56="","",INDEX('Cronograma Asistente Técnico'!$A$5:$A$1000,$N56))</f>
        <v/>
      </c>
      <c r="B56" s="62">
        <f>IF($N56="","",IF($O56="Sub","      ↳  "&amp;INDEX('Cronograma Asistente Técnico'!$C$5:$C$1000,$N56),INDEX('Cronograma Asistente Técnico'!$C$5:$C$1000,$N56)&amp;""))</f>
        <v/>
      </c>
      <c r="C56" s="79">
        <f>IF($N56="","",IF(INDEX('Cronograma Asistente Técnico'!$AR$5:$AR$1000,$N56)="","",INDEX('Cronograma Asistente Técnico'!$AR$5:$AR$1000,$N56)))</f>
        <v/>
      </c>
      <c r="D56" s="79">
        <f>IF($N56="","",IF(INDEX('Cronograma Asistente Técnico'!$AS$5:$AS$1000,$N56)="","",INDEX('Cronograma Asistente Técnico'!$AS$5:$AS$1000,$N56)))</f>
        <v/>
      </c>
      <c r="E56" s="56">
        <f>IF($N56="","",IF(NOT(ISNUMBER($D56)),"",IF($D56&lt;InicioCiclo,"Antes del ciclo",IF($D56&gt;=InicioCiclo+28,"Después del ciclo","Semana "&amp;(INT(($D56-InicioCiclo)/7)+1)))))</f>
        <v/>
      </c>
      <c r="F56" s="61">
        <f>IF($N56="","",IF($P56&gt;0,IF(1&lt;=SemanaActual,INDEX('Cronograma Asistente Técnico'!$AH$5:$AH$1000,$N56),""),IF(INDEX('Cronograma Asistente Técnico'!$I$5:$I$1000,$N56)="","",INDEX('Cronograma Asistente Técnico'!$I$5:$I$1000,$N56))))</f>
        <v/>
      </c>
      <c r="G56" s="61">
        <f>IF($N56="","",IF($P56&gt;0,IF(2&lt;=SemanaActual,INDEX('Cronograma Asistente Técnico'!$AI$5:$AI$1000,$N56),""),IF(INDEX('Cronograma Asistente Técnico'!$J$5:$J$1000,$N56)="","",INDEX('Cronograma Asistente Técnico'!$J$5:$J$1000,$N56))))</f>
        <v/>
      </c>
      <c r="H56" s="61">
        <f>IF($N56="","",IF($P56&gt;0,IF(3&lt;=SemanaActual,INDEX('Cronograma Asistente Técnico'!$AJ$5:$AJ$1000,$N56),""),IF(INDEX('Cronograma Asistente Técnico'!$K$5:$K$1000,$N56)="","",INDEX('Cronograma Asistente Técnico'!$K$5:$K$1000,$N56))))</f>
        <v/>
      </c>
      <c r="I56" s="61">
        <f>IF($N56="","",IF($P56&gt;0,IF(4&lt;=SemanaActual,INDEX('Cronograma Asistente Técnico'!$AK$5:$AK$1000,$N56),""),IF(INDEX('Cronograma Asistente Técnico'!$L$5:$L$1000,$N56)="","",INDEX('Cronograma Asistente Técnico'!$L$5:$L$1000,$N56))))</f>
        <v/>
      </c>
      <c r="J56" s="61">
        <f>IF($N56="","",INDEX('Cronograma Asistente Técnico'!$M$5:$M$1000,$N56))</f>
        <v/>
      </c>
      <c r="K56" s="56">
        <f>IF($N56="","",IF(N($J56)&gt;=1,"Completado",IF(AND(ISNUMBER($D56),$D56&lt;FechaRef),"Vencida",IF(N($J56)&gt;0,"En curso","Pendiente"))))</f>
        <v/>
      </c>
      <c r="L56" s="56">
        <f>IF($N56="","",INDEX('Cronograma Asistente Técnico'!$O$5:$O$1000,$N56)&amp;"")</f>
        <v/>
      </c>
      <c r="M56" s="62">
        <f>IF($N56="","",INDEX('Cronograma Asistente Técnico'!$Q$5:$Q$1000,$N56)&amp;"")</f>
        <v/>
      </c>
      <c r="N56">
        <f>IFERROR(MATCH(ROW()-4,rOrden_ATR,0),"")</f>
        <v/>
      </c>
      <c r="O56">
        <f>IF($N56="","",INDEX('Cronograma Asistente Técnico'!$V$5:$V$1000,$N56))</f>
        <v/>
      </c>
      <c r="P56">
        <f>IF($N56="","",N(INDEX('Cronograma Asistente Técnico'!$W$5:$W$1000,$N56)))</f>
        <v/>
      </c>
      <c r="Q56">
        <f>IF(OR(LEFT($L56,7)="Vencida",LEFT($L56,5)="Vence"),SUMPRODUCT(--(LEFT($L$5:$L56,7)="Vencida"))+SUMPRODUCT(--(LEFT($L$5:$L56,5)="Vence")),"")</f>
        <v/>
      </c>
    </row>
    <row r="57">
      <c r="A57" s="56">
        <f>IF($N57="","",INDEX('Cronograma Asistente Técnico'!$A$5:$A$1000,$N57))</f>
        <v/>
      </c>
      <c r="B57" s="62">
        <f>IF($N57="","",IF($O57="Sub","      ↳  "&amp;INDEX('Cronograma Asistente Técnico'!$C$5:$C$1000,$N57),INDEX('Cronograma Asistente Técnico'!$C$5:$C$1000,$N57)&amp;""))</f>
        <v/>
      </c>
      <c r="C57" s="79">
        <f>IF($N57="","",IF(INDEX('Cronograma Asistente Técnico'!$AR$5:$AR$1000,$N57)="","",INDEX('Cronograma Asistente Técnico'!$AR$5:$AR$1000,$N57)))</f>
        <v/>
      </c>
      <c r="D57" s="79">
        <f>IF($N57="","",IF(INDEX('Cronograma Asistente Técnico'!$AS$5:$AS$1000,$N57)="","",INDEX('Cronograma Asistente Técnico'!$AS$5:$AS$1000,$N57)))</f>
        <v/>
      </c>
      <c r="E57" s="56">
        <f>IF($N57="","",IF(NOT(ISNUMBER($D57)),"",IF($D57&lt;InicioCiclo,"Antes del ciclo",IF($D57&gt;=InicioCiclo+28,"Después del ciclo","Semana "&amp;(INT(($D57-InicioCiclo)/7)+1)))))</f>
        <v/>
      </c>
      <c r="F57" s="61">
        <f>IF($N57="","",IF($P57&gt;0,IF(1&lt;=SemanaActual,INDEX('Cronograma Asistente Técnico'!$AH$5:$AH$1000,$N57),""),IF(INDEX('Cronograma Asistente Técnico'!$I$5:$I$1000,$N57)="","",INDEX('Cronograma Asistente Técnico'!$I$5:$I$1000,$N57))))</f>
        <v/>
      </c>
      <c r="G57" s="61">
        <f>IF($N57="","",IF($P57&gt;0,IF(2&lt;=SemanaActual,INDEX('Cronograma Asistente Técnico'!$AI$5:$AI$1000,$N57),""),IF(INDEX('Cronograma Asistente Técnico'!$J$5:$J$1000,$N57)="","",INDEX('Cronograma Asistente Técnico'!$J$5:$J$1000,$N57))))</f>
        <v/>
      </c>
      <c r="H57" s="61">
        <f>IF($N57="","",IF($P57&gt;0,IF(3&lt;=SemanaActual,INDEX('Cronograma Asistente Técnico'!$AJ$5:$AJ$1000,$N57),""),IF(INDEX('Cronograma Asistente Técnico'!$K$5:$K$1000,$N57)="","",INDEX('Cronograma Asistente Técnico'!$K$5:$K$1000,$N57))))</f>
        <v/>
      </c>
      <c r="I57" s="61">
        <f>IF($N57="","",IF($P57&gt;0,IF(4&lt;=SemanaActual,INDEX('Cronograma Asistente Técnico'!$AK$5:$AK$1000,$N57),""),IF(INDEX('Cronograma Asistente Técnico'!$L$5:$L$1000,$N57)="","",INDEX('Cronograma Asistente Técnico'!$L$5:$L$1000,$N57))))</f>
        <v/>
      </c>
      <c r="J57" s="61">
        <f>IF($N57="","",INDEX('Cronograma Asistente Técnico'!$M$5:$M$1000,$N57))</f>
        <v/>
      </c>
      <c r="K57" s="56">
        <f>IF($N57="","",IF(N($J57)&gt;=1,"Completado",IF(AND(ISNUMBER($D57),$D57&lt;FechaRef),"Vencida",IF(N($J57)&gt;0,"En curso","Pendiente"))))</f>
        <v/>
      </c>
      <c r="L57" s="56">
        <f>IF($N57="","",INDEX('Cronograma Asistente Técnico'!$O$5:$O$1000,$N57)&amp;"")</f>
        <v/>
      </c>
      <c r="M57" s="62">
        <f>IF($N57="","",INDEX('Cronograma Asistente Técnico'!$Q$5:$Q$1000,$N57)&amp;"")</f>
        <v/>
      </c>
      <c r="N57">
        <f>IFERROR(MATCH(ROW()-4,rOrden_ATR,0),"")</f>
        <v/>
      </c>
      <c r="O57">
        <f>IF($N57="","",INDEX('Cronograma Asistente Técnico'!$V$5:$V$1000,$N57))</f>
        <v/>
      </c>
      <c r="P57">
        <f>IF($N57="","",N(INDEX('Cronograma Asistente Técnico'!$W$5:$W$1000,$N57)))</f>
        <v/>
      </c>
      <c r="Q57">
        <f>IF(OR(LEFT($L57,7)="Vencida",LEFT($L57,5)="Vence"),SUMPRODUCT(--(LEFT($L$5:$L57,7)="Vencida"))+SUMPRODUCT(--(LEFT($L$5:$L57,5)="Vence")),"")</f>
        <v/>
      </c>
    </row>
    <row r="58">
      <c r="A58" s="56">
        <f>IF($N58="","",INDEX('Cronograma Asistente Técnico'!$A$5:$A$1000,$N58))</f>
        <v/>
      </c>
      <c r="B58" s="62">
        <f>IF($N58="","",IF($O58="Sub","      ↳  "&amp;INDEX('Cronograma Asistente Técnico'!$C$5:$C$1000,$N58),INDEX('Cronograma Asistente Técnico'!$C$5:$C$1000,$N58)&amp;""))</f>
        <v/>
      </c>
      <c r="C58" s="79">
        <f>IF($N58="","",IF(INDEX('Cronograma Asistente Técnico'!$AR$5:$AR$1000,$N58)="","",INDEX('Cronograma Asistente Técnico'!$AR$5:$AR$1000,$N58)))</f>
        <v/>
      </c>
      <c r="D58" s="79">
        <f>IF($N58="","",IF(INDEX('Cronograma Asistente Técnico'!$AS$5:$AS$1000,$N58)="","",INDEX('Cronograma Asistente Técnico'!$AS$5:$AS$1000,$N58)))</f>
        <v/>
      </c>
      <c r="E58" s="56">
        <f>IF($N58="","",IF(NOT(ISNUMBER($D58)),"",IF($D58&lt;InicioCiclo,"Antes del ciclo",IF($D58&gt;=InicioCiclo+28,"Después del ciclo","Semana "&amp;(INT(($D58-InicioCiclo)/7)+1)))))</f>
        <v/>
      </c>
      <c r="F58" s="61">
        <f>IF($N58="","",IF($P58&gt;0,IF(1&lt;=SemanaActual,INDEX('Cronograma Asistente Técnico'!$AH$5:$AH$1000,$N58),""),IF(INDEX('Cronograma Asistente Técnico'!$I$5:$I$1000,$N58)="","",INDEX('Cronograma Asistente Técnico'!$I$5:$I$1000,$N58))))</f>
        <v/>
      </c>
      <c r="G58" s="61">
        <f>IF($N58="","",IF($P58&gt;0,IF(2&lt;=SemanaActual,INDEX('Cronograma Asistente Técnico'!$AI$5:$AI$1000,$N58),""),IF(INDEX('Cronograma Asistente Técnico'!$J$5:$J$1000,$N58)="","",INDEX('Cronograma Asistente Técnico'!$J$5:$J$1000,$N58))))</f>
        <v/>
      </c>
      <c r="H58" s="61">
        <f>IF($N58="","",IF($P58&gt;0,IF(3&lt;=SemanaActual,INDEX('Cronograma Asistente Técnico'!$AJ$5:$AJ$1000,$N58),""),IF(INDEX('Cronograma Asistente Técnico'!$K$5:$K$1000,$N58)="","",INDEX('Cronograma Asistente Técnico'!$K$5:$K$1000,$N58))))</f>
        <v/>
      </c>
      <c r="I58" s="61">
        <f>IF($N58="","",IF($P58&gt;0,IF(4&lt;=SemanaActual,INDEX('Cronograma Asistente Técnico'!$AK$5:$AK$1000,$N58),""),IF(INDEX('Cronograma Asistente Técnico'!$L$5:$L$1000,$N58)="","",INDEX('Cronograma Asistente Técnico'!$L$5:$L$1000,$N58))))</f>
        <v/>
      </c>
      <c r="J58" s="61">
        <f>IF($N58="","",INDEX('Cronograma Asistente Técnico'!$M$5:$M$1000,$N58))</f>
        <v/>
      </c>
      <c r="K58" s="56">
        <f>IF($N58="","",IF(N($J58)&gt;=1,"Completado",IF(AND(ISNUMBER($D58),$D58&lt;FechaRef),"Vencida",IF(N($J58)&gt;0,"En curso","Pendiente"))))</f>
        <v/>
      </c>
      <c r="L58" s="56">
        <f>IF($N58="","",INDEX('Cronograma Asistente Técnico'!$O$5:$O$1000,$N58)&amp;"")</f>
        <v/>
      </c>
      <c r="M58" s="62">
        <f>IF($N58="","",INDEX('Cronograma Asistente Técnico'!$Q$5:$Q$1000,$N58)&amp;"")</f>
        <v/>
      </c>
      <c r="N58">
        <f>IFERROR(MATCH(ROW()-4,rOrden_ATR,0),"")</f>
        <v/>
      </c>
      <c r="O58">
        <f>IF($N58="","",INDEX('Cronograma Asistente Técnico'!$V$5:$V$1000,$N58))</f>
        <v/>
      </c>
      <c r="P58">
        <f>IF($N58="","",N(INDEX('Cronograma Asistente Técnico'!$W$5:$W$1000,$N58)))</f>
        <v/>
      </c>
      <c r="Q58">
        <f>IF(OR(LEFT($L58,7)="Vencida",LEFT($L58,5)="Vence"),SUMPRODUCT(--(LEFT($L$5:$L58,7)="Vencida"))+SUMPRODUCT(--(LEFT($L$5:$L58,5)="Vence")),"")</f>
        <v/>
      </c>
    </row>
    <row r="59">
      <c r="A59" s="56">
        <f>IF($N59="","",INDEX('Cronograma Asistente Técnico'!$A$5:$A$1000,$N59))</f>
        <v/>
      </c>
      <c r="B59" s="62">
        <f>IF($N59="","",IF($O59="Sub","      ↳  "&amp;INDEX('Cronograma Asistente Técnico'!$C$5:$C$1000,$N59),INDEX('Cronograma Asistente Técnico'!$C$5:$C$1000,$N59)&amp;""))</f>
        <v/>
      </c>
      <c r="C59" s="79">
        <f>IF($N59="","",IF(INDEX('Cronograma Asistente Técnico'!$AR$5:$AR$1000,$N59)="","",INDEX('Cronograma Asistente Técnico'!$AR$5:$AR$1000,$N59)))</f>
        <v/>
      </c>
      <c r="D59" s="79">
        <f>IF($N59="","",IF(INDEX('Cronograma Asistente Técnico'!$AS$5:$AS$1000,$N59)="","",INDEX('Cronograma Asistente Técnico'!$AS$5:$AS$1000,$N59)))</f>
        <v/>
      </c>
      <c r="E59" s="56">
        <f>IF($N59="","",IF(NOT(ISNUMBER($D59)),"",IF($D59&lt;InicioCiclo,"Antes del ciclo",IF($D59&gt;=InicioCiclo+28,"Después del ciclo","Semana "&amp;(INT(($D59-InicioCiclo)/7)+1)))))</f>
        <v/>
      </c>
      <c r="F59" s="61">
        <f>IF($N59="","",IF($P59&gt;0,IF(1&lt;=SemanaActual,INDEX('Cronograma Asistente Técnico'!$AH$5:$AH$1000,$N59),""),IF(INDEX('Cronograma Asistente Técnico'!$I$5:$I$1000,$N59)="","",INDEX('Cronograma Asistente Técnico'!$I$5:$I$1000,$N59))))</f>
        <v/>
      </c>
      <c r="G59" s="61">
        <f>IF($N59="","",IF($P59&gt;0,IF(2&lt;=SemanaActual,INDEX('Cronograma Asistente Técnico'!$AI$5:$AI$1000,$N59),""),IF(INDEX('Cronograma Asistente Técnico'!$J$5:$J$1000,$N59)="","",INDEX('Cronograma Asistente Técnico'!$J$5:$J$1000,$N59))))</f>
        <v/>
      </c>
      <c r="H59" s="61">
        <f>IF($N59="","",IF($P59&gt;0,IF(3&lt;=SemanaActual,INDEX('Cronograma Asistente Técnico'!$AJ$5:$AJ$1000,$N59),""),IF(INDEX('Cronograma Asistente Técnico'!$K$5:$K$1000,$N59)="","",INDEX('Cronograma Asistente Técnico'!$K$5:$K$1000,$N59))))</f>
        <v/>
      </c>
      <c r="I59" s="61">
        <f>IF($N59="","",IF($P59&gt;0,IF(4&lt;=SemanaActual,INDEX('Cronograma Asistente Técnico'!$AK$5:$AK$1000,$N59),""),IF(INDEX('Cronograma Asistente Técnico'!$L$5:$L$1000,$N59)="","",INDEX('Cronograma Asistente Técnico'!$L$5:$L$1000,$N59))))</f>
        <v/>
      </c>
      <c r="J59" s="61">
        <f>IF($N59="","",INDEX('Cronograma Asistente Técnico'!$M$5:$M$1000,$N59))</f>
        <v/>
      </c>
      <c r="K59" s="56">
        <f>IF($N59="","",IF(N($J59)&gt;=1,"Completado",IF(AND(ISNUMBER($D59),$D59&lt;FechaRef),"Vencida",IF(N($J59)&gt;0,"En curso","Pendiente"))))</f>
        <v/>
      </c>
      <c r="L59" s="56">
        <f>IF($N59="","",INDEX('Cronograma Asistente Técnico'!$O$5:$O$1000,$N59)&amp;"")</f>
        <v/>
      </c>
      <c r="M59" s="62">
        <f>IF($N59="","",INDEX('Cronograma Asistente Técnico'!$Q$5:$Q$1000,$N59)&amp;"")</f>
        <v/>
      </c>
      <c r="N59">
        <f>IFERROR(MATCH(ROW()-4,rOrden_ATR,0),"")</f>
        <v/>
      </c>
      <c r="O59">
        <f>IF($N59="","",INDEX('Cronograma Asistente Técnico'!$V$5:$V$1000,$N59))</f>
        <v/>
      </c>
      <c r="P59">
        <f>IF($N59="","",N(INDEX('Cronograma Asistente Técnico'!$W$5:$W$1000,$N59)))</f>
        <v/>
      </c>
      <c r="Q59">
        <f>IF(OR(LEFT($L59,7)="Vencida",LEFT($L59,5)="Vence"),SUMPRODUCT(--(LEFT($L$5:$L59,7)="Vencida"))+SUMPRODUCT(--(LEFT($L$5:$L59,5)="Vence")),"")</f>
        <v/>
      </c>
    </row>
    <row r="60">
      <c r="A60" s="56">
        <f>IF($N60="","",INDEX('Cronograma Asistente Técnico'!$A$5:$A$1000,$N60))</f>
        <v/>
      </c>
      <c r="B60" s="62">
        <f>IF($N60="","",IF($O60="Sub","      ↳  "&amp;INDEX('Cronograma Asistente Técnico'!$C$5:$C$1000,$N60),INDEX('Cronograma Asistente Técnico'!$C$5:$C$1000,$N60)&amp;""))</f>
        <v/>
      </c>
      <c r="C60" s="79">
        <f>IF($N60="","",IF(INDEX('Cronograma Asistente Técnico'!$AR$5:$AR$1000,$N60)="","",INDEX('Cronograma Asistente Técnico'!$AR$5:$AR$1000,$N60)))</f>
        <v/>
      </c>
      <c r="D60" s="79">
        <f>IF($N60="","",IF(INDEX('Cronograma Asistente Técnico'!$AS$5:$AS$1000,$N60)="","",INDEX('Cronograma Asistente Técnico'!$AS$5:$AS$1000,$N60)))</f>
        <v/>
      </c>
      <c r="E60" s="56">
        <f>IF($N60="","",IF(NOT(ISNUMBER($D60)),"",IF($D60&lt;InicioCiclo,"Antes del ciclo",IF($D60&gt;=InicioCiclo+28,"Después del ciclo","Semana "&amp;(INT(($D60-InicioCiclo)/7)+1)))))</f>
        <v/>
      </c>
      <c r="F60" s="61">
        <f>IF($N60="","",IF($P60&gt;0,IF(1&lt;=SemanaActual,INDEX('Cronograma Asistente Técnico'!$AH$5:$AH$1000,$N60),""),IF(INDEX('Cronograma Asistente Técnico'!$I$5:$I$1000,$N60)="","",INDEX('Cronograma Asistente Técnico'!$I$5:$I$1000,$N60))))</f>
        <v/>
      </c>
      <c r="G60" s="61">
        <f>IF($N60="","",IF($P60&gt;0,IF(2&lt;=SemanaActual,INDEX('Cronograma Asistente Técnico'!$AI$5:$AI$1000,$N60),""),IF(INDEX('Cronograma Asistente Técnico'!$J$5:$J$1000,$N60)="","",INDEX('Cronograma Asistente Técnico'!$J$5:$J$1000,$N60))))</f>
        <v/>
      </c>
      <c r="H60" s="61">
        <f>IF($N60="","",IF($P60&gt;0,IF(3&lt;=SemanaActual,INDEX('Cronograma Asistente Técnico'!$AJ$5:$AJ$1000,$N60),""),IF(INDEX('Cronograma Asistente Técnico'!$K$5:$K$1000,$N60)="","",INDEX('Cronograma Asistente Técnico'!$K$5:$K$1000,$N60))))</f>
        <v/>
      </c>
      <c r="I60" s="61">
        <f>IF($N60="","",IF($P60&gt;0,IF(4&lt;=SemanaActual,INDEX('Cronograma Asistente Técnico'!$AK$5:$AK$1000,$N60),""),IF(INDEX('Cronograma Asistente Técnico'!$L$5:$L$1000,$N60)="","",INDEX('Cronograma Asistente Técnico'!$L$5:$L$1000,$N60))))</f>
        <v/>
      </c>
      <c r="J60" s="61">
        <f>IF($N60="","",INDEX('Cronograma Asistente Técnico'!$M$5:$M$1000,$N60))</f>
        <v/>
      </c>
      <c r="K60" s="56">
        <f>IF($N60="","",IF(N($J60)&gt;=1,"Completado",IF(AND(ISNUMBER($D60),$D60&lt;FechaRef),"Vencida",IF(N($J60)&gt;0,"En curso","Pendiente"))))</f>
        <v/>
      </c>
      <c r="L60" s="56">
        <f>IF($N60="","",INDEX('Cronograma Asistente Técnico'!$O$5:$O$1000,$N60)&amp;"")</f>
        <v/>
      </c>
      <c r="M60" s="62">
        <f>IF($N60="","",INDEX('Cronograma Asistente Técnico'!$Q$5:$Q$1000,$N60)&amp;"")</f>
        <v/>
      </c>
      <c r="N60">
        <f>IFERROR(MATCH(ROW()-4,rOrden_ATR,0),"")</f>
        <v/>
      </c>
      <c r="O60">
        <f>IF($N60="","",INDEX('Cronograma Asistente Técnico'!$V$5:$V$1000,$N60))</f>
        <v/>
      </c>
      <c r="P60">
        <f>IF($N60="","",N(INDEX('Cronograma Asistente Técnico'!$W$5:$W$1000,$N60)))</f>
        <v/>
      </c>
      <c r="Q60">
        <f>IF(OR(LEFT($L60,7)="Vencida",LEFT($L60,5)="Vence"),SUMPRODUCT(--(LEFT($L$5:$L60,7)="Vencida"))+SUMPRODUCT(--(LEFT($L$5:$L60,5)="Vence")),"")</f>
        <v/>
      </c>
    </row>
    <row r="61">
      <c r="A61" s="56">
        <f>IF($N61="","",INDEX('Cronograma Asistente Técnico'!$A$5:$A$1000,$N61))</f>
        <v/>
      </c>
      <c r="B61" s="62">
        <f>IF($N61="","",IF($O61="Sub","      ↳  "&amp;INDEX('Cronograma Asistente Técnico'!$C$5:$C$1000,$N61),INDEX('Cronograma Asistente Técnico'!$C$5:$C$1000,$N61)&amp;""))</f>
        <v/>
      </c>
      <c r="C61" s="79">
        <f>IF($N61="","",IF(INDEX('Cronograma Asistente Técnico'!$AR$5:$AR$1000,$N61)="","",INDEX('Cronograma Asistente Técnico'!$AR$5:$AR$1000,$N61)))</f>
        <v/>
      </c>
      <c r="D61" s="79">
        <f>IF($N61="","",IF(INDEX('Cronograma Asistente Técnico'!$AS$5:$AS$1000,$N61)="","",INDEX('Cronograma Asistente Técnico'!$AS$5:$AS$1000,$N61)))</f>
        <v/>
      </c>
      <c r="E61" s="56">
        <f>IF($N61="","",IF(NOT(ISNUMBER($D61)),"",IF($D61&lt;InicioCiclo,"Antes del ciclo",IF($D61&gt;=InicioCiclo+28,"Después del ciclo","Semana "&amp;(INT(($D61-InicioCiclo)/7)+1)))))</f>
        <v/>
      </c>
      <c r="F61" s="61">
        <f>IF($N61="","",IF($P61&gt;0,IF(1&lt;=SemanaActual,INDEX('Cronograma Asistente Técnico'!$AH$5:$AH$1000,$N61),""),IF(INDEX('Cronograma Asistente Técnico'!$I$5:$I$1000,$N61)="","",INDEX('Cronograma Asistente Técnico'!$I$5:$I$1000,$N61))))</f>
        <v/>
      </c>
      <c r="G61" s="61">
        <f>IF($N61="","",IF($P61&gt;0,IF(2&lt;=SemanaActual,INDEX('Cronograma Asistente Técnico'!$AI$5:$AI$1000,$N61),""),IF(INDEX('Cronograma Asistente Técnico'!$J$5:$J$1000,$N61)="","",INDEX('Cronograma Asistente Técnico'!$J$5:$J$1000,$N61))))</f>
        <v/>
      </c>
      <c r="H61" s="61">
        <f>IF($N61="","",IF($P61&gt;0,IF(3&lt;=SemanaActual,INDEX('Cronograma Asistente Técnico'!$AJ$5:$AJ$1000,$N61),""),IF(INDEX('Cronograma Asistente Técnico'!$K$5:$K$1000,$N61)="","",INDEX('Cronograma Asistente Técnico'!$K$5:$K$1000,$N61))))</f>
        <v/>
      </c>
      <c r="I61" s="61">
        <f>IF($N61="","",IF($P61&gt;0,IF(4&lt;=SemanaActual,INDEX('Cronograma Asistente Técnico'!$AK$5:$AK$1000,$N61),""),IF(INDEX('Cronograma Asistente Técnico'!$L$5:$L$1000,$N61)="","",INDEX('Cronograma Asistente Técnico'!$L$5:$L$1000,$N61))))</f>
        <v/>
      </c>
      <c r="J61" s="61">
        <f>IF($N61="","",INDEX('Cronograma Asistente Técnico'!$M$5:$M$1000,$N61))</f>
        <v/>
      </c>
      <c r="K61" s="56">
        <f>IF($N61="","",IF(N($J61)&gt;=1,"Completado",IF(AND(ISNUMBER($D61),$D61&lt;FechaRef),"Vencida",IF(N($J61)&gt;0,"En curso","Pendiente"))))</f>
        <v/>
      </c>
      <c r="L61" s="56">
        <f>IF($N61="","",INDEX('Cronograma Asistente Técnico'!$O$5:$O$1000,$N61)&amp;"")</f>
        <v/>
      </c>
      <c r="M61" s="62">
        <f>IF($N61="","",INDEX('Cronograma Asistente Técnico'!$Q$5:$Q$1000,$N61)&amp;"")</f>
        <v/>
      </c>
      <c r="N61">
        <f>IFERROR(MATCH(ROW()-4,rOrden_ATR,0),"")</f>
        <v/>
      </c>
      <c r="O61">
        <f>IF($N61="","",INDEX('Cronograma Asistente Técnico'!$V$5:$V$1000,$N61))</f>
        <v/>
      </c>
      <c r="P61">
        <f>IF($N61="","",N(INDEX('Cronograma Asistente Técnico'!$W$5:$W$1000,$N61)))</f>
        <v/>
      </c>
      <c r="Q61">
        <f>IF(OR(LEFT($L61,7)="Vencida",LEFT($L61,5)="Vence"),SUMPRODUCT(--(LEFT($L$5:$L61,7)="Vencida"))+SUMPRODUCT(--(LEFT($L$5:$L61,5)="Vence")),"")</f>
        <v/>
      </c>
    </row>
    <row r="62">
      <c r="A62" s="56">
        <f>IF($N62="","",INDEX('Cronograma Asistente Técnico'!$A$5:$A$1000,$N62))</f>
        <v/>
      </c>
      <c r="B62" s="62">
        <f>IF($N62="","",IF($O62="Sub","      ↳  "&amp;INDEX('Cronograma Asistente Técnico'!$C$5:$C$1000,$N62),INDEX('Cronograma Asistente Técnico'!$C$5:$C$1000,$N62)&amp;""))</f>
        <v/>
      </c>
      <c r="C62" s="79">
        <f>IF($N62="","",IF(INDEX('Cronograma Asistente Técnico'!$AR$5:$AR$1000,$N62)="","",INDEX('Cronograma Asistente Técnico'!$AR$5:$AR$1000,$N62)))</f>
        <v/>
      </c>
      <c r="D62" s="79">
        <f>IF($N62="","",IF(INDEX('Cronograma Asistente Técnico'!$AS$5:$AS$1000,$N62)="","",INDEX('Cronograma Asistente Técnico'!$AS$5:$AS$1000,$N62)))</f>
        <v/>
      </c>
      <c r="E62" s="56">
        <f>IF($N62="","",IF(NOT(ISNUMBER($D62)),"",IF($D62&lt;InicioCiclo,"Antes del ciclo",IF($D62&gt;=InicioCiclo+28,"Después del ciclo","Semana "&amp;(INT(($D62-InicioCiclo)/7)+1)))))</f>
        <v/>
      </c>
      <c r="F62" s="61">
        <f>IF($N62="","",IF($P62&gt;0,IF(1&lt;=SemanaActual,INDEX('Cronograma Asistente Técnico'!$AH$5:$AH$1000,$N62),""),IF(INDEX('Cronograma Asistente Técnico'!$I$5:$I$1000,$N62)="","",INDEX('Cronograma Asistente Técnico'!$I$5:$I$1000,$N62))))</f>
        <v/>
      </c>
      <c r="G62" s="61">
        <f>IF($N62="","",IF($P62&gt;0,IF(2&lt;=SemanaActual,INDEX('Cronograma Asistente Técnico'!$AI$5:$AI$1000,$N62),""),IF(INDEX('Cronograma Asistente Técnico'!$J$5:$J$1000,$N62)="","",INDEX('Cronograma Asistente Técnico'!$J$5:$J$1000,$N62))))</f>
        <v/>
      </c>
      <c r="H62" s="61">
        <f>IF($N62="","",IF($P62&gt;0,IF(3&lt;=SemanaActual,INDEX('Cronograma Asistente Técnico'!$AJ$5:$AJ$1000,$N62),""),IF(INDEX('Cronograma Asistente Técnico'!$K$5:$K$1000,$N62)="","",INDEX('Cronograma Asistente Técnico'!$K$5:$K$1000,$N62))))</f>
        <v/>
      </c>
      <c r="I62" s="61">
        <f>IF($N62="","",IF($P62&gt;0,IF(4&lt;=SemanaActual,INDEX('Cronograma Asistente Técnico'!$AK$5:$AK$1000,$N62),""),IF(INDEX('Cronograma Asistente Técnico'!$L$5:$L$1000,$N62)="","",INDEX('Cronograma Asistente Técnico'!$L$5:$L$1000,$N62))))</f>
        <v/>
      </c>
      <c r="J62" s="61">
        <f>IF($N62="","",INDEX('Cronograma Asistente Técnico'!$M$5:$M$1000,$N62))</f>
        <v/>
      </c>
      <c r="K62" s="56">
        <f>IF($N62="","",IF(N($J62)&gt;=1,"Completado",IF(AND(ISNUMBER($D62),$D62&lt;FechaRef),"Vencida",IF(N($J62)&gt;0,"En curso","Pendiente"))))</f>
        <v/>
      </c>
      <c r="L62" s="56">
        <f>IF($N62="","",INDEX('Cronograma Asistente Técnico'!$O$5:$O$1000,$N62)&amp;"")</f>
        <v/>
      </c>
      <c r="M62" s="62">
        <f>IF($N62="","",INDEX('Cronograma Asistente Técnico'!$Q$5:$Q$1000,$N62)&amp;"")</f>
        <v/>
      </c>
      <c r="N62">
        <f>IFERROR(MATCH(ROW()-4,rOrden_ATR,0),"")</f>
        <v/>
      </c>
      <c r="O62">
        <f>IF($N62="","",INDEX('Cronograma Asistente Técnico'!$V$5:$V$1000,$N62))</f>
        <v/>
      </c>
      <c r="P62">
        <f>IF($N62="","",N(INDEX('Cronograma Asistente Técnico'!$W$5:$W$1000,$N62)))</f>
        <v/>
      </c>
      <c r="Q62">
        <f>IF(OR(LEFT($L62,7)="Vencida",LEFT($L62,5)="Vence"),SUMPRODUCT(--(LEFT($L$5:$L62,7)="Vencida"))+SUMPRODUCT(--(LEFT($L$5:$L62,5)="Vence")),"")</f>
        <v/>
      </c>
    </row>
    <row r="63">
      <c r="A63" s="56">
        <f>IF($N63="","",INDEX('Cronograma Asistente Técnico'!$A$5:$A$1000,$N63))</f>
        <v/>
      </c>
      <c r="B63" s="62">
        <f>IF($N63="","",IF($O63="Sub","      ↳  "&amp;INDEX('Cronograma Asistente Técnico'!$C$5:$C$1000,$N63),INDEX('Cronograma Asistente Técnico'!$C$5:$C$1000,$N63)&amp;""))</f>
        <v/>
      </c>
      <c r="C63" s="79">
        <f>IF($N63="","",IF(INDEX('Cronograma Asistente Técnico'!$AR$5:$AR$1000,$N63)="","",INDEX('Cronograma Asistente Técnico'!$AR$5:$AR$1000,$N63)))</f>
        <v/>
      </c>
      <c r="D63" s="79">
        <f>IF($N63="","",IF(INDEX('Cronograma Asistente Técnico'!$AS$5:$AS$1000,$N63)="","",INDEX('Cronograma Asistente Técnico'!$AS$5:$AS$1000,$N63)))</f>
        <v/>
      </c>
      <c r="E63" s="56">
        <f>IF($N63="","",IF(NOT(ISNUMBER($D63)),"",IF($D63&lt;InicioCiclo,"Antes del ciclo",IF($D63&gt;=InicioCiclo+28,"Después del ciclo","Semana "&amp;(INT(($D63-InicioCiclo)/7)+1)))))</f>
        <v/>
      </c>
      <c r="F63" s="61">
        <f>IF($N63="","",IF($P63&gt;0,IF(1&lt;=SemanaActual,INDEX('Cronograma Asistente Técnico'!$AH$5:$AH$1000,$N63),""),IF(INDEX('Cronograma Asistente Técnico'!$I$5:$I$1000,$N63)="","",INDEX('Cronograma Asistente Técnico'!$I$5:$I$1000,$N63))))</f>
        <v/>
      </c>
      <c r="G63" s="61">
        <f>IF($N63="","",IF($P63&gt;0,IF(2&lt;=SemanaActual,INDEX('Cronograma Asistente Técnico'!$AI$5:$AI$1000,$N63),""),IF(INDEX('Cronograma Asistente Técnico'!$J$5:$J$1000,$N63)="","",INDEX('Cronograma Asistente Técnico'!$J$5:$J$1000,$N63))))</f>
        <v/>
      </c>
      <c r="H63" s="61">
        <f>IF($N63="","",IF($P63&gt;0,IF(3&lt;=SemanaActual,INDEX('Cronograma Asistente Técnico'!$AJ$5:$AJ$1000,$N63),""),IF(INDEX('Cronograma Asistente Técnico'!$K$5:$K$1000,$N63)="","",INDEX('Cronograma Asistente Técnico'!$K$5:$K$1000,$N63))))</f>
        <v/>
      </c>
      <c r="I63" s="61">
        <f>IF($N63="","",IF($P63&gt;0,IF(4&lt;=SemanaActual,INDEX('Cronograma Asistente Técnico'!$AK$5:$AK$1000,$N63),""),IF(INDEX('Cronograma Asistente Técnico'!$L$5:$L$1000,$N63)="","",INDEX('Cronograma Asistente Técnico'!$L$5:$L$1000,$N63))))</f>
        <v/>
      </c>
      <c r="J63" s="61">
        <f>IF($N63="","",INDEX('Cronograma Asistente Técnico'!$M$5:$M$1000,$N63))</f>
        <v/>
      </c>
      <c r="K63" s="56">
        <f>IF($N63="","",IF(N($J63)&gt;=1,"Completado",IF(AND(ISNUMBER($D63),$D63&lt;FechaRef),"Vencida",IF(N($J63)&gt;0,"En curso","Pendiente"))))</f>
        <v/>
      </c>
      <c r="L63" s="56">
        <f>IF($N63="","",INDEX('Cronograma Asistente Técnico'!$O$5:$O$1000,$N63)&amp;"")</f>
        <v/>
      </c>
      <c r="M63" s="62">
        <f>IF($N63="","",INDEX('Cronograma Asistente Técnico'!$Q$5:$Q$1000,$N63)&amp;"")</f>
        <v/>
      </c>
      <c r="N63">
        <f>IFERROR(MATCH(ROW()-4,rOrden_ATR,0),"")</f>
        <v/>
      </c>
      <c r="O63">
        <f>IF($N63="","",INDEX('Cronograma Asistente Técnico'!$V$5:$V$1000,$N63))</f>
        <v/>
      </c>
      <c r="P63">
        <f>IF($N63="","",N(INDEX('Cronograma Asistente Técnico'!$W$5:$W$1000,$N63)))</f>
        <v/>
      </c>
      <c r="Q63">
        <f>IF(OR(LEFT($L63,7)="Vencida",LEFT($L63,5)="Vence"),SUMPRODUCT(--(LEFT($L$5:$L63,7)="Vencida"))+SUMPRODUCT(--(LEFT($L$5:$L63,5)="Vence")),"")</f>
        <v/>
      </c>
    </row>
    <row r="64">
      <c r="A64" s="56">
        <f>IF($N64="","",INDEX('Cronograma Asistente Técnico'!$A$5:$A$1000,$N64))</f>
        <v/>
      </c>
      <c r="B64" s="62">
        <f>IF($N64="","",IF($O64="Sub","      ↳  "&amp;INDEX('Cronograma Asistente Técnico'!$C$5:$C$1000,$N64),INDEX('Cronograma Asistente Técnico'!$C$5:$C$1000,$N64)&amp;""))</f>
        <v/>
      </c>
      <c r="C64" s="79">
        <f>IF($N64="","",IF(INDEX('Cronograma Asistente Técnico'!$AR$5:$AR$1000,$N64)="","",INDEX('Cronograma Asistente Técnico'!$AR$5:$AR$1000,$N64)))</f>
        <v/>
      </c>
      <c r="D64" s="79">
        <f>IF($N64="","",IF(INDEX('Cronograma Asistente Técnico'!$AS$5:$AS$1000,$N64)="","",INDEX('Cronograma Asistente Técnico'!$AS$5:$AS$1000,$N64)))</f>
        <v/>
      </c>
      <c r="E64" s="56">
        <f>IF($N64="","",IF(NOT(ISNUMBER($D64)),"",IF($D64&lt;InicioCiclo,"Antes del ciclo",IF($D64&gt;=InicioCiclo+28,"Después del ciclo","Semana "&amp;(INT(($D64-InicioCiclo)/7)+1)))))</f>
        <v/>
      </c>
      <c r="F64" s="61">
        <f>IF($N64="","",IF($P64&gt;0,IF(1&lt;=SemanaActual,INDEX('Cronograma Asistente Técnico'!$AH$5:$AH$1000,$N64),""),IF(INDEX('Cronograma Asistente Técnico'!$I$5:$I$1000,$N64)="","",INDEX('Cronograma Asistente Técnico'!$I$5:$I$1000,$N64))))</f>
        <v/>
      </c>
      <c r="G64" s="61">
        <f>IF($N64="","",IF($P64&gt;0,IF(2&lt;=SemanaActual,INDEX('Cronograma Asistente Técnico'!$AI$5:$AI$1000,$N64),""),IF(INDEX('Cronograma Asistente Técnico'!$J$5:$J$1000,$N64)="","",INDEX('Cronograma Asistente Técnico'!$J$5:$J$1000,$N64))))</f>
        <v/>
      </c>
      <c r="H64" s="61">
        <f>IF($N64="","",IF($P64&gt;0,IF(3&lt;=SemanaActual,INDEX('Cronograma Asistente Técnico'!$AJ$5:$AJ$1000,$N64),""),IF(INDEX('Cronograma Asistente Técnico'!$K$5:$K$1000,$N64)="","",INDEX('Cronograma Asistente Técnico'!$K$5:$K$1000,$N64))))</f>
        <v/>
      </c>
      <c r="I64" s="61">
        <f>IF($N64="","",IF($P64&gt;0,IF(4&lt;=SemanaActual,INDEX('Cronograma Asistente Técnico'!$AK$5:$AK$1000,$N64),""),IF(INDEX('Cronograma Asistente Técnico'!$L$5:$L$1000,$N64)="","",INDEX('Cronograma Asistente Técnico'!$L$5:$L$1000,$N64))))</f>
        <v/>
      </c>
      <c r="J64" s="61">
        <f>IF($N64="","",INDEX('Cronograma Asistente Técnico'!$M$5:$M$1000,$N64))</f>
        <v/>
      </c>
      <c r="K64" s="56">
        <f>IF($N64="","",IF(N($J64)&gt;=1,"Completado",IF(AND(ISNUMBER($D64),$D64&lt;FechaRef),"Vencida",IF(N($J64)&gt;0,"En curso","Pendiente"))))</f>
        <v/>
      </c>
      <c r="L64" s="56">
        <f>IF($N64="","",INDEX('Cronograma Asistente Técnico'!$O$5:$O$1000,$N64)&amp;"")</f>
        <v/>
      </c>
      <c r="M64" s="62">
        <f>IF($N64="","",INDEX('Cronograma Asistente Técnico'!$Q$5:$Q$1000,$N64)&amp;"")</f>
        <v/>
      </c>
      <c r="N64">
        <f>IFERROR(MATCH(ROW()-4,rOrden_ATR,0),"")</f>
        <v/>
      </c>
      <c r="O64">
        <f>IF($N64="","",INDEX('Cronograma Asistente Técnico'!$V$5:$V$1000,$N64))</f>
        <v/>
      </c>
      <c r="P64">
        <f>IF($N64="","",N(INDEX('Cronograma Asistente Técnico'!$W$5:$W$1000,$N64)))</f>
        <v/>
      </c>
      <c r="Q64">
        <f>IF(OR(LEFT($L64,7)="Vencida",LEFT($L64,5)="Vence"),SUMPRODUCT(--(LEFT($L$5:$L64,7)="Vencida"))+SUMPRODUCT(--(LEFT($L$5:$L64,5)="Vence")),"")</f>
        <v/>
      </c>
    </row>
    <row r="65">
      <c r="A65" s="56">
        <f>IF($N65="","",INDEX('Cronograma Asistente Técnico'!$A$5:$A$1000,$N65))</f>
        <v/>
      </c>
      <c r="B65" s="62">
        <f>IF($N65="","",IF($O65="Sub","      ↳  "&amp;INDEX('Cronograma Asistente Técnico'!$C$5:$C$1000,$N65),INDEX('Cronograma Asistente Técnico'!$C$5:$C$1000,$N65)&amp;""))</f>
        <v/>
      </c>
      <c r="C65" s="79">
        <f>IF($N65="","",IF(INDEX('Cronograma Asistente Técnico'!$AR$5:$AR$1000,$N65)="","",INDEX('Cronograma Asistente Técnico'!$AR$5:$AR$1000,$N65)))</f>
        <v/>
      </c>
      <c r="D65" s="79">
        <f>IF($N65="","",IF(INDEX('Cronograma Asistente Técnico'!$AS$5:$AS$1000,$N65)="","",INDEX('Cronograma Asistente Técnico'!$AS$5:$AS$1000,$N65)))</f>
        <v/>
      </c>
      <c r="E65" s="56">
        <f>IF($N65="","",IF(NOT(ISNUMBER($D65)),"",IF($D65&lt;InicioCiclo,"Antes del ciclo",IF($D65&gt;=InicioCiclo+28,"Después del ciclo","Semana "&amp;(INT(($D65-InicioCiclo)/7)+1)))))</f>
        <v/>
      </c>
      <c r="F65" s="61">
        <f>IF($N65="","",IF($P65&gt;0,IF(1&lt;=SemanaActual,INDEX('Cronograma Asistente Técnico'!$AH$5:$AH$1000,$N65),""),IF(INDEX('Cronograma Asistente Técnico'!$I$5:$I$1000,$N65)="","",INDEX('Cronograma Asistente Técnico'!$I$5:$I$1000,$N65))))</f>
        <v/>
      </c>
      <c r="G65" s="61">
        <f>IF($N65="","",IF($P65&gt;0,IF(2&lt;=SemanaActual,INDEX('Cronograma Asistente Técnico'!$AI$5:$AI$1000,$N65),""),IF(INDEX('Cronograma Asistente Técnico'!$J$5:$J$1000,$N65)="","",INDEX('Cronograma Asistente Técnico'!$J$5:$J$1000,$N65))))</f>
        <v/>
      </c>
      <c r="H65" s="61">
        <f>IF($N65="","",IF($P65&gt;0,IF(3&lt;=SemanaActual,INDEX('Cronograma Asistente Técnico'!$AJ$5:$AJ$1000,$N65),""),IF(INDEX('Cronograma Asistente Técnico'!$K$5:$K$1000,$N65)="","",INDEX('Cronograma Asistente Técnico'!$K$5:$K$1000,$N65))))</f>
        <v/>
      </c>
      <c r="I65" s="61">
        <f>IF($N65="","",IF($P65&gt;0,IF(4&lt;=SemanaActual,INDEX('Cronograma Asistente Técnico'!$AK$5:$AK$1000,$N65),""),IF(INDEX('Cronograma Asistente Técnico'!$L$5:$L$1000,$N65)="","",INDEX('Cronograma Asistente Técnico'!$L$5:$L$1000,$N65))))</f>
        <v/>
      </c>
      <c r="J65" s="61">
        <f>IF($N65="","",INDEX('Cronograma Asistente Técnico'!$M$5:$M$1000,$N65))</f>
        <v/>
      </c>
      <c r="K65" s="56">
        <f>IF($N65="","",IF(N($J65)&gt;=1,"Completado",IF(AND(ISNUMBER($D65),$D65&lt;FechaRef),"Vencida",IF(N($J65)&gt;0,"En curso","Pendiente"))))</f>
        <v/>
      </c>
      <c r="L65" s="56">
        <f>IF($N65="","",INDEX('Cronograma Asistente Técnico'!$O$5:$O$1000,$N65)&amp;"")</f>
        <v/>
      </c>
      <c r="M65" s="62">
        <f>IF($N65="","",INDEX('Cronograma Asistente Técnico'!$Q$5:$Q$1000,$N65)&amp;"")</f>
        <v/>
      </c>
      <c r="N65">
        <f>IFERROR(MATCH(ROW()-4,rOrden_ATR,0),"")</f>
        <v/>
      </c>
      <c r="O65">
        <f>IF($N65="","",INDEX('Cronograma Asistente Técnico'!$V$5:$V$1000,$N65))</f>
        <v/>
      </c>
      <c r="P65">
        <f>IF($N65="","",N(INDEX('Cronograma Asistente Técnico'!$W$5:$W$1000,$N65)))</f>
        <v/>
      </c>
      <c r="Q65">
        <f>IF(OR(LEFT($L65,7)="Vencida",LEFT($L65,5)="Vence"),SUMPRODUCT(--(LEFT($L$5:$L65,7)="Vencida"))+SUMPRODUCT(--(LEFT($L$5:$L65,5)="Vence")),"")</f>
        <v/>
      </c>
    </row>
    <row r="66">
      <c r="A66" s="56">
        <f>IF($N66="","",INDEX('Cronograma Asistente Técnico'!$A$5:$A$1000,$N66))</f>
        <v/>
      </c>
      <c r="B66" s="62">
        <f>IF($N66="","",IF($O66="Sub","      ↳  "&amp;INDEX('Cronograma Asistente Técnico'!$C$5:$C$1000,$N66),INDEX('Cronograma Asistente Técnico'!$C$5:$C$1000,$N66)&amp;""))</f>
        <v/>
      </c>
      <c r="C66" s="79">
        <f>IF($N66="","",IF(INDEX('Cronograma Asistente Técnico'!$AR$5:$AR$1000,$N66)="","",INDEX('Cronograma Asistente Técnico'!$AR$5:$AR$1000,$N66)))</f>
        <v/>
      </c>
      <c r="D66" s="79">
        <f>IF($N66="","",IF(INDEX('Cronograma Asistente Técnico'!$AS$5:$AS$1000,$N66)="","",INDEX('Cronograma Asistente Técnico'!$AS$5:$AS$1000,$N66)))</f>
        <v/>
      </c>
      <c r="E66" s="56">
        <f>IF($N66="","",IF(NOT(ISNUMBER($D66)),"",IF($D66&lt;InicioCiclo,"Antes del ciclo",IF($D66&gt;=InicioCiclo+28,"Después del ciclo","Semana "&amp;(INT(($D66-InicioCiclo)/7)+1)))))</f>
        <v/>
      </c>
      <c r="F66" s="61">
        <f>IF($N66="","",IF($P66&gt;0,IF(1&lt;=SemanaActual,INDEX('Cronograma Asistente Técnico'!$AH$5:$AH$1000,$N66),""),IF(INDEX('Cronograma Asistente Técnico'!$I$5:$I$1000,$N66)="","",INDEX('Cronograma Asistente Técnico'!$I$5:$I$1000,$N66))))</f>
        <v/>
      </c>
      <c r="G66" s="61">
        <f>IF($N66="","",IF($P66&gt;0,IF(2&lt;=SemanaActual,INDEX('Cronograma Asistente Técnico'!$AI$5:$AI$1000,$N66),""),IF(INDEX('Cronograma Asistente Técnico'!$J$5:$J$1000,$N66)="","",INDEX('Cronograma Asistente Técnico'!$J$5:$J$1000,$N66))))</f>
        <v/>
      </c>
      <c r="H66" s="61">
        <f>IF($N66="","",IF($P66&gt;0,IF(3&lt;=SemanaActual,INDEX('Cronograma Asistente Técnico'!$AJ$5:$AJ$1000,$N66),""),IF(INDEX('Cronograma Asistente Técnico'!$K$5:$K$1000,$N66)="","",INDEX('Cronograma Asistente Técnico'!$K$5:$K$1000,$N66))))</f>
        <v/>
      </c>
      <c r="I66" s="61">
        <f>IF($N66="","",IF($P66&gt;0,IF(4&lt;=SemanaActual,INDEX('Cronograma Asistente Técnico'!$AK$5:$AK$1000,$N66),""),IF(INDEX('Cronograma Asistente Técnico'!$L$5:$L$1000,$N66)="","",INDEX('Cronograma Asistente Técnico'!$L$5:$L$1000,$N66))))</f>
        <v/>
      </c>
      <c r="J66" s="61">
        <f>IF($N66="","",INDEX('Cronograma Asistente Técnico'!$M$5:$M$1000,$N66))</f>
        <v/>
      </c>
      <c r="K66" s="56">
        <f>IF($N66="","",IF(N($J66)&gt;=1,"Completado",IF(AND(ISNUMBER($D66),$D66&lt;FechaRef),"Vencida",IF(N($J66)&gt;0,"En curso","Pendiente"))))</f>
        <v/>
      </c>
      <c r="L66" s="56">
        <f>IF($N66="","",INDEX('Cronograma Asistente Técnico'!$O$5:$O$1000,$N66)&amp;"")</f>
        <v/>
      </c>
      <c r="M66" s="62">
        <f>IF($N66="","",INDEX('Cronograma Asistente Técnico'!$Q$5:$Q$1000,$N66)&amp;"")</f>
        <v/>
      </c>
      <c r="N66">
        <f>IFERROR(MATCH(ROW()-4,rOrden_ATR,0),"")</f>
        <v/>
      </c>
      <c r="O66">
        <f>IF($N66="","",INDEX('Cronograma Asistente Técnico'!$V$5:$V$1000,$N66))</f>
        <v/>
      </c>
      <c r="P66">
        <f>IF($N66="","",N(INDEX('Cronograma Asistente Técnico'!$W$5:$W$1000,$N66)))</f>
        <v/>
      </c>
      <c r="Q66">
        <f>IF(OR(LEFT($L66,7)="Vencida",LEFT($L66,5)="Vence"),SUMPRODUCT(--(LEFT($L$5:$L66,7)="Vencida"))+SUMPRODUCT(--(LEFT($L$5:$L66,5)="Vence")),"")</f>
        <v/>
      </c>
    </row>
    <row r="67">
      <c r="A67" s="56">
        <f>IF($N67="","",INDEX('Cronograma Asistente Técnico'!$A$5:$A$1000,$N67))</f>
        <v/>
      </c>
      <c r="B67" s="62">
        <f>IF($N67="","",IF($O67="Sub","      ↳  "&amp;INDEX('Cronograma Asistente Técnico'!$C$5:$C$1000,$N67),INDEX('Cronograma Asistente Técnico'!$C$5:$C$1000,$N67)&amp;""))</f>
        <v/>
      </c>
      <c r="C67" s="79">
        <f>IF($N67="","",IF(INDEX('Cronograma Asistente Técnico'!$AR$5:$AR$1000,$N67)="","",INDEX('Cronograma Asistente Técnico'!$AR$5:$AR$1000,$N67)))</f>
        <v/>
      </c>
      <c r="D67" s="79">
        <f>IF($N67="","",IF(INDEX('Cronograma Asistente Técnico'!$AS$5:$AS$1000,$N67)="","",INDEX('Cronograma Asistente Técnico'!$AS$5:$AS$1000,$N67)))</f>
        <v/>
      </c>
      <c r="E67" s="56">
        <f>IF($N67="","",IF(NOT(ISNUMBER($D67)),"",IF($D67&lt;InicioCiclo,"Antes del ciclo",IF($D67&gt;=InicioCiclo+28,"Después del ciclo","Semana "&amp;(INT(($D67-InicioCiclo)/7)+1)))))</f>
        <v/>
      </c>
      <c r="F67" s="61">
        <f>IF($N67="","",IF($P67&gt;0,IF(1&lt;=SemanaActual,INDEX('Cronograma Asistente Técnico'!$AH$5:$AH$1000,$N67),""),IF(INDEX('Cronograma Asistente Técnico'!$I$5:$I$1000,$N67)="","",INDEX('Cronograma Asistente Técnico'!$I$5:$I$1000,$N67))))</f>
        <v/>
      </c>
      <c r="G67" s="61">
        <f>IF($N67="","",IF($P67&gt;0,IF(2&lt;=SemanaActual,INDEX('Cronograma Asistente Técnico'!$AI$5:$AI$1000,$N67),""),IF(INDEX('Cronograma Asistente Técnico'!$J$5:$J$1000,$N67)="","",INDEX('Cronograma Asistente Técnico'!$J$5:$J$1000,$N67))))</f>
        <v/>
      </c>
      <c r="H67" s="61">
        <f>IF($N67="","",IF($P67&gt;0,IF(3&lt;=SemanaActual,INDEX('Cronograma Asistente Técnico'!$AJ$5:$AJ$1000,$N67),""),IF(INDEX('Cronograma Asistente Técnico'!$K$5:$K$1000,$N67)="","",INDEX('Cronograma Asistente Técnico'!$K$5:$K$1000,$N67))))</f>
        <v/>
      </c>
      <c r="I67" s="61">
        <f>IF($N67="","",IF($P67&gt;0,IF(4&lt;=SemanaActual,INDEX('Cronograma Asistente Técnico'!$AK$5:$AK$1000,$N67),""),IF(INDEX('Cronograma Asistente Técnico'!$L$5:$L$1000,$N67)="","",INDEX('Cronograma Asistente Técnico'!$L$5:$L$1000,$N67))))</f>
        <v/>
      </c>
      <c r="J67" s="61">
        <f>IF($N67="","",INDEX('Cronograma Asistente Técnico'!$M$5:$M$1000,$N67))</f>
        <v/>
      </c>
      <c r="K67" s="56">
        <f>IF($N67="","",IF(N($J67)&gt;=1,"Completado",IF(AND(ISNUMBER($D67),$D67&lt;FechaRef),"Vencida",IF(N($J67)&gt;0,"En curso","Pendiente"))))</f>
        <v/>
      </c>
      <c r="L67" s="56">
        <f>IF($N67="","",INDEX('Cronograma Asistente Técnico'!$O$5:$O$1000,$N67)&amp;"")</f>
        <v/>
      </c>
      <c r="M67" s="62">
        <f>IF($N67="","",INDEX('Cronograma Asistente Técnico'!$Q$5:$Q$1000,$N67)&amp;"")</f>
        <v/>
      </c>
      <c r="N67">
        <f>IFERROR(MATCH(ROW()-4,rOrden_ATR,0),"")</f>
        <v/>
      </c>
      <c r="O67">
        <f>IF($N67="","",INDEX('Cronograma Asistente Técnico'!$V$5:$V$1000,$N67))</f>
        <v/>
      </c>
      <c r="P67">
        <f>IF($N67="","",N(INDEX('Cronograma Asistente Técnico'!$W$5:$W$1000,$N67)))</f>
        <v/>
      </c>
      <c r="Q67">
        <f>IF(OR(LEFT($L67,7)="Vencida",LEFT($L67,5)="Vence"),SUMPRODUCT(--(LEFT($L$5:$L67,7)="Vencida"))+SUMPRODUCT(--(LEFT($L$5:$L67,5)="Vence")),"")</f>
        <v/>
      </c>
    </row>
    <row r="68">
      <c r="A68" s="56">
        <f>IF($N68="","",INDEX('Cronograma Asistente Técnico'!$A$5:$A$1000,$N68))</f>
        <v/>
      </c>
      <c r="B68" s="62">
        <f>IF($N68="","",IF($O68="Sub","      ↳  "&amp;INDEX('Cronograma Asistente Técnico'!$C$5:$C$1000,$N68),INDEX('Cronograma Asistente Técnico'!$C$5:$C$1000,$N68)&amp;""))</f>
        <v/>
      </c>
      <c r="C68" s="79">
        <f>IF($N68="","",IF(INDEX('Cronograma Asistente Técnico'!$AR$5:$AR$1000,$N68)="","",INDEX('Cronograma Asistente Técnico'!$AR$5:$AR$1000,$N68)))</f>
        <v/>
      </c>
      <c r="D68" s="79">
        <f>IF($N68="","",IF(INDEX('Cronograma Asistente Técnico'!$AS$5:$AS$1000,$N68)="","",INDEX('Cronograma Asistente Técnico'!$AS$5:$AS$1000,$N68)))</f>
        <v/>
      </c>
      <c r="E68" s="56">
        <f>IF($N68="","",IF(NOT(ISNUMBER($D68)),"",IF($D68&lt;InicioCiclo,"Antes del ciclo",IF($D68&gt;=InicioCiclo+28,"Después del ciclo","Semana "&amp;(INT(($D68-InicioCiclo)/7)+1)))))</f>
        <v/>
      </c>
      <c r="F68" s="61">
        <f>IF($N68="","",IF($P68&gt;0,IF(1&lt;=SemanaActual,INDEX('Cronograma Asistente Técnico'!$AH$5:$AH$1000,$N68),""),IF(INDEX('Cronograma Asistente Técnico'!$I$5:$I$1000,$N68)="","",INDEX('Cronograma Asistente Técnico'!$I$5:$I$1000,$N68))))</f>
        <v/>
      </c>
      <c r="G68" s="61">
        <f>IF($N68="","",IF($P68&gt;0,IF(2&lt;=SemanaActual,INDEX('Cronograma Asistente Técnico'!$AI$5:$AI$1000,$N68),""),IF(INDEX('Cronograma Asistente Técnico'!$J$5:$J$1000,$N68)="","",INDEX('Cronograma Asistente Técnico'!$J$5:$J$1000,$N68))))</f>
        <v/>
      </c>
      <c r="H68" s="61">
        <f>IF($N68="","",IF($P68&gt;0,IF(3&lt;=SemanaActual,INDEX('Cronograma Asistente Técnico'!$AJ$5:$AJ$1000,$N68),""),IF(INDEX('Cronograma Asistente Técnico'!$K$5:$K$1000,$N68)="","",INDEX('Cronograma Asistente Técnico'!$K$5:$K$1000,$N68))))</f>
        <v/>
      </c>
      <c r="I68" s="61">
        <f>IF($N68="","",IF($P68&gt;0,IF(4&lt;=SemanaActual,INDEX('Cronograma Asistente Técnico'!$AK$5:$AK$1000,$N68),""),IF(INDEX('Cronograma Asistente Técnico'!$L$5:$L$1000,$N68)="","",INDEX('Cronograma Asistente Técnico'!$L$5:$L$1000,$N68))))</f>
        <v/>
      </c>
      <c r="J68" s="61">
        <f>IF($N68="","",INDEX('Cronograma Asistente Técnico'!$M$5:$M$1000,$N68))</f>
        <v/>
      </c>
      <c r="K68" s="56">
        <f>IF($N68="","",IF(N($J68)&gt;=1,"Completado",IF(AND(ISNUMBER($D68),$D68&lt;FechaRef),"Vencida",IF(N($J68)&gt;0,"En curso","Pendiente"))))</f>
        <v/>
      </c>
      <c r="L68" s="56">
        <f>IF($N68="","",INDEX('Cronograma Asistente Técnico'!$O$5:$O$1000,$N68)&amp;"")</f>
        <v/>
      </c>
      <c r="M68" s="62">
        <f>IF($N68="","",INDEX('Cronograma Asistente Técnico'!$Q$5:$Q$1000,$N68)&amp;"")</f>
        <v/>
      </c>
      <c r="N68">
        <f>IFERROR(MATCH(ROW()-4,rOrden_ATR,0),"")</f>
        <v/>
      </c>
      <c r="O68">
        <f>IF($N68="","",INDEX('Cronograma Asistente Técnico'!$V$5:$V$1000,$N68))</f>
        <v/>
      </c>
      <c r="P68">
        <f>IF($N68="","",N(INDEX('Cronograma Asistente Técnico'!$W$5:$W$1000,$N68)))</f>
        <v/>
      </c>
      <c r="Q68">
        <f>IF(OR(LEFT($L68,7)="Vencida",LEFT($L68,5)="Vence"),SUMPRODUCT(--(LEFT($L$5:$L68,7)="Vencida"))+SUMPRODUCT(--(LEFT($L$5:$L68,5)="Vence")),"")</f>
        <v/>
      </c>
    </row>
    <row r="69">
      <c r="A69" s="56">
        <f>IF($N69="","",INDEX('Cronograma Asistente Técnico'!$A$5:$A$1000,$N69))</f>
        <v/>
      </c>
      <c r="B69" s="62">
        <f>IF($N69="","",IF($O69="Sub","      ↳  "&amp;INDEX('Cronograma Asistente Técnico'!$C$5:$C$1000,$N69),INDEX('Cronograma Asistente Técnico'!$C$5:$C$1000,$N69)&amp;""))</f>
        <v/>
      </c>
      <c r="C69" s="79">
        <f>IF($N69="","",IF(INDEX('Cronograma Asistente Técnico'!$AR$5:$AR$1000,$N69)="","",INDEX('Cronograma Asistente Técnico'!$AR$5:$AR$1000,$N69)))</f>
        <v/>
      </c>
      <c r="D69" s="79">
        <f>IF($N69="","",IF(INDEX('Cronograma Asistente Técnico'!$AS$5:$AS$1000,$N69)="","",INDEX('Cronograma Asistente Técnico'!$AS$5:$AS$1000,$N69)))</f>
        <v/>
      </c>
      <c r="E69" s="56">
        <f>IF($N69="","",IF(NOT(ISNUMBER($D69)),"",IF($D69&lt;InicioCiclo,"Antes del ciclo",IF($D69&gt;=InicioCiclo+28,"Después del ciclo","Semana "&amp;(INT(($D69-InicioCiclo)/7)+1)))))</f>
        <v/>
      </c>
      <c r="F69" s="61">
        <f>IF($N69="","",IF($P69&gt;0,IF(1&lt;=SemanaActual,INDEX('Cronograma Asistente Técnico'!$AH$5:$AH$1000,$N69),""),IF(INDEX('Cronograma Asistente Técnico'!$I$5:$I$1000,$N69)="","",INDEX('Cronograma Asistente Técnico'!$I$5:$I$1000,$N69))))</f>
        <v/>
      </c>
      <c r="G69" s="61">
        <f>IF($N69="","",IF($P69&gt;0,IF(2&lt;=SemanaActual,INDEX('Cronograma Asistente Técnico'!$AI$5:$AI$1000,$N69),""),IF(INDEX('Cronograma Asistente Técnico'!$J$5:$J$1000,$N69)="","",INDEX('Cronograma Asistente Técnico'!$J$5:$J$1000,$N69))))</f>
        <v/>
      </c>
      <c r="H69" s="61">
        <f>IF($N69="","",IF($P69&gt;0,IF(3&lt;=SemanaActual,INDEX('Cronograma Asistente Técnico'!$AJ$5:$AJ$1000,$N69),""),IF(INDEX('Cronograma Asistente Técnico'!$K$5:$K$1000,$N69)="","",INDEX('Cronograma Asistente Técnico'!$K$5:$K$1000,$N69))))</f>
        <v/>
      </c>
      <c r="I69" s="61">
        <f>IF($N69="","",IF($P69&gt;0,IF(4&lt;=SemanaActual,INDEX('Cronograma Asistente Técnico'!$AK$5:$AK$1000,$N69),""),IF(INDEX('Cronograma Asistente Técnico'!$L$5:$L$1000,$N69)="","",INDEX('Cronograma Asistente Técnico'!$L$5:$L$1000,$N69))))</f>
        <v/>
      </c>
      <c r="J69" s="61">
        <f>IF($N69="","",INDEX('Cronograma Asistente Técnico'!$M$5:$M$1000,$N69))</f>
        <v/>
      </c>
      <c r="K69" s="56">
        <f>IF($N69="","",IF(N($J69)&gt;=1,"Completado",IF(AND(ISNUMBER($D69),$D69&lt;FechaRef),"Vencida",IF(N($J69)&gt;0,"En curso","Pendiente"))))</f>
        <v/>
      </c>
      <c r="L69" s="56">
        <f>IF($N69="","",INDEX('Cronograma Asistente Técnico'!$O$5:$O$1000,$N69)&amp;"")</f>
        <v/>
      </c>
      <c r="M69" s="62">
        <f>IF($N69="","",INDEX('Cronograma Asistente Técnico'!$Q$5:$Q$1000,$N69)&amp;"")</f>
        <v/>
      </c>
      <c r="N69">
        <f>IFERROR(MATCH(ROW()-4,rOrden_ATR,0),"")</f>
        <v/>
      </c>
      <c r="O69">
        <f>IF($N69="","",INDEX('Cronograma Asistente Técnico'!$V$5:$V$1000,$N69))</f>
        <v/>
      </c>
      <c r="P69">
        <f>IF($N69="","",N(INDEX('Cronograma Asistente Técnico'!$W$5:$W$1000,$N69)))</f>
        <v/>
      </c>
      <c r="Q69">
        <f>IF(OR(LEFT($L69,7)="Vencida",LEFT($L69,5)="Vence"),SUMPRODUCT(--(LEFT($L$5:$L69,7)="Vencida"))+SUMPRODUCT(--(LEFT($L$5:$L69,5)="Vence")),"")</f>
        <v/>
      </c>
    </row>
    <row r="70">
      <c r="A70" s="56">
        <f>IF($N70="","",INDEX('Cronograma Asistente Técnico'!$A$5:$A$1000,$N70))</f>
        <v/>
      </c>
      <c r="B70" s="62">
        <f>IF($N70="","",IF($O70="Sub","      ↳  "&amp;INDEX('Cronograma Asistente Técnico'!$C$5:$C$1000,$N70),INDEX('Cronograma Asistente Técnico'!$C$5:$C$1000,$N70)&amp;""))</f>
        <v/>
      </c>
      <c r="C70" s="79">
        <f>IF($N70="","",IF(INDEX('Cronograma Asistente Técnico'!$AR$5:$AR$1000,$N70)="","",INDEX('Cronograma Asistente Técnico'!$AR$5:$AR$1000,$N70)))</f>
        <v/>
      </c>
      <c r="D70" s="79">
        <f>IF($N70="","",IF(INDEX('Cronograma Asistente Técnico'!$AS$5:$AS$1000,$N70)="","",INDEX('Cronograma Asistente Técnico'!$AS$5:$AS$1000,$N70)))</f>
        <v/>
      </c>
      <c r="E70" s="56">
        <f>IF($N70="","",IF(NOT(ISNUMBER($D70)),"",IF($D70&lt;InicioCiclo,"Antes del ciclo",IF($D70&gt;=InicioCiclo+28,"Después del ciclo","Semana "&amp;(INT(($D70-InicioCiclo)/7)+1)))))</f>
        <v/>
      </c>
      <c r="F70" s="61">
        <f>IF($N70="","",IF($P70&gt;0,IF(1&lt;=SemanaActual,INDEX('Cronograma Asistente Técnico'!$AH$5:$AH$1000,$N70),""),IF(INDEX('Cronograma Asistente Técnico'!$I$5:$I$1000,$N70)="","",INDEX('Cronograma Asistente Técnico'!$I$5:$I$1000,$N70))))</f>
        <v/>
      </c>
      <c r="G70" s="61">
        <f>IF($N70="","",IF($P70&gt;0,IF(2&lt;=SemanaActual,INDEX('Cronograma Asistente Técnico'!$AI$5:$AI$1000,$N70),""),IF(INDEX('Cronograma Asistente Técnico'!$J$5:$J$1000,$N70)="","",INDEX('Cronograma Asistente Técnico'!$J$5:$J$1000,$N70))))</f>
        <v/>
      </c>
      <c r="H70" s="61">
        <f>IF($N70="","",IF($P70&gt;0,IF(3&lt;=SemanaActual,INDEX('Cronograma Asistente Técnico'!$AJ$5:$AJ$1000,$N70),""),IF(INDEX('Cronograma Asistente Técnico'!$K$5:$K$1000,$N70)="","",INDEX('Cronograma Asistente Técnico'!$K$5:$K$1000,$N70))))</f>
        <v/>
      </c>
      <c r="I70" s="61">
        <f>IF($N70="","",IF($P70&gt;0,IF(4&lt;=SemanaActual,INDEX('Cronograma Asistente Técnico'!$AK$5:$AK$1000,$N70),""),IF(INDEX('Cronograma Asistente Técnico'!$L$5:$L$1000,$N70)="","",INDEX('Cronograma Asistente Técnico'!$L$5:$L$1000,$N70))))</f>
        <v/>
      </c>
      <c r="J70" s="61">
        <f>IF($N70="","",INDEX('Cronograma Asistente Técnico'!$M$5:$M$1000,$N70))</f>
        <v/>
      </c>
      <c r="K70" s="56">
        <f>IF($N70="","",IF(N($J70)&gt;=1,"Completado",IF(AND(ISNUMBER($D70),$D70&lt;FechaRef),"Vencida",IF(N($J70)&gt;0,"En curso","Pendiente"))))</f>
        <v/>
      </c>
      <c r="L70" s="56">
        <f>IF($N70="","",INDEX('Cronograma Asistente Técnico'!$O$5:$O$1000,$N70)&amp;"")</f>
        <v/>
      </c>
      <c r="M70" s="62">
        <f>IF($N70="","",INDEX('Cronograma Asistente Técnico'!$Q$5:$Q$1000,$N70)&amp;"")</f>
        <v/>
      </c>
      <c r="N70">
        <f>IFERROR(MATCH(ROW()-4,rOrden_ATR,0),"")</f>
        <v/>
      </c>
      <c r="O70">
        <f>IF($N70="","",INDEX('Cronograma Asistente Técnico'!$V$5:$V$1000,$N70))</f>
        <v/>
      </c>
      <c r="P70">
        <f>IF($N70="","",N(INDEX('Cronograma Asistente Técnico'!$W$5:$W$1000,$N70)))</f>
        <v/>
      </c>
      <c r="Q70">
        <f>IF(OR(LEFT($L70,7)="Vencida",LEFT($L70,5)="Vence"),SUMPRODUCT(--(LEFT($L$5:$L70,7)="Vencida"))+SUMPRODUCT(--(LEFT($L$5:$L70,5)="Vence")),"")</f>
        <v/>
      </c>
    </row>
    <row r="71">
      <c r="A71" s="56">
        <f>IF($N71="","",INDEX('Cronograma Asistente Técnico'!$A$5:$A$1000,$N71))</f>
        <v/>
      </c>
      <c r="B71" s="62">
        <f>IF($N71="","",IF($O71="Sub","      ↳  "&amp;INDEX('Cronograma Asistente Técnico'!$C$5:$C$1000,$N71),INDEX('Cronograma Asistente Técnico'!$C$5:$C$1000,$N71)&amp;""))</f>
        <v/>
      </c>
      <c r="C71" s="79">
        <f>IF($N71="","",IF(INDEX('Cronograma Asistente Técnico'!$AR$5:$AR$1000,$N71)="","",INDEX('Cronograma Asistente Técnico'!$AR$5:$AR$1000,$N71)))</f>
        <v/>
      </c>
      <c r="D71" s="79">
        <f>IF($N71="","",IF(INDEX('Cronograma Asistente Técnico'!$AS$5:$AS$1000,$N71)="","",INDEX('Cronograma Asistente Técnico'!$AS$5:$AS$1000,$N71)))</f>
        <v/>
      </c>
      <c r="E71" s="56">
        <f>IF($N71="","",IF(NOT(ISNUMBER($D71)),"",IF($D71&lt;InicioCiclo,"Antes del ciclo",IF($D71&gt;=InicioCiclo+28,"Después del ciclo","Semana "&amp;(INT(($D71-InicioCiclo)/7)+1)))))</f>
        <v/>
      </c>
      <c r="F71" s="61">
        <f>IF($N71="","",IF($P71&gt;0,IF(1&lt;=SemanaActual,INDEX('Cronograma Asistente Técnico'!$AH$5:$AH$1000,$N71),""),IF(INDEX('Cronograma Asistente Técnico'!$I$5:$I$1000,$N71)="","",INDEX('Cronograma Asistente Técnico'!$I$5:$I$1000,$N71))))</f>
        <v/>
      </c>
      <c r="G71" s="61">
        <f>IF($N71="","",IF($P71&gt;0,IF(2&lt;=SemanaActual,INDEX('Cronograma Asistente Técnico'!$AI$5:$AI$1000,$N71),""),IF(INDEX('Cronograma Asistente Técnico'!$J$5:$J$1000,$N71)="","",INDEX('Cronograma Asistente Técnico'!$J$5:$J$1000,$N71))))</f>
        <v/>
      </c>
      <c r="H71" s="61">
        <f>IF($N71="","",IF($P71&gt;0,IF(3&lt;=SemanaActual,INDEX('Cronograma Asistente Técnico'!$AJ$5:$AJ$1000,$N71),""),IF(INDEX('Cronograma Asistente Técnico'!$K$5:$K$1000,$N71)="","",INDEX('Cronograma Asistente Técnico'!$K$5:$K$1000,$N71))))</f>
        <v/>
      </c>
      <c r="I71" s="61">
        <f>IF($N71="","",IF($P71&gt;0,IF(4&lt;=SemanaActual,INDEX('Cronograma Asistente Técnico'!$AK$5:$AK$1000,$N71),""),IF(INDEX('Cronograma Asistente Técnico'!$L$5:$L$1000,$N71)="","",INDEX('Cronograma Asistente Técnico'!$L$5:$L$1000,$N71))))</f>
        <v/>
      </c>
      <c r="J71" s="61">
        <f>IF($N71="","",INDEX('Cronograma Asistente Técnico'!$M$5:$M$1000,$N71))</f>
        <v/>
      </c>
      <c r="K71" s="56">
        <f>IF($N71="","",IF(N($J71)&gt;=1,"Completado",IF(AND(ISNUMBER($D71),$D71&lt;FechaRef),"Vencida",IF(N($J71)&gt;0,"En curso","Pendiente"))))</f>
        <v/>
      </c>
      <c r="L71" s="56">
        <f>IF($N71="","",INDEX('Cronograma Asistente Técnico'!$O$5:$O$1000,$N71)&amp;"")</f>
        <v/>
      </c>
      <c r="M71" s="62">
        <f>IF($N71="","",INDEX('Cronograma Asistente Técnico'!$Q$5:$Q$1000,$N71)&amp;"")</f>
        <v/>
      </c>
      <c r="N71">
        <f>IFERROR(MATCH(ROW()-4,rOrden_ATR,0),"")</f>
        <v/>
      </c>
      <c r="O71">
        <f>IF($N71="","",INDEX('Cronograma Asistente Técnico'!$V$5:$V$1000,$N71))</f>
        <v/>
      </c>
      <c r="P71">
        <f>IF($N71="","",N(INDEX('Cronograma Asistente Técnico'!$W$5:$W$1000,$N71)))</f>
        <v/>
      </c>
      <c r="Q71">
        <f>IF(OR(LEFT($L71,7)="Vencida",LEFT($L71,5)="Vence"),SUMPRODUCT(--(LEFT($L$5:$L71,7)="Vencida"))+SUMPRODUCT(--(LEFT($L$5:$L71,5)="Vence")),"")</f>
        <v/>
      </c>
    </row>
    <row r="72">
      <c r="A72" s="56">
        <f>IF($N72="","",INDEX('Cronograma Asistente Técnico'!$A$5:$A$1000,$N72))</f>
        <v/>
      </c>
      <c r="B72" s="62">
        <f>IF($N72="","",IF($O72="Sub","      ↳  "&amp;INDEX('Cronograma Asistente Técnico'!$C$5:$C$1000,$N72),INDEX('Cronograma Asistente Técnico'!$C$5:$C$1000,$N72)&amp;""))</f>
        <v/>
      </c>
      <c r="C72" s="79">
        <f>IF($N72="","",IF(INDEX('Cronograma Asistente Técnico'!$AR$5:$AR$1000,$N72)="","",INDEX('Cronograma Asistente Técnico'!$AR$5:$AR$1000,$N72)))</f>
        <v/>
      </c>
      <c r="D72" s="79">
        <f>IF($N72="","",IF(INDEX('Cronograma Asistente Técnico'!$AS$5:$AS$1000,$N72)="","",INDEX('Cronograma Asistente Técnico'!$AS$5:$AS$1000,$N72)))</f>
        <v/>
      </c>
      <c r="E72" s="56">
        <f>IF($N72="","",IF(NOT(ISNUMBER($D72)),"",IF($D72&lt;InicioCiclo,"Antes del ciclo",IF($D72&gt;=InicioCiclo+28,"Después del ciclo","Semana "&amp;(INT(($D72-InicioCiclo)/7)+1)))))</f>
        <v/>
      </c>
      <c r="F72" s="61">
        <f>IF($N72="","",IF($P72&gt;0,IF(1&lt;=SemanaActual,INDEX('Cronograma Asistente Técnico'!$AH$5:$AH$1000,$N72),""),IF(INDEX('Cronograma Asistente Técnico'!$I$5:$I$1000,$N72)="","",INDEX('Cronograma Asistente Técnico'!$I$5:$I$1000,$N72))))</f>
        <v/>
      </c>
      <c r="G72" s="61">
        <f>IF($N72="","",IF($P72&gt;0,IF(2&lt;=SemanaActual,INDEX('Cronograma Asistente Técnico'!$AI$5:$AI$1000,$N72),""),IF(INDEX('Cronograma Asistente Técnico'!$J$5:$J$1000,$N72)="","",INDEX('Cronograma Asistente Técnico'!$J$5:$J$1000,$N72))))</f>
        <v/>
      </c>
      <c r="H72" s="61">
        <f>IF($N72="","",IF($P72&gt;0,IF(3&lt;=SemanaActual,INDEX('Cronograma Asistente Técnico'!$AJ$5:$AJ$1000,$N72),""),IF(INDEX('Cronograma Asistente Técnico'!$K$5:$K$1000,$N72)="","",INDEX('Cronograma Asistente Técnico'!$K$5:$K$1000,$N72))))</f>
        <v/>
      </c>
      <c r="I72" s="61">
        <f>IF($N72="","",IF($P72&gt;0,IF(4&lt;=SemanaActual,INDEX('Cronograma Asistente Técnico'!$AK$5:$AK$1000,$N72),""),IF(INDEX('Cronograma Asistente Técnico'!$L$5:$L$1000,$N72)="","",INDEX('Cronograma Asistente Técnico'!$L$5:$L$1000,$N72))))</f>
        <v/>
      </c>
      <c r="J72" s="61">
        <f>IF($N72="","",INDEX('Cronograma Asistente Técnico'!$M$5:$M$1000,$N72))</f>
        <v/>
      </c>
      <c r="K72" s="56">
        <f>IF($N72="","",IF(N($J72)&gt;=1,"Completado",IF(AND(ISNUMBER($D72),$D72&lt;FechaRef),"Vencida",IF(N($J72)&gt;0,"En curso","Pendiente"))))</f>
        <v/>
      </c>
      <c r="L72" s="56">
        <f>IF($N72="","",INDEX('Cronograma Asistente Técnico'!$O$5:$O$1000,$N72)&amp;"")</f>
        <v/>
      </c>
      <c r="M72" s="62">
        <f>IF($N72="","",INDEX('Cronograma Asistente Técnico'!$Q$5:$Q$1000,$N72)&amp;"")</f>
        <v/>
      </c>
      <c r="N72">
        <f>IFERROR(MATCH(ROW()-4,rOrden_ATR,0),"")</f>
        <v/>
      </c>
      <c r="O72">
        <f>IF($N72="","",INDEX('Cronograma Asistente Técnico'!$V$5:$V$1000,$N72))</f>
        <v/>
      </c>
      <c r="P72">
        <f>IF($N72="","",N(INDEX('Cronograma Asistente Técnico'!$W$5:$W$1000,$N72)))</f>
        <v/>
      </c>
      <c r="Q72">
        <f>IF(OR(LEFT($L72,7)="Vencida",LEFT($L72,5)="Vence"),SUMPRODUCT(--(LEFT($L$5:$L72,7)="Vencida"))+SUMPRODUCT(--(LEFT($L$5:$L72,5)="Vence")),"")</f>
        <v/>
      </c>
    </row>
    <row r="73">
      <c r="A73" s="56">
        <f>IF($N73="","",INDEX('Cronograma Asistente Técnico'!$A$5:$A$1000,$N73))</f>
        <v/>
      </c>
      <c r="B73" s="62">
        <f>IF($N73="","",IF($O73="Sub","      ↳  "&amp;INDEX('Cronograma Asistente Técnico'!$C$5:$C$1000,$N73),INDEX('Cronograma Asistente Técnico'!$C$5:$C$1000,$N73)&amp;""))</f>
        <v/>
      </c>
      <c r="C73" s="79">
        <f>IF($N73="","",IF(INDEX('Cronograma Asistente Técnico'!$AR$5:$AR$1000,$N73)="","",INDEX('Cronograma Asistente Técnico'!$AR$5:$AR$1000,$N73)))</f>
        <v/>
      </c>
      <c r="D73" s="79">
        <f>IF($N73="","",IF(INDEX('Cronograma Asistente Técnico'!$AS$5:$AS$1000,$N73)="","",INDEX('Cronograma Asistente Técnico'!$AS$5:$AS$1000,$N73)))</f>
        <v/>
      </c>
      <c r="E73" s="56">
        <f>IF($N73="","",IF(NOT(ISNUMBER($D73)),"",IF($D73&lt;InicioCiclo,"Antes del ciclo",IF($D73&gt;=InicioCiclo+28,"Después del ciclo","Semana "&amp;(INT(($D73-InicioCiclo)/7)+1)))))</f>
        <v/>
      </c>
      <c r="F73" s="61">
        <f>IF($N73="","",IF($P73&gt;0,IF(1&lt;=SemanaActual,INDEX('Cronograma Asistente Técnico'!$AH$5:$AH$1000,$N73),""),IF(INDEX('Cronograma Asistente Técnico'!$I$5:$I$1000,$N73)="","",INDEX('Cronograma Asistente Técnico'!$I$5:$I$1000,$N73))))</f>
        <v/>
      </c>
      <c r="G73" s="61">
        <f>IF($N73="","",IF($P73&gt;0,IF(2&lt;=SemanaActual,INDEX('Cronograma Asistente Técnico'!$AI$5:$AI$1000,$N73),""),IF(INDEX('Cronograma Asistente Técnico'!$J$5:$J$1000,$N73)="","",INDEX('Cronograma Asistente Técnico'!$J$5:$J$1000,$N73))))</f>
        <v/>
      </c>
      <c r="H73" s="61">
        <f>IF($N73="","",IF($P73&gt;0,IF(3&lt;=SemanaActual,INDEX('Cronograma Asistente Técnico'!$AJ$5:$AJ$1000,$N73),""),IF(INDEX('Cronograma Asistente Técnico'!$K$5:$K$1000,$N73)="","",INDEX('Cronograma Asistente Técnico'!$K$5:$K$1000,$N73))))</f>
        <v/>
      </c>
      <c r="I73" s="61">
        <f>IF($N73="","",IF($P73&gt;0,IF(4&lt;=SemanaActual,INDEX('Cronograma Asistente Técnico'!$AK$5:$AK$1000,$N73),""),IF(INDEX('Cronograma Asistente Técnico'!$L$5:$L$1000,$N73)="","",INDEX('Cronograma Asistente Técnico'!$L$5:$L$1000,$N73))))</f>
        <v/>
      </c>
      <c r="J73" s="61">
        <f>IF($N73="","",INDEX('Cronograma Asistente Técnico'!$M$5:$M$1000,$N73))</f>
        <v/>
      </c>
      <c r="K73" s="56">
        <f>IF($N73="","",IF(N($J73)&gt;=1,"Completado",IF(AND(ISNUMBER($D73),$D73&lt;FechaRef),"Vencida",IF(N($J73)&gt;0,"En curso","Pendiente"))))</f>
        <v/>
      </c>
      <c r="L73" s="56">
        <f>IF($N73="","",INDEX('Cronograma Asistente Técnico'!$O$5:$O$1000,$N73)&amp;"")</f>
        <v/>
      </c>
      <c r="M73" s="62">
        <f>IF($N73="","",INDEX('Cronograma Asistente Técnico'!$Q$5:$Q$1000,$N73)&amp;"")</f>
        <v/>
      </c>
      <c r="N73">
        <f>IFERROR(MATCH(ROW()-4,rOrden_ATR,0),"")</f>
        <v/>
      </c>
      <c r="O73">
        <f>IF($N73="","",INDEX('Cronograma Asistente Técnico'!$V$5:$V$1000,$N73))</f>
        <v/>
      </c>
      <c r="P73">
        <f>IF($N73="","",N(INDEX('Cronograma Asistente Técnico'!$W$5:$W$1000,$N73)))</f>
        <v/>
      </c>
      <c r="Q73">
        <f>IF(OR(LEFT($L73,7)="Vencida",LEFT($L73,5)="Vence"),SUMPRODUCT(--(LEFT($L$5:$L73,7)="Vencida"))+SUMPRODUCT(--(LEFT($L$5:$L73,5)="Vence")),"")</f>
        <v/>
      </c>
    </row>
    <row r="74">
      <c r="A74" s="56">
        <f>IF($N74="","",INDEX('Cronograma Asistente Técnico'!$A$5:$A$1000,$N74))</f>
        <v/>
      </c>
      <c r="B74" s="62">
        <f>IF($N74="","",IF($O74="Sub","      ↳  "&amp;INDEX('Cronograma Asistente Técnico'!$C$5:$C$1000,$N74),INDEX('Cronograma Asistente Técnico'!$C$5:$C$1000,$N74)&amp;""))</f>
        <v/>
      </c>
      <c r="C74" s="79">
        <f>IF($N74="","",IF(INDEX('Cronograma Asistente Técnico'!$AR$5:$AR$1000,$N74)="","",INDEX('Cronograma Asistente Técnico'!$AR$5:$AR$1000,$N74)))</f>
        <v/>
      </c>
      <c r="D74" s="79">
        <f>IF($N74="","",IF(INDEX('Cronograma Asistente Técnico'!$AS$5:$AS$1000,$N74)="","",INDEX('Cronograma Asistente Técnico'!$AS$5:$AS$1000,$N74)))</f>
        <v/>
      </c>
      <c r="E74" s="56">
        <f>IF($N74="","",IF(NOT(ISNUMBER($D74)),"",IF($D74&lt;InicioCiclo,"Antes del ciclo",IF($D74&gt;=InicioCiclo+28,"Después del ciclo","Semana "&amp;(INT(($D74-InicioCiclo)/7)+1)))))</f>
        <v/>
      </c>
      <c r="F74" s="61">
        <f>IF($N74="","",IF($P74&gt;0,IF(1&lt;=SemanaActual,INDEX('Cronograma Asistente Técnico'!$AH$5:$AH$1000,$N74),""),IF(INDEX('Cronograma Asistente Técnico'!$I$5:$I$1000,$N74)="","",INDEX('Cronograma Asistente Técnico'!$I$5:$I$1000,$N74))))</f>
        <v/>
      </c>
      <c r="G74" s="61">
        <f>IF($N74="","",IF($P74&gt;0,IF(2&lt;=SemanaActual,INDEX('Cronograma Asistente Técnico'!$AI$5:$AI$1000,$N74),""),IF(INDEX('Cronograma Asistente Técnico'!$J$5:$J$1000,$N74)="","",INDEX('Cronograma Asistente Técnico'!$J$5:$J$1000,$N74))))</f>
        <v/>
      </c>
      <c r="H74" s="61">
        <f>IF($N74="","",IF($P74&gt;0,IF(3&lt;=SemanaActual,INDEX('Cronograma Asistente Técnico'!$AJ$5:$AJ$1000,$N74),""),IF(INDEX('Cronograma Asistente Técnico'!$K$5:$K$1000,$N74)="","",INDEX('Cronograma Asistente Técnico'!$K$5:$K$1000,$N74))))</f>
        <v/>
      </c>
      <c r="I74" s="61">
        <f>IF($N74="","",IF($P74&gt;0,IF(4&lt;=SemanaActual,INDEX('Cronograma Asistente Técnico'!$AK$5:$AK$1000,$N74),""),IF(INDEX('Cronograma Asistente Técnico'!$L$5:$L$1000,$N74)="","",INDEX('Cronograma Asistente Técnico'!$L$5:$L$1000,$N74))))</f>
        <v/>
      </c>
      <c r="J74" s="61">
        <f>IF($N74="","",INDEX('Cronograma Asistente Técnico'!$M$5:$M$1000,$N74))</f>
        <v/>
      </c>
      <c r="K74" s="56">
        <f>IF($N74="","",IF(N($J74)&gt;=1,"Completado",IF(AND(ISNUMBER($D74),$D74&lt;FechaRef),"Vencida",IF(N($J74)&gt;0,"En curso","Pendiente"))))</f>
        <v/>
      </c>
      <c r="L74" s="56">
        <f>IF($N74="","",INDEX('Cronograma Asistente Técnico'!$O$5:$O$1000,$N74)&amp;"")</f>
        <v/>
      </c>
      <c r="M74" s="62">
        <f>IF($N74="","",INDEX('Cronograma Asistente Técnico'!$Q$5:$Q$1000,$N74)&amp;"")</f>
        <v/>
      </c>
      <c r="N74">
        <f>IFERROR(MATCH(ROW()-4,rOrden_ATR,0),"")</f>
        <v/>
      </c>
      <c r="O74">
        <f>IF($N74="","",INDEX('Cronograma Asistente Técnico'!$V$5:$V$1000,$N74))</f>
        <v/>
      </c>
      <c r="P74">
        <f>IF($N74="","",N(INDEX('Cronograma Asistente Técnico'!$W$5:$W$1000,$N74)))</f>
        <v/>
      </c>
      <c r="Q74">
        <f>IF(OR(LEFT($L74,7)="Vencida",LEFT($L74,5)="Vence"),SUMPRODUCT(--(LEFT($L$5:$L74,7)="Vencida"))+SUMPRODUCT(--(LEFT($L$5:$L74,5)="Vence")),"")</f>
        <v/>
      </c>
    </row>
    <row r="75">
      <c r="A75" s="56">
        <f>IF($N75="","",INDEX('Cronograma Asistente Técnico'!$A$5:$A$1000,$N75))</f>
        <v/>
      </c>
      <c r="B75" s="62">
        <f>IF($N75="","",IF($O75="Sub","      ↳  "&amp;INDEX('Cronograma Asistente Técnico'!$C$5:$C$1000,$N75),INDEX('Cronograma Asistente Técnico'!$C$5:$C$1000,$N75)&amp;""))</f>
        <v/>
      </c>
      <c r="C75" s="79">
        <f>IF($N75="","",IF(INDEX('Cronograma Asistente Técnico'!$AR$5:$AR$1000,$N75)="","",INDEX('Cronograma Asistente Técnico'!$AR$5:$AR$1000,$N75)))</f>
        <v/>
      </c>
      <c r="D75" s="79">
        <f>IF($N75="","",IF(INDEX('Cronograma Asistente Técnico'!$AS$5:$AS$1000,$N75)="","",INDEX('Cronograma Asistente Técnico'!$AS$5:$AS$1000,$N75)))</f>
        <v/>
      </c>
      <c r="E75" s="56">
        <f>IF($N75="","",IF(NOT(ISNUMBER($D75)),"",IF($D75&lt;InicioCiclo,"Antes del ciclo",IF($D75&gt;=InicioCiclo+28,"Después del ciclo","Semana "&amp;(INT(($D75-InicioCiclo)/7)+1)))))</f>
        <v/>
      </c>
      <c r="F75" s="61">
        <f>IF($N75="","",IF($P75&gt;0,IF(1&lt;=SemanaActual,INDEX('Cronograma Asistente Técnico'!$AH$5:$AH$1000,$N75),""),IF(INDEX('Cronograma Asistente Técnico'!$I$5:$I$1000,$N75)="","",INDEX('Cronograma Asistente Técnico'!$I$5:$I$1000,$N75))))</f>
        <v/>
      </c>
      <c r="G75" s="61">
        <f>IF($N75="","",IF($P75&gt;0,IF(2&lt;=SemanaActual,INDEX('Cronograma Asistente Técnico'!$AI$5:$AI$1000,$N75),""),IF(INDEX('Cronograma Asistente Técnico'!$J$5:$J$1000,$N75)="","",INDEX('Cronograma Asistente Técnico'!$J$5:$J$1000,$N75))))</f>
        <v/>
      </c>
      <c r="H75" s="61">
        <f>IF($N75="","",IF($P75&gt;0,IF(3&lt;=SemanaActual,INDEX('Cronograma Asistente Técnico'!$AJ$5:$AJ$1000,$N75),""),IF(INDEX('Cronograma Asistente Técnico'!$K$5:$K$1000,$N75)="","",INDEX('Cronograma Asistente Técnico'!$K$5:$K$1000,$N75))))</f>
        <v/>
      </c>
      <c r="I75" s="61">
        <f>IF($N75="","",IF($P75&gt;0,IF(4&lt;=SemanaActual,INDEX('Cronograma Asistente Técnico'!$AK$5:$AK$1000,$N75),""),IF(INDEX('Cronograma Asistente Técnico'!$L$5:$L$1000,$N75)="","",INDEX('Cronograma Asistente Técnico'!$L$5:$L$1000,$N75))))</f>
        <v/>
      </c>
      <c r="J75" s="61">
        <f>IF($N75="","",INDEX('Cronograma Asistente Técnico'!$M$5:$M$1000,$N75))</f>
        <v/>
      </c>
      <c r="K75" s="56">
        <f>IF($N75="","",IF(N($J75)&gt;=1,"Completado",IF(AND(ISNUMBER($D75),$D75&lt;FechaRef),"Vencida",IF(N($J75)&gt;0,"En curso","Pendiente"))))</f>
        <v/>
      </c>
      <c r="L75" s="56">
        <f>IF($N75="","",INDEX('Cronograma Asistente Técnico'!$O$5:$O$1000,$N75)&amp;"")</f>
        <v/>
      </c>
      <c r="M75" s="62">
        <f>IF($N75="","",INDEX('Cronograma Asistente Técnico'!$Q$5:$Q$1000,$N75)&amp;"")</f>
        <v/>
      </c>
      <c r="N75">
        <f>IFERROR(MATCH(ROW()-4,rOrden_ATR,0),"")</f>
        <v/>
      </c>
      <c r="O75">
        <f>IF($N75="","",INDEX('Cronograma Asistente Técnico'!$V$5:$V$1000,$N75))</f>
        <v/>
      </c>
      <c r="P75">
        <f>IF($N75="","",N(INDEX('Cronograma Asistente Técnico'!$W$5:$W$1000,$N75)))</f>
        <v/>
      </c>
      <c r="Q75">
        <f>IF(OR(LEFT($L75,7)="Vencida",LEFT($L75,5)="Vence"),SUMPRODUCT(--(LEFT($L$5:$L75,7)="Vencida"))+SUMPRODUCT(--(LEFT($L$5:$L75,5)="Vence")),"")</f>
        <v/>
      </c>
    </row>
    <row r="76">
      <c r="A76" s="56">
        <f>IF($N76="","",INDEX('Cronograma Asistente Técnico'!$A$5:$A$1000,$N76))</f>
        <v/>
      </c>
      <c r="B76" s="62">
        <f>IF($N76="","",IF($O76="Sub","      ↳  "&amp;INDEX('Cronograma Asistente Técnico'!$C$5:$C$1000,$N76),INDEX('Cronograma Asistente Técnico'!$C$5:$C$1000,$N76)&amp;""))</f>
        <v/>
      </c>
      <c r="C76" s="79">
        <f>IF($N76="","",IF(INDEX('Cronograma Asistente Técnico'!$AR$5:$AR$1000,$N76)="","",INDEX('Cronograma Asistente Técnico'!$AR$5:$AR$1000,$N76)))</f>
        <v/>
      </c>
      <c r="D76" s="79">
        <f>IF($N76="","",IF(INDEX('Cronograma Asistente Técnico'!$AS$5:$AS$1000,$N76)="","",INDEX('Cronograma Asistente Técnico'!$AS$5:$AS$1000,$N76)))</f>
        <v/>
      </c>
      <c r="E76" s="56">
        <f>IF($N76="","",IF(NOT(ISNUMBER($D76)),"",IF($D76&lt;InicioCiclo,"Antes del ciclo",IF($D76&gt;=InicioCiclo+28,"Después del ciclo","Semana "&amp;(INT(($D76-InicioCiclo)/7)+1)))))</f>
        <v/>
      </c>
      <c r="F76" s="61">
        <f>IF($N76="","",IF($P76&gt;0,IF(1&lt;=SemanaActual,INDEX('Cronograma Asistente Técnico'!$AH$5:$AH$1000,$N76),""),IF(INDEX('Cronograma Asistente Técnico'!$I$5:$I$1000,$N76)="","",INDEX('Cronograma Asistente Técnico'!$I$5:$I$1000,$N76))))</f>
        <v/>
      </c>
      <c r="G76" s="61">
        <f>IF($N76="","",IF($P76&gt;0,IF(2&lt;=SemanaActual,INDEX('Cronograma Asistente Técnico'!$AI$5:$AI$1000,$N76),""),IF(INDEX('Cronograma Asistente Técnico'!$J$5:$J$1000,$N76)="","",INDEX('Cronograma Asistente Técnico'!$J$5:$J$1000,$N76))))</f>
        <v/>
      </c>
      <c r="H76" s="61">
        <f>IF($N76="","",IF($P76&gt;0,IF(3&lt;=SemanaActual,INDEX('Cronograma Asistente Técnico'!$AJ$5:$AJ$1000,$N76),""),IF(INDEX('Cronograma Asistente Técnico'!$K$5:$K$1000,$N76)="","",INDEX('Cronograma Asistente Técnico'!$K$5:$K$1000,$N76))))</f>
        <v/>
      </c>
      <c r="I76" s="61">
        <f>IF($N76="","",IF($P76&gt;0,IF(4&lt;=SemanaActual,INDEX('Cronograma Asistente Técnico'!$AK$5:$AK$1000,$N76),""),IF(INDEX('Cronograma Asistente Técnico'!$L$5:$L$1000,$N76)="","",INDEX('Cronograma Asistente Técnico'!$L$5:$L$1000,$N76))))</f>
        <v/>
      </c>
      <c r="J76" s="61">
        <f>IF($N76="","",INDEX('Cronograma Asistente Técnico'!$M$5:$M$1000,$N76))</f>
        <v/>
      </c>
      <c r="K76" s="56">
        <f>IF($N76="","",IF(N($J76)&gt;=1,"Completado",IF(AND(ISNUMBER($D76),$D76&lt;FechaRef),"Vencida",IF(N($J76)&gt;0,"En curso","Pendiente"))))</f>
        <v/>
      </c>
      <c r="L76" s="56">
        <f>IF($N76="","",INDEX('Cronograma Asistente Técnico'!$O$5:$O$1000,$N76)&amp;"")</f>
        <v/>
      </c>
      <c r="M76" s="62">
        <f>IF($N76="","",INDEX('Cronograma Asistente Técnico'!$Q$5:$Q$1000,$N76)&amp;"")</f>
        <v/>
      </c>
      <c r="N76">
        <f>IFERROR(MATCH(ROW()-4,rOrden_ATR,0),"")</f>
        <v/>
      </c>
      <c r="O76">
        <f>IF($N76="","",INDEX('Cronograma Asistente Técnico'!$V$5:$V$1000,$N76))</f>
        <v/>
      </c>
      <c r="P76">
        <f>IF($N76="","",N(INDEX('Cronograma Asistente Técnico'!$W$5:$W$1000,$N76)))</f>
        <v/>
      </c>
      <c r="Q76">
        <f>IF(OR(LEFT($L76,7)="Vencida",LEFT($L76,5)="Vence"),SUMPRODUCT(--(LEFT($L$5:$L76,7)="Vencida"))+SUMPRODUCT(--(LEFT($L$5:$L76,5)="Vence")),"")</f>
        <v/>
      </c>
    </row>
    <row r="77">
      <c r="A77" s="56">
        <f>IF($N77="","",INDEX('Cronograma Asistente Técnico'!$A$5:$A$1000,$N77))</f>
        <v/>
      </c>
      <c r="B77" s="62">
        <f>IF($N77="","",IF($O77="Sub","      ↳  "&amp;INDEX('Cronograma Asistente Técnico'!$C$5:$C$1000,$N77),INDEX('Cronograma Asistente Técnico'!$C$5:$C$1000,$N77)&amp;""))</f>
        <v/>
      </c>
      <c r="C77" s="79">
        <f>IF($N77="","",IF(INDEX('Cronograma Asistente Técnico'!$AR$5:$AR$1000,$N77)="","",INDEX('Cronograma Asistente Técnico'!$AR$5:$AR$1000,$N77)))</f>
        <v/>
      </c>
      <c r="D77" s="79">
        <f>IF($N77="","",IF(INDEX('Cronograma Asistente Técnico'!$AS$5:$AS$1000,$N77)="","",INDEX('Cronograma Asistente Técnico'!$AS$5:$AS$1000,$N77)))</f>
        <v/>
      </c>
      <c r="E77" s="56">
        <f>IF($N77="","",IF(NOT(ISNUMBER($D77)),"",IF($D77&lt;InicioCiclo,"Antes del ciclo",IF($D77&gt;=InicioCiclo+28,"Después del ciclo","Semana "&amp;(INT(($D77-InicioCiclo)/7)+1)))))</f>
        <v/>
      </c>
      <c r="F77" s="61">
        <f>IF($N77="","",IF($P77&gt;0,IF(1&lt;=SemanaActual,INDEX('Cronograma Asistente Técnico'!$AH$5:$AH$1000,$N77),""),IF(INDEX('Cronograma Asistente Técnico'!$I$5:$I$1000,$N77)="","",INDEX('Cronograma Asistente Técnico'!$I$5:$I$1000,$N77))))</f>
        <v/>
      </c>
      <c r="G77" s="61">
        <f>IF($N77="","",IF($P77&gt;0,IF(2&lt;=SemanaActual,INDEX('Cronograma Asistente Técnico'!$AI$5:$AI$1000,$N77),""),IF(INDEX('Cronograma Asistente Técnico'!$J$5:$J$1000,$N77)="","",INDEX('Cronograma Asistente Técnico'!$J$5:$J$1000,$N77))))</f>
        <v/>
      </c>
      <c r="H77" s="61">
        <f>IF($N77="","",IF($P77&gt;0,IF(3&lt;=SemanaActual,INDEX('Cronograma Asistente Técnico'!$AJ$5:$AJ$1000,$N77),""),IF(INDEX('Cronograma Asistente Técnico'!$K$5:$K$1000,$N77)="","",INDEX('Cronograma Asistente Técnico'!$K$5:$K$1000,$N77))))</f>
        <v/>
      </c>
      <c r="I77" s="61">
        <f>IF($N77="","",IF($P77&gt;0,IF(4&lt;=SemanaActual,INDEX('Cronograma Asistente Técnico'!$AK$5:$AK$1000,$N77),""),IF(INDEX('Cronograma Asistente Técnico'!$L$5:$L$1000,$N77)="","",INDEX('Cronograma Asistente Técnico'!$L$5:$L$1000,$N77))))</f>
        <v/>
      </c>
      <c r="J77" s="61">
        <f>IF($N77="","",INDEX('Cronograma Asistente Técnico'!$M$5:$M$1000,$N77))</f>
        <v/>
      </c>
      <c r="K77" s="56">
        <f>IF($N77="","",IF(N($J77)&gt;=1,"Completado",IF(AND(ISNUMBER($D77),$D77&lt;FechaRef),"Vencida",IF(N($J77)&gt;0,"En curso","Pendiente"))))</f>
        <v/>
      </c>
      <c r="L77" s="56">
        <f>IF($N77="","",INDEX('Cronograma Asistente Técnico'!$O$5:$O$1000,$N77)&amp;"")</f>
        <v/>
      </c>
      <c r="M77" s="62">
        <f>IF($N77="","",INDEX('Cronograma Asistente Técnico'!$Q$5:$Q$1000,$N77)&amp;"")</f>
        <v/>
      </c>
      <c r="N77">
        <f>IFERROR(MATCH(ROW()-4,rOrden_ATR,0),"")</f>
        <v/>
      </c>
      <c r="O77">
        <f>IF($N77="","",INDEX('Cronograma Asistente Técnico'!$V$5:$V$1000,$N77))</f>
        <v/>
      </c>
      <c r="P77">
        <f>IF($N77="","",N(INDEX('Cronograma Asistente Técnico'!$W$5:$W$1000,$N77)))</f>
        <v/>
      </c>
      <c r="Q77">
        <f>IF(OR(LEFT($L77,7)="Vencida",LEFT($L77,5)="Vence"),SUMPRODUCT(--(LEFT($L$5:$L77,7)="Vencida"))+SUMPRODUCT(--(LEFT($L$5:$L77,5)="Vence")),"")</f>
        <v/>
      </c>
    </row>
    <row r="78">
      <c r="A78" s="56">
        <f>IF($N78="","",INDEX('Cronograma Asistente Técnico'!$A$5:$A$1000,$N78))</f>
        <v/>
      </c>
      <c r="B78" s="62">
        <f>IF($N78="","",IF($O78="Sub","      ↳  "&amp;INDEX('Cronograma Asistente Técnico'!$C$5:$C$1000,$N78),INDEX('Cronograma Asistente Técnico'!$C$5:$C$1000,$N78)&amp;""))</f>
        <v/>
      </c>
      <c r="C78" s="79">
        <f>IF($N78="","",IF(INDEX('Cronograma Asistente Técnico'!$AR$5:$AR$1000,$N78)="","",INDEX('Cronograma Asistente Técnico'!$AR$5:$AR$1000,$N78)))</f>
        <v/>
      </c>
      <c r="D78" s="79">
        <f>IF($N78="","",IF(INDEX('Cronograma Asistente Técnico'!$AS$5:$AS$1000,$N78)="","",INDEX('Cronograma Asistente Técnico'!$AS$5:$AS$1000,$N78)))</f>
        <v/>
      </c>
      <c r="E78" s="56">
        <f>IF($N78="","",IF(NOT(ISNUMBER($D78)),"",IF($D78&lt;InicioCiclo,"Antes del ciclo",IF($D78&gt;=InicioCiclo+28,"Después del ciclo","Semana "&amp;(INT(($D78-InicioCiclo)/7)+1)))))</f>
        <v/>
      </c>
      <c r="F78" s="61">
        <f>IF($N78="","",IF($P78&gt;0,IF(1&lt;=SemanaActual,INDEX('Cronograma Asistente Técnico'!$AH$5:$AH$1000,$N78),""),IF(INDEX('Cronograma Asistente Técnico'!$I$5:$I$1000,$N78)="","",INDEX('Cronograma Asistente Técnico'!$I$5:$I$1000,$N78))))</f>
        <v/>
      </c>
      <c r="G78" s="61">
        <f>IF($N78="","",IF($P78&gt;0,IF(2&lt;=SemanaActual,INDEX('Cronograma Asistente Técnico'!$AI$5:$AI$1000,$N78),""),IF(INDEX('Cronograma Asistente Técnico'!$J$5:$J$1000,$N78)="","",INDEX('Cronograma Asistente Técnico'!$J$5:$J$1000,$N78))))</f>
        <v/>
      </c>
      <c r="H78" s="61">
        <f>IF($N78="","",IF($P78&gt;0,IF(3&lt;=SemanaActual,INDEX('Cronograma Asistente Técnico'!$AJ$5:$AJ$1000,$N78),""),IF(INDEX('Cronograma Asistente Técnico'!$K$5:$K$1000,$N78)="","",INDEX('Cronograma Asistente Técnico'!$K$5:$K$1000,$N78))))</f>
        <v/>
      </c>
      <c r="I78" s="61">
        <f>IF($N78="","",IF($P78&gt;0,IF(4&lt;=SemanaActual,INDEX('Cronograma Asistente Técnico'!$AK$5:$AK$1000,$N78),""),IF(INDEX('Cronograma Asistente Técnico'!$L$5:$L$1000,$N78)="","",INDEX('Cronograma Asistente Técnico'!$L$5:$L$1000,$N78))))</f>
        <v/>
      </c>
      <c r="J78" s="61">
        <f>IF($N78="","",INDEX('Cronograma Asistente Técnico'!$M$5:$M$1000,$N78))</f>
        <v/>
      </c>
      <c r="K78" s="56">
        <f>IF($N78="","",IF(N($J78)&gt;=1,"Completado",IF(AND(ISNUMBER($D78),$D78&lt;FechaRef),"Vencida",IF(N($J78)&gt;0,"En curso","Pendiente"))))</f>
        <v/>
      </c>
      <c r="L78" s="56">
        <f>IF($N78="","",INDEX('Cronograma Asistente Técnico'!$O$5:$O$1000,$N78)&amp;"")</f>
        <v/>
      </c>
      <c r="M78" s="62">
        <f>IF($N78="","",INDEX('Cronograma Asistente Técnico'!$Q$5:$Q$1000,$N78)&amp;"")</f>
        <v/>
      </c>
      <c r="N78">
        <f>IFERROR(MATCH(ROW()-4,rOrden_ATR,0),"")</f>
        <v/>
      </c>
      <c r="O78">
        <f>IF($N78="","",INDEX('Cronograma Asistente Técnico'!$V$5:$V$1000,$N78))</f>
        <v/>
      </c>
      <c r="P78">
        <f>IF($N78="","",N(INDEX('Cronograma Asistente Técnico'!$W$5:$W$1000,$N78)))</f>
        <v/>
      </c>
      <c r="Q78">
        <f>IF(OR(LEFT($L78,7)="Vencida",LEFT($L78,5)="Vence"),SUMPRODUCT(--(LEFT($L$5:$L78,7)="Vencida"))+SUMPRODUCT(--(LEFT($L$5:$L78,5)="Vence")),"")</f>
        <v/>
      </c>
    </row>
    <row r="79">
      <c r="A79" s="56">
        <f>IF($N79="","",INDEX('Cronograma Asistente Técnico'!$A$5:$A$1000,$N79))</f>
        <v/>
      </c>
      <c r="B79" s="62">
        <f>IF($N79="","",IF($O79="Sub","      ↳  "&amp;INDEX('Cronograma Asistente Técnico'!$C$5:$C$1000,$N79),INDEX('Cronograma Asistente Técnico'!$C$5:$C$1000,$N79)&amp;""))</f>
        <v/>
      </c>
      <c r="C79" s="79">
        <f>IF($N79="","",IF(INDEX('Cronograma Asistente Técnico'!$AR$5:$AR$1000,$N79)="","",INDEX('Cronograma Asistente Técnico'!$AR$5:$AR$1000,$N79)))</f>
        <v/>
      </c>
      <c r="D79" s="79">
        <f>IF($N79="","",IF(INDEX('Cronograma Asistente Técnico'!$AS$5:$AS$1000,$N79)="","",INDEX('Cronograma Asistente Técnico'!$AS$5:$AS$1000,$N79)))</f>
        <v/>
      </c>
      <c r="E79" s="56">
        <f>IF($N79="","",IF(NOT(ISNUMBER($D79)),"",IF($D79&lt;InicioCiclo,"Antes del ciclo",IF($D79&gt;=InicioCiclo+28,"Después del ciclo","Semana "&amp;(INT(($D79-InicioCiclo)/7)+1)))))</f>
        <v/>
      </c>
      <c r="F79" s="61">
        <f>IF($N79="","",IF($P79&gt;0,IF(1&lt;=SemanaActual,INDEX('Cronograma Asistente Técnico'!$AH$5:$AH$1000,$N79),""),IF(INDEX('Cronograma Asistente Técnico'!$I$5:$I$1000,$N79)="","",INDEX('Cronograma Asistente Técnico'!$I$5:$I$1000,$N79))))</f>
        <v/>
      </c>
      <c r="G79" s="61">
        <f>IF($N79="","",IF($P79&gt;0,IF(2&lt;=SemanaActual,INDEX('Cronograma Asistente Técnico'!$AI$5:$AI$1000,$N79),""),IF(INDEX('Cronograma Asistente Técnico'!$J$5:$J$1000,$N79)="","",INDEX('Cronograma Asistente Técnico'!$J$5:$J$1000,$N79))))</f>
        <v/>
      </c>
      <c r="H79" s="61">
        <f>IF($N79="","",IF($P79&gt;0,IF(3&lt;=SemanaActual,INDEX('Cronograma Asistente Técnico'!$AJ$5:$AJ$1000,$N79),""),IF(INDEX('Cronograma Asistente Técnico'!$K$5:$K$1000,$N79)="","",INDEX('Cronograma Asistente Técnico'!$K$5:$K$1000,$N79))))</f>
        <v/>
      </c>
      <c r="I79" s="61">
        <f>IF($N79="","",IF($P79&gt;0,IF(4&lt;=SemanaActual,INDEX('Cronograma Asistente Técnico'!$AK$5:$AK$1000,$N79),""),IF(INDEX('Cronograma Asistente Técnico'!$L$5:$L$1000,$N79)="","",INDEX('Cronograma Asistente Técnico'!$L$5:$L$1000,$N79))))</f>
        <v/>
      </c>
      <c r="J79" s="61">
        <f>IF($N79="","",INDEX('Cronograma Asistente Técnico'!$M$5:$M$1000,$N79))</f>
        <v/>
      </c>
      <c r="K79" s="56">
        <f>IF($N79="","",IF(N($J79)&gt;=1,"Completado",IF(AND(ISNUMBER($D79),$D79&lt;FechaRef),"Vencida",IF(N($J79)&gt;0,"En curso","Pendiente"))))</f>
        <v/>
      </c>
      <c r="L79" s="56">
        <f>IF($N79="","",INDEX('Cronograma Asistente Técnico'!$O$5:$O$1000,$N79)&amp;"")</f>
        <v/>
      </c>
      <c r="M79" s="62">
        <f>IF($N79="","",INDEX('Cronograma Asistente Técnico'!$Q$5:$Q$1000,$N79)&amp;"")</f>
        <v/>
      </c>
      <c r="N79">
        <f>IFERROR(MATCH(ROW()-4,rOrden_ATR,0),"")</f>
        <v/>
      </c>
      <c r="O79">
        <f>IF($N79="","",INDEX('Cronograma Asistente Técnico'!$V$5:$V$1000,$N79))</f>
        <v/>
      </c>
      <c r="P79">
        <f>IF($N79="","",N(INDEX('Cronograma Asistente Técnico'!$W$5:$W$1000,$N79)))</f>
        <v/>
      </c>
      <c r="Q79">
        <f>IF(OR(LEFT($L79,7)="Vencida",LEFT($L79,5)="Vence"),SUMPRODUCT(--(LEFT($L$5:$L79,7)="Vencida"))+SUMPRODUCT(--(LEFT($L$5:$L79,5)="Vence")),"")</f>
        <v/>
      </c>
    </row>
    <row r="80">
      <c r="A80" s="56">
        <f>IF($N80="","",INDEX('Cronograma Asistente Técnico'!$A$5:$A$1000,$N80))</f>
        <v/>
      </c>
      <c r="B80" s="62">
        <f>IF($N80="","",IF($O80="Sub","      ↳  "&amp;INDEX('Cronograma Asistente Técnico'!$C$5:$C$1000,$N80),INDEX('Cronograma Asistente Técnico'!$C$5:$C$1000,$N80)&amp;""))</f>
        <v/>
      </c>
      <c r="C80" s="79">
        <f>IF($N80="","",IF(INDEX('Cronograma Asistente Técnico'!$AR$5:$AR$1000,$N80)="","",INDEX('Cronograma Asistente Técnico'!$AR$5:$AR$1000,$N80)))</f>
        <v/>
      </c>
      <c r="D80" s="79">
        <f>IF($N80="","",IF(INDEX('Cronograma Asistente Técnico'!$AS$5:$AS$1000,$N80)="","",INDEX('Cronograma Asistente Técnico'!$AS$5:$AS$1000,$N80)))</f>
        <v/>
      </c>
      <c r="E80" s="56">
        <f>IF($N80="","",IF(NOT(ISNUMBER($D80)),"",IF($D80&lt;InicioCiclo,"Antes del ciclo",IF($D80&gt;=InicioCiclo+28,"Después del ciclo","Semana "&amp;(INT(($D80-InicioCiclo)/7)+1)))))</f>
        <v/>
      </c>
      <c r="F80" s="61">
        <f>IF($N80="","",IF($P80&gt;0,IF(1&lt;=SemanaActual,INDEX('Cronograma Asistente Técnico'!$AH$5:$AH$1000,$N80),""),IF(INDEX('Cronograma Asistente Técnico'!$I$5:$I$1000,$N80)="","",INDEX('Cronograma Asistente Técnico'!$I$5:$I$1000,$N80))))</f>
        <v/>
      </c>
      <c r="G80" s="61">
        <f>IF($N80="","",IF($P80&gt;0,IF(2&lt;=SemanaActual,INDEX('Cronograma Asistente Técnico'!$AI$5:$AI$1000,$N80),""),IF(INDEX('Cronograma Asistente Técnico'!$J$5:$J$1000,$N80)="","",INDEX('Cronograma Asistente Técnico'!$J$5:$J$1000,$N80))))</f>
        <v/>
      </c>
      <c r="H80" s="61">
        <f>IF($N80="","",IF($P80&gt;0,IF(3&lt;=SemanaActual,INDEX('Cronograma Asistente Técnico'!$AJ$5:$AJ$1000,$N80),""),IF(INDEX('Cronograma Asistente Técnico'!$K$5:$K$1000,$N80)="","",INDEX('Cronograma Asistente Técnico'!$K$5:$K$1000,$N80))))</f>
        <v/>
      </c>
      <c r="I80" s="61">
        <f>IF($N80="","",IF($P80&gt;0,IF(4&lt;=SemanaActual,INDEX('Cronograma Asistente Técnico'!$AK$5:$AK$1000,$N80),""),IF(INDEX('Cronograma Asistente Técnico'!$L$5:$L$1000,$N80)="","",INDEX('Cronograma Asistente Técnico'!$L$5:$L$1000,$N80))))</f>
        <v/>
      </c>
      <c r="J80" s="61">
        <f>IF($N80="","",INDEX('Cronograma Asistente Técnico'!$M$5:$M$1000,$N80))</f>
        <v/>
      </c>
      <c r="K80" s="56">
        <f>IF($N80="","",IF(N($J80)&gt;=1,"Completado",IF(AND(ISNUMBER($D80),$D80&lt;FechaRef),"Vencida",IF(N($J80)&gt;0,"En curso","Pendiente"))))</f>
        <v/>
      </c>
      <c r="L80" s="56">
        <f>IF($N80="","",INDEX('Cronograma Asistente Técnico'!$O$5:$O$1000,$N80)&amp;"")</f>
        <v/>
      </c>
      <c r="M80" s="62">
        <f>IF($N80="","",INDEX('Cronograma Asistente Técnico'!$Q$5:$Q$1000,$N80)&amp;"")</f>
        <v/>
      </c>
      <c r="N80">
        <f>IFERROR(MATCH(ROW()-4,rOrden_ATR,0),"")</f>
        <v/>
      </c>
      <c r="O80">
        <f>IF($N80="","",INDEX('Cronograma Asistente Técnico'!$V$5:$V$1000,$N80))</f>
        <v/>
      </c>
      <c r="P80">
        <f>IF($N80="","",N(INDEX('Cronograma Asistente Técnico'!$W$5:$W$1000,$N80)))</f>
        <v/>
      </c>
      <c r="Q80">
        <f>IF(OR(LEFT($L80,7)="Vencida",LEFT($L80,5)="Vence"),SUMPRODUCT(--(LEFT($L$5:$L80,7)="Vencida"))+SUMPRODUCT(--(LEFT($L$5:$L80,5)="Vence")),"")</f>
        <v/>
      </c>
    </row>
    <row r="81">
      <c r="A81" s="56">
        <f>IF($N81="","",INDEX('Cronograma Asistente Técnico'!$A$5:$A$1000,$N81))</f>
        <v/>
      </c>
      <c r="B81" s="62">
        <f>IF($N81="","",IF($O81="Sub","      ↳  "&amp;INDEX('Cronograma Asistente Técnico'!$C$5:$C$1000,$N81),INDEX('Cronograma Asistente Técnico'!$C$5:$C$1000,$N81)&amp;""))</f>
        <v/>
      </c>
      <c r="C81" s="79">
        <f>IF($N81="","",IF(INDEX('Cronograma Asistente Técnico'!$AR$5:$AR$1000,$N81)="","",INDEX('Cronograma Asistente Técnico'!$AR$5:$AR$1000,$N81)))</f>
        <v/>
      </c>
      <c r="D81" s="79">
        <f>IF($N81="","",IF(INDEX('Cronograma Asistente Técnico'!$AS$5:$AS$1000,$N81)="","",INDEX('Cronograma Asistente Técnico'!$AS$5:$AS$1000,$N81)))</f>
        <v/>
      </c>
      <c r="E81" s="56">
        <f>IF($N81="","",IF(NOT(ISNUMBER($D81)),"",IF($D81&lt;InicioCiclo,"Antes del ciclo",IF($D81&gt;=InicioCiclo+28,"Después del ciclo","Semana "&amp;(INT(($D81-InicioCiclo)/7)+1)))))</f>
        <v/>
      </c>
      <c r="F81" s="61">
        <f>IF($N81="","",IF($P81&gt;0,IF(1&lt;=SemanaActual,INDEX('Cronograma Asistente Técnico'!$AH$5:$AH$1000,$N81),""),IF(INDEX('Cronograma Asistente Técnico'!$I$5:$I$1000,$N81)="","",INDEX('Cronograma Asistente Técnico'!$I$5:$I$1000,$N81))))</f>
        <v/>
      </c>
      <c r="G81" s="61">
        <f>IF($N81="","",IF($P81&gt;0,IF(2&lt;=SemanaActual,INDEX('Cronograma Asistente Técnico'!$AI$5:$AI$1000,$N81),""),IF(INDEX('Cronograma Asistente Técnico'!$J$5:$J$1000,$N81)="","",INDEX('Cronograma Asistente Técnico'!$J$5:$J$1000,$N81))))</f>
        <v/>
      </c>
      <c r="H81" s="61">
        <f>IF($N81="","",IF($P81&gt;0,IF(3&lt;=SemanaActual,INDEX('Cronograma Asistente Técnico'!$AJ$5:$AJ$1000,$N81),""),IF(INDEX('Cronograma Asistente Técnico'!$K$5:$K$1000,$N81)="","",INDEX('Cronograma Asistente Técnico'!$K$5:$K$1000,$N81))))</f>
        <v/>
      </c>
      <c r="I81" s="61">
        <f>IF($N81="","",IF($P81&gt;0,IF(4&lt;=SemanaActual,INDEX('Cronograma Asistente Técnico'!$AK$5:$AK$1000,$N81),""),IF(INDEX('Cronograma Asistente Técnico'!$L$5:$L$1000,$N81)="","",INDEX('Cronograma Asistente Técnico'!$L$5:$L$1000,$N81))))</f>
        <v/>
      </c>
      <c r="J81" s="61">
        <f>IF($N81="","",INDEX('Cronograma Asistente Técnico'!$M$5:$M$1000,$N81))</f>
        <v/>
      </c>
      <c r="K81" s="56">
        <f>IF($N81="","",IF(N($J81)&gt;=1,"Completado",IF(AND(ISNUMBER($D81),$D81&lt;FechaRef),"Vencida",IF(N($J81)&gt;0,"En curso","Pendiente"))))</f>
        <v/>
      </c>
      <c r="L81" s="56">
        <f>IF($N81="","",INDEX('Cronograma Asistente Técnico'!$O$5:$O$1000,$N81)&amp;"")</f>
        <v/>
      </c>
      <c r="M81" s="62">
        <f>IF($N81="","",INDEX('Cronograma Asistente Técnico'!$Q$5:$Q$1000,$N81)&amp;"")</f>
        <v/>
      </c>
      <c r="N81">
        <f>IFERROR(MATCH(ROW()-4,rOrden_ATR,0),"")</f>
        <v/>
      </c>
      <c r="O81">
        <f>IF($N81="","",INDEX('Cronograma Asistente Técnico'!$V$5:$V$1000,$N81))</f>
        <v/>
      </c>
      <c r="P81">
        <f>IF($N81="","",N(INDEX('Cronograma Asistente Técnico'!$W$5:$W$1000,$N81)))</f>
        <v/>
      </c>
      <c r="Q81">
        <f>IF(OR(LEFT($L81,7)="Vencida",LEFT($L81,5)="Vence"),SUMPRODUCT(--(LEFT($L$5:$L81,7)="Vencida"))+SUMPRODUCT(--(LEFT($L$5:$L81,5)="Vence")),"")</f>
        <v/>
      </c>
    </row>
    <row r="82">
      <c r="A82" s="56">
        <f>IF($N82="","",INDEX('Cronograma Asistente Técnico'!$A$5:$A$1000,$N82))</f>
        <v/>
      </c>
      <c r="B82" s="62">
        <f>IF($N82="","",IF($O82="Sub","      ↳  "&amp;INDEX('Cronograma Asistente Técnico'!$C$5:$C$1000,$N82),INDEX('Cronograma Asistente Técnico'!$C$5:$C$1000,$N82)&amp;""))</f>
        <v/>
      </c>
      <c r="C82" s="79">
        <f>IF($N82="","",IF(INDEX('Cronograma Asistente Técnico'!$AR$5:$AR$1000,$N82)="","",INDEX('Cronograma Asistente Técnico'!$AR$5:$AR$1000,$N82)))</f>
        <v/>
      </c>
      <c r="D82" s="79">
        <f>IF($N82="","",IF(INDEX('Cronograma Asistente Técnico'!$AS$5:$AS$1000,$N82)="","",INDEX('Cronograma Asistente Técnico'!$AS$5:$AS$1000,$N82)))</f>
        <v/>
      </c>
      <c r="E82" s="56">
        <f>IF($N82="","",IF(NOT(ISNUMBER($D82)),"",IF($D82&lt;InicioCiclo,"Antes del ciclo",IF($D82&gt;=InicioCiclo+28,"Después del ciclo","Semana "&amp;(INT(($D82-InicioCiclo)/7)+1)))))</f>
        <v/>
      </c>
      <c r="F82" s="61">
        <f>IF($N82="","",IF($P82&gt;0,IF(1&lt;=SemanaActual,INDEX('Cronograma Asistente Técnico'!$AH$5:$AH$1000,$N82),""),IF(INDEX('Cronograma Asistente Técnico'!$I$5:$I$1000,$N82)="","",INDEX('Cronograma Asistente Técnico'!$I$5:$I$1000,$N82))))</f>
        <v/>
      </c>
      <c r="G82" s="61">
        <f>IF($N82="","",IF($P82&gt;0,IF(2&lt;=SemanaActual,INDEX('Cronograma Asistente Técnico'!$AI$5:$AI$1000,$N82),""),IF(INDEX('Cronograma Asistente Técnico'!$J$5:$J$1000,$N82)="","",INDEX('Cronograma Asistente Técnico'!$J$5:$J$1000,$N82))))</f>
        <v/>
      </c>
      <c r="H82" s="61">
        <f>IF($N82="","",IF($P82&gt;0,IF(3&lt;=SemanaActual,INDEX('Cronograma Asistente Técnico'!$AJ$5:$AJ$1000,$N82),""),IF(INDEX('Cronograma Asistente Técnico'!$K$5:$K$1000,$N82)="","",INDEX('Cronograma Asistente Técnico'!$K$5:$K$1000,$N82))))</f>
        <v/>
      </c>
      <c r="I82" s="61">
        <f>IF($N82="","",IF($P82&gt;0,IF(4&lt;=SemanaActual,INDEX('Cronograma Asistente Técnico'!$AK$5:$AK$1000,$N82),""),IF(INDEX('Cronograma Asistente Técnico'!$L$5:$L$1000,$N82)="","",INDEX('Cronograma Asistente Técnico'!$L$5:$L$1000,$N82))))</f>
        <v/>
      </c>
      <c r="J82" s="61">
        <f>IF($N82="","",INDEX('Cronograma Asistente Técnico'!$M$5:$M$1000,$N82))</f>
        <v/>
      </c>
      <c r="K82" s="56">
        <f>IF($N82="","",IF(N($J82)&gt;=1,"Completado",IF(AND(ISNUMBER($D82),$D82&lt;FechaRef),"Vencida",IF(N($J82)&gt;0,"En curso","Pendiente"))))</f>
        <v/>
      </c>
      <c r="L82" s="56">
        <f>IF($N82="","",INDEX('Cronograma Asistente Técnico'!$O$5:$O$1000,$N82)&amp;"")</f>
        <v/>
      </c>
      <c r="M82" s="62">
        <f>IF($N82="","",INDEX('Cronograma Asistente Técnico'!$Q$5:$Q$1000,$N82)&amp;"")</f>
        <v/>
      </c>
      <c r="N82">
        <f>IFERROR(MATCH(ROW()-4,rOrden_ATR,0),"")</f>
        <v/>
      </c>
      <c r="O82">
        <f>IF($N82="","",INDEX('Cronograma Asistente Técnico'!$V$5:$V$1000,$N82))</f>
        <v/>
      </c>
      <c r="P82">
        <f>IF($N82="","",N(INDEX('Cronograma Asistente Técnico'!$W$5:$W$1000,$N82)))</f>
        <v/>
      </c>
      <c r="Q82">
        <f>IF(OR(LEFT($L82,7)="Vencida",LEFT($L82,5)="Vence"),SUMPRODUCT(--(LEFT($L$5:$L82,7)="Vencida"))+SUMPRODUCT(--(LEFT($L$5:$L82,5)="Vence")),"")</f>
        <v/>
      </c>
    </row>
    <row r="83">
      <c r="A83" s="56">
        <f>IF($N83="","",INDEX('Cronograma Asistente Técnico'!$A$5:$A$1000,$N83))</f>
        <v/>
      </c>
      <c r="B83" s="62">
        <f>IF($N83="","",IF($O83="Sub","      ↳  "&amp;INDEX('Cronograma Asistente Técnico'!$C$5:$C$1000,$N83),INDEX('Cronograma Asistente Técnico'!$C$5:$C$1000,$N83)&amp;""))</f>
        <v/>
      </c>
      <c r="C83" s="79">
        <f>IF($N83="","",IF(INDEX('Cronograma Asistente Técnico'!$AR$5:$AR$1000,$N83)="","",INDEX('Cronograma Asistente Técnico'!$AR$5:$AR$1000,$N83)))</f>
        <v/>
      </c>
      <c r="D83" s="79">
        <f>IF($N83="","",IF(INDEX('Cronograma Asistente Técnico'!$AS$5:$AS$1000,$N83)="","",INDEX('Cronograma Asistente Técnico'!$AS$5:$AS$1000,$N83)))</f>
        <v/>
      </c>
      <c r="E83" s="56">
        <f>IF($N83="","",IF(NOT(ISNUMBER($D83)),"",IF($D83&lt;InicioCiclo,"Antes del ciclo",IF($D83&gt;=InicioCiclo+28,"Después del ciclo","Semana "&amp;(INT(($D83-InicioCiclo)/7)+1)))))</f>
        <v/>
      </c>
      <c r="F83" s="61">
        <f>IF($N83="","",IF($P83&gt;0,IF(1&lt;=SemanaActual,INDEX('Cronograma Asistente Técnico'!$AH$5:$AH$1000,$N83),""),IF(INDEX('Cronograma Asistente Técnico'!$I$5:$I$1000,$N83)="","",INDEX('Cronograma Asistente Técnico'!$I$5:$I$1000,$N83))))</f>
        <v/>
      </c>
      <c r="G83" s="61">
        <f>IF($N83="","",IF($P83&gt;0,IF(2&lt;=SemanaActual,INDEX('Cronograma Asistente Técnico'!$AI$5:$AI$1000,$N83),""),IF(INDEX('Cronograma Asistente Técnico'!$J$5:$J$1000,$N83)="","",INDEX('Cronograma Asistente Técnico'!$J$5:$J$1000,$N83))))</f>
        <v/>
      </c>
      <c r="H83" s="61">
        <f>IF($N83="","",IF($P83&gt;0,IF(3&lt;=SemanaActual,INDEX('Cronograma Asistente Técnico'!$AJ$5:$AJ$1000,$N83),""),IF(INDEX('Cronograma Asistente Técnico'!$K$5:$K$1000,$N83)="","",INDEX('Cronograma Asistente Técnico'!$K$5:$K$1000,$N83))))</f>
        <v/>
      </c>
      <c r="I83" s="61">
        <f>IF($N83="","",IF($P83&gt;0,IF(4&lt;=SemanaActual,INDEX('Cronograma Asistente Técnico'!$AK$5:$AK$1000,$N83),""),IF(INDEX('Cronograma Asistente Técnico'!$L$5:$L$1000,$N83)="","",INDEX('Cronograma Asistente Técnico'!$L$5:$L$1000,$N83))))</f>
        <v/>
      </c>
      <c r="J83" s="61">
        <f>IF($N83="","",INDEX('Cronograma Asistente Técnico'!$M$5:$M$1000,$N83))</f>
        <v/>
      </c>
      <c r="K83" s="56">
        <f>IF($N83="","",IF(N($J83)&gt;=1,"Completado",IF(AND(ISNUMBER($D83),$D83&lt;FechaRef),"Vencida",IF(N($J83)&gt;0,"En curso","Pendiente"))))</f>
        <v/>
      </c>
      <c r="L83" s="56">
        <f>IF($N83="","",INDEX('Cronograma Asistente Técnico'!$O$5:$O$1000,$N83)&amp;"")</f>
        <v/>
      </c>
      <c r="M83" s="62">
        <f>IF($N83="","",INDEX('Cronograma Asistente Técnico'!$Q$5:$Q$1000,$N83)&amp;"")</f>
        <v/>
      </c>
      <c r="N83">
        <f>IFERROR(MATCH(ROW()-4,rOrden_ATR,0),"")</f>
        <v/>
      </c>
      <c r="O83">
        <f>IF($N83="","",INDEX('Cronograma Asistente Técnico'!$V$5:$V$1000,$N83))</f>
        <v/>
      </c>
      <c r="P83">
        <f>IF($N83="","",N(INDEX('Cronograma Asistente Técnico'!$W$5:$W$1000,$N83)))</f>
        <v/>
      </c>
      <c r="Q83">
        <f>IF(OR(LEFT($L83,7)="Vencida",LEFT($L83,5)="Vence"),SUMPRODUCT(--(LEFT($L$5:$L83,7)="Vencida"))+SUMPRODUCT(--(LEFT($L$5:$L83,5)="Vence")),"")</f>
        <v/>
      </c>
    </row>
    <row r="84">
      <c r="A84" s="56">
        <f>IF($N84="","",INDEX('Cronograma Asistente Técnico'!$A$5:$A$1000,$N84))</f>
        <v/>
      </c>
      <c r="B84" s="62">
        <f>IF($N84="","",IF($O84="Sub","      ↳  "&amp;INDEX('Cronograma Asistente Técnico'!$C$5:$C$1000,$N84),INDEX('Cronograma Asistente Técnico'!$C$5:$C$1000,$N84)&amp;""))</f>
        <v/>
      </c>
      <c r="C84" s="79">
        <f>IF($N84="","",IF(INDEX('Cronograma Asistente Técnico'!$AR$5:$AR$1000,$N84)="","",INDEX('Cronograma Asistente Técnico'!$AR$5:$AR$1000,$N84)))</f>
        <v/>
      </c>
      <c r="D84" s="79">
        <f>IF($N84="","",IF(INDEX('Cronograma Asistente Técnico'!$AS$5:$AS$1000,$N84)="","",INDEX('Cronograma Asistente Técnico'!$AS$5:$AS$1000,$N84)))</f>
        <v/>
      </c>
      <c r="E84" s="56">
        <f>IF($N84="","",IF(NOT(ISNUMBER($D84)),"",IF($D84&lt;InicioCiclo,"Antes del ciclo",IF($D84&gt;=InicioCiclo+28,"Después del ciclo","Semana "&amp;(INT(($D84-InicioCiclo)/7)+1)))))</f>
        <v/>
      </c>
      <c r="F84" s="61">
        <f>IF($N84="","",IF($P84&gt;0,IF(1&lt;=SemanaActual,INDEX('Cronograma Asistente Técnico'!$AH$5:$AH$1000,$N84),""),IF(INDEX('Cronograma Asistente Técnico'!$I$5:$I$1000,$N84)="","",INDEX('Cronograma Asistente Técnico'!$I$5:$I$1000,$N84))))</f>
        <v/>
      </c>
      <c r="G84" s="61">
        <f>IF($N84="","",IF($P84&gt;0,IF(2&lt;=SemanaActual,INDEX('Cronograma Asistente Técnico'!$AI$5:$AI$1000,$N84),""),IF(INDEX('Cronograma Asistente Técnico'!$J$5:$J$1000,$N84)="","",INDEX('Cronograma Asistente Técnico'!$J$5:$J$1000,$N84))))</f>
        <v/>
      </c>
      <c r="H84" s="61">
        <f>IF($N84="","",IF($P84&gt;0,IF(3&lt;=SemanaActual,INDEX('Cronograma Asistente Técnico'!$AJ$5:$AJ$1000,$N84),""),IF(INDEX('Cronograma Asistente Técnico'!$K$5:$K$1000,$N84)="","",INDEX('Cronograma Asistente Técnico'!$K$5:$K$1000,$N84))))</f>
        <v/>
      </c>
      <c r="I84" s="61">
        <f>IF($N84="","",IF($P84&gt;0,IF(4&lt;=SemanaActual,INDEX('Cronograma Asistente Técnico'!$AK$5:$AK$1000,$N84),""),IF(INDEX('Cronograma Asistente Técnico'!$L$5:$L$1000,$N84)="","",INDEX('Cronograma Asistente Técnico'!$L$5:$L$1000,$N84))))</f>
        <v/>
      </c>
      <c r="J84" s="61">
        <f>IF($N84="","",INDEX('Cronograma Asistente Técnico'!$M$5:$M$1000,$N84))</f>
        <v/>
      </c>
      <c r="K84" s="56">
        <f>IF($N84="","",IF(N($J84)&gt;=1,"Completado",IF(AND(ISNUMBER($D84),$D84&lt;FechaRef),"Vencida",IF(N($J84)&gt;0,"En curso","Pendiente"))))</f>
        <v/>
      </c>
      <c r="L84" s="56">
        <f>IF($N84="","",INDEX('Cronograma Asistente Técnico'!$O$5:$O$1000,$N84)&amp;"")</f>
        <v/>
      </c>
      <c r="M84" s="62">
        <f>IF($N84="","",INDEX('Cronograma Asistente Técnico'!$Q$5:$Q$1000,$N84)&amp;"")</f>
        <v/>
      </c>
      <c r="N84">
        <f>IFERROR(MATCH(ROW()-4,rOrden_ATR,0),"")</f>
        <v/>
      </c>
      <c r="O84">
        <f>IF($N84="","",INDEX('Cronograma Asistente Técnico'!$V$5:$V$1000,$N84))</f>
        <v/>
      </c>
      <c r="P84">
        <f>IF($N84="","",N(INDEX('Cronograma Asistente Técnico'!$W$5:$W$1000,$N84)))</f>
        <v/>
      </c>
      <c r="Q84">
        <f>IF(OR(LEFT($L84,7)="Vencida",LEFT($L84,5)="Vence"),SUMPRODUCT(--(LEFT($L$5:$L84,7)="Vencida"))+SUMPRODUCT(--(LEFT($L$5:$L84,5)="Vence")),"")</f>
        <v/>
      </c>
    </row>
    <row r="85">
      <c r="A85" s="56">
        <f>IF($N85="","",INDEX('Cronograma Asistente Técnico'!$A$5:$A$1000,$N85))</f>
        <v/>
      </c>
      <c r="B85" s="62">
        <f>IF($N85="","",IF($O85="Sub","      ↳  "&amp;INDEX('Cronograma Asistente Técnico'!$C$5:$C$1000,$N85),INDEX('Cronograma Asistente Técnico'!$C$5:$C$1000,$N85)&amp;""))</f>
        <v/>
      </c>
      <c r="C85" s="79">
        <f>IF($N85="","",IF(INDEX('Cronograma Asistente Técnico'!$AR$5:$AR$1000,$N85)="","",INDEX('Cronograma Asistente Técnico'!$AR$5:$AR$1000,$N85)))</f>
        <v/>
      </c>
      <c r="D85" s="79">
        <f>IF($N85="","",IF(INDEX('Cronograma Asistente Técnico'!$AS$5:$AS$1000,$N85)="","",INDEX('Cronograma Asistente Técnico'!$AS$5:$AS$1000,$N85)))</f>
        <v/>
      </c>
      <c r="E85" s="56">
        <f>IF($N85="","",IF(NOT(ISNUMBER($D85)),"",IF($D85&lt;InicioCiclo,"Antes del ciclo",IF($D85&gt;=InicioCiclo+28,"Después del ciclo","Semana "&amp;(INT(($D85-InicioCiclo)/7)+1)))))</f>
        <v/>
      </c>
      <c r="F85" s="61">
        <f>IF($N85="","",IF($P85&gt;0,IF(1&lt;=SemanaActual,INDEX('Cronograma Asistente Técnico'!$AH$5:$AH$1000,$N85),""),IF(INDEX('Cronograma Asistente Técnico'!$I$5:$I$1000,$N85)="","",INDEX('Cronograma Asistente Técnico'!$I$5:$I$1000,$N85))))</f>
        <v/>
      </c>
      <c r="G85" s="61">
        <f>IF($N85="","",IF($P85&gt;0,IF(2&lt;=SemanaActual,INDEX('Cronograma Asistente Técnico'!$AI$5:$AI$1000,$N85),""),IF(INDEX('Cronograma Asistente Técnico'!$J$5:$J$1000,$N85)="","",INDEX('Cronograma Asistente Técnico'!$J$5:$J$1000,$N85))))</f>
        <v/>
      </c>
      <c r="H85" s="61">
        <f>IF($N85="","",IF($P85&gt;0,IF(3&lt;=SemanaActual,INDEX('Cronograma Asistente Técnico'!$AJ$5:$AJ$1000,$N85),""),IF(INDEX('Cronograma Asistente Técnico'!$K$5:$K$1000,$N85)="","",INDEX('Cronograma Asistente Técnico'!$K$5:$K$1000,$N85))))</f>
        <v/>
      </c>
      <c r="I85" s="61">
        <f>IF($N85="","",IF($P85&gt;0,IF(4&lt;=SemanaActual,INDEX('Cronograma Asistente Técnico'!$AK$5:$AK$1000,$N85),""),IF(INDEX('Cronograma Asistente Técnico'!$L$5:$L$1000,$N85)="","",INDEX('Cronograma Asistente Técnico'!$L$5:$L$1000,$N85))))</f>
        <v/>
      </c>
      <c r="J85" s="61">
        <f>IF($N85="","",INDEX('Cronograma Asistente Técnico'!$M$5:$M$1000,$N85))</f>
        <v/>
      </c>
      <c r="K85" s="56">
        <f>IF($N85="","",IF(N($J85)&gt;=1,"Completado",IF(AND(ISNUMBER($D85),$D85&lt;FechaRef),"Vencida",IF(N($J85)&gt;0,"En curso","Pendiente"))))</f>
        <v/>
      </c>
      <c r="L85" s="56">
        <f>IF($N85="","",INDEX('Cronograma Asistente Técnico'!$O$5:$O$1000,$N85)&amp;"")</f>
        <v/>
      </c>
      <c r="M85" s="62">
        <f>IF($N85="","",INDEX('Cronograma Asistente Técnico'!$Q$5:$Q$1000,$N85)&amp;"")</f>
        <v/>
      </c>
      <c r="N85">
        <f>IFERROR(MATCH(ROW()-4,rOrden_ATR,0),"")</f>
        <v/>
      </c>
      <c r="O85">
        <f>IF($N85="","",INDEX('Cronograma Asistente Técnico'!$V$5:$V$1000,$N85))</f>
        <v/>
      </c>
      <c r="P85">
        <f>IF($N85="","",N(INDEX('Cronograma Asistente Técnico'!$W$5:$W$1000,$N85)))</f>
        <v/>
      </c>
      <c r="Q85">
        <f>IF(OR(LEFT($L85,7)="Vencida",LEFT($L85,5)="Vence"),SUMPRODUCT(--(LEFT($L$5:$L85,7)="Vencida"))+SUMPRODUCT(--(LEFT($L$5:$L85,5)="Vence")),"")</f>
        <v/>
      </c>
    </row>
    <row r="86">
      <c r="A86" s="56">
        <f>IF($N86="","",INDEX('Cronograma Asistente Técnico'!$A$5:$A$1000,$N86))</f>
        <v/>
      </c>
      <c r="B86" s="62">
        <f>IF($N86="","",IF($O86="Sub","      ↳  "&amp;INDEX('Cronograma Asistente Técnico'!$C$5:$C$1000,$N86),INDEX('Cronograma Asistente Técnico'!$C$5:$C$1000,$N86)&amp;""))</f>
        <v/>
      </c>
      <c r="C86" s="79">
        <f>IF($N86="","",IF(INDEX('Cronograma Asistente Técnico'!$AR$5:$AR$1000,$N86)="","",INDEX('Cronograma Asistente Técnico'!$AR$5:$AR$1000,$N86)))</f>
        <v/>
      </c>
      <c r="D86" s="79">
        <f>IF($N86="","",IF(INDEX('Cronograma Asistente Técnico'!$AS$5:$AS$1000,$N86)="","",INDEX('Cronograma Asistente Técnico'!$AS$5:$AS$1000,$N86)))</f>
        <v/>
      </c>
      <c r="E86" s="56">
        <f>IF($N86="","",IF(NOT(ISNUMBER($D86)),"",IF($D86&lt;InicioCiclo,"Antes del ciclo",IF($D86&gt;=InicioCiclo+28,"Después del ciclo","Semana "&amp;(INT(($D86-InicioCiclo)/7)+1)))))</f>
        <v/>
      </c>
      <c r="F86" s="61">
        <f>IF($N86="","",IF($P86&gt;0,IF(1&lt;=SemanaActual,INDEX('Cronograma Asistente Técnico'!$AH$5:$AH$1000,$N86),""),IF(INDEX('Cronograma Asistente Técnico'!$I$5:$I$1000,$N86)="","",INDEX('Cronograma Asistente Técnico'!$I$5:$I$1000,$N86))))</f>
        <v/>
      </c>
      <c r="G86" s="61">
        <f>IF($N86="","",IF($P86&gt;0,IF(2&lt;=SemanaActual,INDEX('Cronograma Asistente Técnico'!$AI$5:$AI$1000,$N86),""),IF(INDEX('Cronograma Asistente Técnico'!$J$5:$J$1000,$N86)="","",INDEX('Cronograma Asistente Técnico'!$J$5:$J$1000,$N86))))</f>
        <v/>
      </c>
      <c r="H86" s="61">
        <f>IF($N86="","",IF($P86&gt;0,IF(3&lt;=SemanaActual,INDEX('Cronograma Asistente Técnico'!$AJ$5:$AJ$1000,$N86),""),IF(INDEX('Cronograma Asistente Técnico'!$K$5:$K$1000,$N86)="","",INDEX('Cronograma Asistente Técnico'!$K$5:$K$1000,$N86))))</f>
        <v/>
      </c>
      <c r="I86" s="61">
        <f>IF($N86="","",IF($P86&gt;0,IF(4&lt;=SemanaActual,INDEX('Cronograma Asistente Técnico'!$AK$5:$AK$1000,$N86),""),IF(INDEX('Cronograma Asistente Técnico'!$L$5:$L$1000,$N86)="","",INDEX('Cronograma Asistente Técnico'!$L$5:$L$1000,$N86))))</f>
        <v/>
      </c>
      <c r="J86" s="61">
        <f>IF($N86="","",INDEX('Cronograma Asistente Técnico'!$M$5:$M$1000,$N86))</f>
        <v/>
      </c>
      <c r="K86" s="56">
        <f>IF($N86="","",IF(N($J86)&gt;=1,"Completado",IF(AND(ISNUMBER($D86),$D86&lt;FechaRef),"Vencida",IF(N($J86)&gt;0,"En curso","Pendiente"))))</f>
        <v/>
      </c>
      <c r="L86" s="56">
        <f>IF($N86="","",INDEX('Cronograma Asistente Técnico'!$O$5:$O$1000,$N86)&amp;"")</f>
        <v/>
      </c>
      <c r="M86" s="62">
        <f>IF($N86="","",INDEX('Cronograma Asistente Técnico'!$Q$5:$Q$1000,$N86)&amp;"")</f>
        <v/>
      </c>
      <c r="N86">
        <f>IFERROR(MATCH(ROW()-4,rOrden_ATR,0),"")</f>
        <v/>
      </c>
      <c r="O86">
        <f>IF($N86="","",INDEX('Cronograma Asistente Técnico'!$V$5:$V$1000,$N86))</f>
        <v/>
      </c>
      <c r="P86">
        <f>IF($N86="","",N(INDEX('Cronograma Asistente Técnico'!$W$5:$W$1000,$N86)))</f>
        <v/>
      </c>
      <c r="Q86">
        <f>IF(OR(LEFT($L86,7)="Vencida",LEFT($L86,5)="Vence"),SUMPRODUCT(--(LEFT($L$5:$L86,7)="Vencida"))+SUMPRODUCT(--(LEFT($L$5:$L86,5)="Vence")),"")</f>
        <v/>
      </c>
    </row>
    <row r="87">
      <c r="A87" s="56">
        <f>IF($N87="","",INDEX('Cronograma Asistente Técnico'!$A$5:$A$1000,$N87))</f>
        <v/>
      </c>
      <c r="B87" s="62">
        <f>IF($N87="","",IF($O87="Sub","      ↳  "&amp;INDEX('Cronograma Asistente Técnico'!$C$5:$C$1000,$N87),INDEX('Cronograma Asistente Técnico'!$C$5:$C$1000,$N87)&amp;""))</f>
        <v/>
      </c>
      <c r="C87" s="79">
        <f>IF($N87="","",IF(INDEX('Cronograma Asistente Técnico'!$AR$5:$AR$1000,$N87)="","",INDEX('Cronograma Asistente Técnico'!$AR$5:$AR$1000,$N87)))</f>
        <v/>
      </c>
      <c r="D87" s="79">
        <f>IF($N87="","",IF(INDEX('Cronograma Asistente Técnico'!$AS$5:$AS$1000,$N87)="","",INDEX('Cronograma Asistente Técnico'!$AS$5:$AS$1000,$N87)))</f>
        <v/>
      </c>
      <c r="E87" s="56">
        <f>IF($N87="","",IF(NOT(ISNUMBER($D87)),"",IF($D87&lt;InicioCiclo,"Antes del ciclo",IF($D87&gt;=InicioCiclo+28,"Después del ciclo","Semana "&amp;(INT(($D87-InicioCiclo)/7)+1)))))</f>
        <v/>
      </c>
      <c r="F87" s="61">
        <f>IF($N87="","",IF($P87&gt;0,IF(1&lt;=SemanaActual,INDEX('Cronograma Asistente Técnico'!$AH$5:$AH$1000,$N87),""),IF(INDEX('Cronograma Asistente Técnico'!$I$5:$I$1000,$N87)="","",INDEX('Cronograma Asistente Técnico'!$I$5:$I$1000,$N87))))</f>
        <v/>
      </c>
      <c r="G87" s="61">
        <f>IF($N87="","",IF($P87&gt;0,IF(2&lt;=SemanaActual,INDEX('Cronograma Asistente Técnico'!$AI$5:$AI$1000,$N87),""),IF(INDEX('Cronograma Asistente Técnico'!$J$5:$J$1000,$N87)="","",INDEX('Cronograma Asistente Técnico'!$J$5:$J$1000,$N87))))</f>
        <v/>
      </c>
      <c r="H87" s="61">
        <f>IF($N87="","",IF($P87&gt;0,IF(3&lt;=SemanaActual,INDEX('Cronograma Asistente Técnico'!$AJ$5:$AJ$1000,$N87),""),IF(INDEX('Cronograma Asistente Técnico'!$K$5:$K$1000,$N87)="","",INDEX('Cronograma Asistente Técnico'!$K$5:$K$1000,$N87))))</f>
        <v/>
      </c>
      <c r="I87" s="61">
        <f>IF($N87="","",IF($P87&gt;0,IF(4&lt;=SemanaActual,INDEX('Cronograma Asistente Técnico'!$AK$5:$AK$1000,$N87),""),IF(INDEX('Cronograma Asistente Técnico'!$L$5:$L$1000,$N87)="","",INDEX('Cronograma Asistente Técnico'!$L$5:$L$1000,$N87))))</f>
        <v/>
      </c>
      <c r="J87" s="61">
        <f>IF($N87="","",INDEX('Cronograma Asistente Técnico'!$M$5:$M$1000,$N87))</f>
        <v/>
      </c>
      <c r="K87" s="56">
        <f>IF($N87="","",IF(N($J87)&gt;=1,"Completado",IF(AND(ISNUMBER($D87),$D87&lt;FechaRef),"Vencida",IF(N($J87)&gt;0,"En curso","Pendiente"))))</f>
        <v/>
      </c>
      <c r="L87" s="56">
        <f>IF($N87="","",INDEX('Cronograma Asistente Técnico'!$O$5:$O$1000,$N87)&amp;"")</f>
        <v/>
      </c>
      <c r="M87" s="62">
        <f>IF($N87="","",INDEX('Cronograma Asistente Técnico'!$Q$5:$Q$1000,$N87)&amp;"")</f>
        <v/>
      </c>
      <c r="N87">
        <f>IFERROR(MATCH(ROW()-4,rOrden_ATR,0),"")</f>
        <v/>
      </c>
      <c r="O87">
        <f>IF($N87="","",INDEX('Cronograma Asistente Técnico'!$V$5:$V$1000,$N87))</f>
        <v/>
      </c>
      <c r="P87">
        <f>IF($N87="","",N(INDEX('Cronograma Asistente Técnico'!$W$5:$W$1000,$N87)))</f>
        <v/>
      </c>
      <c r="Q87">
        <f>IF(OR(LEFT($L87,7)="Vencida",LEFT($L87,5)="Vence"),SUMPRODUCT(--(LEFT($L$5:$L87,7)="Vencida"))+SUMPRODUCT(--(LEFT($L$5:$L87,5)="Vence")),"")</f>
        <v/>
      </c>
    </row>
    <row r="88">
      <c r="A88" s="56">
        <f>IF($N88="","",INDEX('Cronograma Asistente Técnico'!$A$5:$A$1000,$N88))</f>
        <v/>
      </c>
      <c r="B88" s="62">
        <f>IF($N88="","",IF($O88="Sub","      ↳  "&amp;INDEX('Cronograma Asistente Técnico'!$C$5:$C$1000,$N88),INDEX('Cronograma Asistente Técnico'!$C$5:$C$1000,$N88)&amp;""))</f>
        <v/>
      </c>
      <c r="C88" s="79">
        <f>IF($N88="","",IF(INDEX('Cronograma Asistente Técnico'!$AR$5:$AR$1000,$N88)="","",INDEX('Cronograma Asistente Técnico'!$AR$5:$AR$1000,$N88)))</f>
        <v/>
      </c>
      <c r="D88" s="79">
        <f>IF($N88="","",IF(INDEX('Cronograma Asistente Técnico'!$AS$5:$AS$1000,$N88)="","",INDEX('Cronograma Asistente Técnico'!$AS$5:$AS$1000,$N88)))</f>
        <v/>
      </c>
      <c r="E88" s="56">
        <f>IF($N88="","",IF(NOT(ISNUMBER($D88)),"",IF($D88&lt;InicioCiclo,"Antes del ciclo",IF($D88&gt;=InicioCiclo+28,"Después del ciclo","Semana "&amp;(INT(($D88-InicioCiclo)/7)+1)))))</f>
        <v/>
      </c>
      <c r="F88" s="61">
        <f>IF($N88="","",IF($P88&gt;0,IF(1&lt;=SemanaActual,INDEX('Cronograma Asistente Técnico'!$AH$5:$AH$1000,$N88),""),IF(INDEX('Cronograma Asistente Técnico'!$I$5:$I$1000,$N88)="","",INDEX('Cronograma Asistente Técnico'!$I$5:$I$1000,$N88))))</f>
        <v/>
      </c>
      <c r="G88" s="61">
        <f>IF($N88="","",IF($P88&gt;0,IF(2&lt;=SemanaActual,INDEX('Cronograma Asistente Técnico'!$AI$5:$AI$1000,$N88),""),IF(INDEX('Cronograma Asistente Técnico'!$J$5:$J$1000,$N88)="","",INDEX('Cronograma Asistente Técnico'!$J$5:$J$1000,$N88))))</f>
        <v/>
      </c>
      <c r="H88" s="61">
        <f>IF($N88="","",IF($P88&gt;0,IF(3&lt;=SemanaActual,INDEX('Cronograma Asistente Técnico'!$AJ$5:$AJ$1000,$N88),""),IF(INDEX('Cronograma Asistente Técnico'!$K$5:$K$1000,$N88)="","",INDEX('Cronograma Asistente Técnico'!$K$5:$K$1000,$N88))))</f>
        <v/>
      </c>
      <c r="I88" s="61">
        <f>IF($N88="","",IF($P88&gt;0,IF(4&lt;=SemanaActual,INDEX('Cronograma Asistente Técnico'!$AK$5:$AK$1000,$N88),""),IF(INDEX('Cronograma Asistente Técnico'!$L$5:$L$1000,$N88)="","",INDEX('Cronograma Asistente Técnico'!$L$5:$L$1000,$N88))))</f>
        <v/>
      </c>
      <c r="J88" s="61">
        <f>IF($N88="","",INDEX('Cronograma Asistente Técnico'!$M$5:$M$1000,$N88))</f>
        <v/>
      </c>
      <c r="K88" s="56">
        <f>IF($N88="","",IF(N($J88)&gt;=1,"Completado",IF(AND(ISNUMBER($D88),$D88&lt;FechaRef),"Vencida",IF(N($J88)&gt;0,"En curso","Pendiente"))))</f>
        <v/>
      </c>
      <c r="L88" s="56">
        <f>IF($N88="","",INDEX('Cronograma Asistente Técnico'!$O$5:$O$1000,$N88)&amp;"")</f>
        <v/>
      </c>
      <c r="M88" s="62">
        <f>IF($N88="","",INDEX('Cronograma Asistente Técnico'!$Q$5:$Q$1000,$N88)&amp;"")</f>
        <v/>
      </c>
      <c r="N88">
        <f>IFERROR(MATCH(ROW()-4,rOrden_ATR,0),"")</f>
        <v/>
      </c>
      <c r="O88">
        <f>IF($N88="","",INDEX('Cronograma Asistente Técnico'!$V$5:$V$1000,$N88))</f>
        <v/>
      </c>
      <c r="P88">
        <f>IF($N88="","",N(INDEX('Cronograma Asistente Técnico'!$W$5:$W$1000,$N88)))</f>
        <v/>
      </c>
      <c r="Q88">
        <f>IF(OR(LEFT($L88,7)="Vencida",LEFT($L88,5)="Vence"),SUMPRODUCT(--(LEFT($L$5:$L88,7)="Vencida"))+SUMPRODUCT(--(LEFT($L$5:$L88,5)="Vence")),"")</f>
        <v/>
      </c>
    </row>
    <row r="89">
      <c r="A89" s="56">
        <f>IF($N89="","",INDEX('Cronograma Asistente Técnico'!$A$5:$A$1000,$N89))</f>
        <v/>
      </c>
      <c r="B89" s="62">
        <f>IF($N89="","",IF($O89="Sub","      ↳  "&amp;INDEX('Cronograma Asistente Técnico'!$C$5:$C$1000,$N89),INDEX('Cronograma Asistente Técnico'!$C$5:$C$1000,$N89)&amp;""))</f>
        <v/>
      </c>
      <c r="C89" s="79">
        <f>IF($N89="","",IF(INDEX('Cronograma Asistente Técnico'!$AR$5:$AR$1000,$N89)="","",INDEX('Cronograma Asistente Técnico'!$AR$5:$AR$1000,$N89)))</f>
        <v/>
      </c>
      <c r="D89" s="79">
        <f>IF($N89="","",IF(INDEX('Cronograma Asistente Técnico'!$AS$5:$AS$1000,$N89)="","",INDEX('Cronograma Asistente Técnico'!$AS$5:$AS$1000,$N89)))</f>
        <v/>
      </c>
      <c r="E89" s="56">
        <f>IF($N89="","",IF(NOT(ISNUMBER($D89)),"",IF($D89&lt;InicioCiclo,"Antes del ciclo",IF($D89&gt;=InicioCiclo+28,"Después del ciclo","Semana "&amp;(INT(($D89-InicioCiclo)/7)+1)))))</f>
        <v/>
      </c>
      <c r="F89" s="61">
        <f>IF($N89="","",IF($P89&gt;0,IF(1&lt;=SemanaActual,INDEX('Cronograma Asistente Técnico'!$AH$5:$AH$1000,$N89),""),IF(INDEX('Cronograma Asistente Técnico'!$I$5:$I$1000,$N89)="","",INDEX('Cronograma Asistente Técnico'!$I$5:$I$1000,$N89))))</f>
        <v/>
      </c>
      <c r="G89" s="61">
        <f>IF($N89="","",IF($P89&gt;0,IF(2&lt;=SemanaActual,INDEX('Cronograma Asistente Técnico'!$AI$5:$AI$1000,$N89),""),IF(INDEX('Cronograma Asistente Técnico'!$J$5:$J$1000,$N89)="","",INDEX('Cronograma Asistente Técnico'!$J$5:$J$1000,$N89))))</f>
        <v/>
      </c>
      <c r="H89" s="61">
        <f>IF($N89="","",IF($P89&gt;0,IF(3&lt;=SemanaActual,INDEX('Cronograma Asistente Técnico'!$AJ$5:$AJ$1000,$N89),""),IF(INDEX('Cronograma Asistente Técnico'!$K$5:$K$1000,$N89)="","",INDEX('Cronograma Asistente Técnico'!$K$5:$K$1000,$N89))))</f>
        <v/>
      </c>
      <c r="I89" s="61">
        <f>IF($N89="","",IF($P89&gt;0,IF(4&lt;=SemanaActual,INDEX('Cronograma Asistente Técnico'!$AK$5:$AK$1000,$N89),""),IF(INDEX('Cronograma Asistente Técnico'!$L$5:$L$1000,$N89)="","",INDEX('Cronograma Asistente Técnico'!$L$5:$L$1000,$N89))))</f>
        <v/>
      </c>
      <c r="J89" s="61">
        <f>IF($N89="","",INDEX('Cronograma Asistente Técnico'!$M$5:$M$1000,$N89))</f>
        <v/>
      </c>
      <c r="K89" s="56">
        <f>IF($N89="","",IF(N($J89)&gt;=1,"Completado",IF(AND(ISNUMBER($D89),$D89&lt;FechaRef),"Vencida",IF(N($J89)&gt;0,"En curso","Pendiente"))))</f>
        <v/>
      </c>
      <c r="L89" s="56">
        <f>IF($N89="","",INDEX('Cronograma Asistente Técnico'!$O$5:$O$1000,$N89)&amp;"")</f>
        <v/>
      </c>
      <c r="M89" s="62">
        <f>IF($N89="","",INDEX('Cronograma Asistente Técnico'!$Q$5:$Q$1000,$N89)&amp;"")</f>
        <v/>
      </c>
      <c r="N89">
        <f>IFERROR(MATCH(ROW()-4,rOrden_ATR,0),"")</f>
        <v/>
      </c>
      <c r="O89">
        <f>IF($N89="","",INDEX('Cronograma Asistente Técnico'!$V$5:$V$1000,$N89))</f>
        <v/>
      </c>
      <c r="P89">
        <f>IF($N89="","",N(INDEX('Cronograma Asistente Técnico'!$W$5:$W$1000,$N89)))</f>
        <v/>
      </c>
      <c r="Q89">
        <f>IF(OR(LEFT($L89,7)="Vencida",LEFT($L89,5)="Vence"),SUMPRODUCT(--(LEFT($L$5:$L89,7)="Vencida"))+SUMPRODUCT(--(LEFT($L$5:$L89,5)="Vence")),"")</f>
        <v/>
      </c>
    </row>
    <row r="90">
      <c r="A90" s="56">
        <f>IF($N90="","",INDEX('Cronograma Asistente Técnico'!$A$5:$A$1000,$N90))</f>
        <v/>
      </c>
      <c r="B90" s="62">
        <f>IF($N90="","",IF($O90="Sub","      ↳  "&amp;INDEX('Cronograma Asistente Técnico'!$C$5:$C$1000,$N90),INDEX('Cronograma Asistente Técnico'!$C$5:$C$1000,$N90)&amp;""))</f>
        <v/>
      </c>
      <c r="C90" s="79">
        <f>IF($N90="","",IF(INDEX('Cronograma Asistente Técnico'!$AR$5:$AR$1000,$N90)="","",INDEX('Cronograma Asistente Técnico'!$AR$5:$AR$1000,$N90)))</f>
        <v/>
      </c>
      <c r="D90" s="79">
        <f>IF($N90="","",IF(INDEX('Cronograma Asistente Técnico'!$AS$5:$AS$1000,$N90)="","",INDEX('Cronograma Asistente Técnico'!$AS$5:$AS$1000,$N90)))</f>
        <v/>
      </c>
      <c r="E90" s="56">
        <f>IF($N90="","",IF(NOT(ISNUMBER($D90)),"",IF($D90&lt;InicioCiclo,"Antes del ciclo",IF($D90&gt;=InicioCiclo+28,"Después del ciclo","Semana "&amp;(INT(($D90-InicioCiclo)/7)+1)))))</f>
        <v/>
      </c>
      <c r="F90" s="61">
        <f>IF($N90="","",IF($P90&gt;0,IF(1&lt;=SemanaActual,INDEX('Cronograma Asistente Técnico'!$AH$5:$AH$1000,$N90),""),IF(INDEX('Cronograma Asistente Técnico'!$I$5:$I$1000,$N90)="","",INDEX('Cronograma Asistente Técnico'!$I$5:$I$1000,$N90))))</f>
        <v/>
      </c>
      <c r="G90" s="61">
        <f>IF($N90="","",IF($P90&gt;0,IF(2&lt;=SemanaActual,INDEX('Cronograma Asistente Técnico'!$AI$5:$AI$1000,$N90),""),IF(INDEX('Cronograma Asistente Técnico'!$J$5:$J$1000,$N90)="","",INDEX('Cronograma Asistente Técnico'!$J$5:$J$1000,$N90))))</f>
        <v/>
      </c>
      <c r="H90" s="61">
        <f>IF($N90="","",IF($P90&gt;0,IF(3&lt;=SemanaActual,INDEX('Cronograma Asistente Técnico'!$AJ$5:$AJ$1000,$N90),""),IF(INDEX('Cronograma Asistente Técnico'!$K$5:$K$1000,$N90)="","",INDEX('Cronograma Asistente Técnico'!$K$5:$K$1000,$N90))))</f>
        <v/>
      </c>
      <c r="I90" s="61">
        <f>IF($N90="","",IF($P90&gt;0,IF(4&lt;=SemanaActual,INDEX('Cronograma Asistente Técnico'!$AK$5:$AK$1000,$N90),""),IF(INDEX('Cronograma Asistente Técnico'!$L$5:$L$1000,$N90)="","",INDEX('Cronograma Asistente Técnico'!$L$5:$L$1000,$N90))))</f>
        <v/>
      </c>
      <c r="J90" s="61">
        <f>IF($N90="","",INDEX('Cronograma Asistente Técnico'!$M$5:$M$1000,$N90))</f>
        <v/>
      </c>
      <c r="K90" s="56">
        <f>IF($N90="","",IF(N($J90)&gt;=1,"Completado",IF(AND(ISNUMBER($D90),$D90&lt;FechaRef),"Vencida",IF(N($J90)&gt;0,"En curso","Pendiente"))))</f>
        <v/>
      </c>
      <c r="L90" s="56">
        <f>IF($N90="","",INDEX('Cronograma Asistente Técnico'!$O$5:$O$1000,$N90)&amp;"")</f>
        <v/>
      </c>
      <c r="M90" s="62">
        <f>IF($N90="","",INDEX('Cronograma Asistente Técnico'!$Q$5:$Q$1000,$N90)&amp;"")</f>
        <v/>
      </c>
      <c r="N90">
        <f>IFERROR(MATCH(ROW()-4,rOrden_ATR,0),"")</f>
        <v/>
      </c>
      <c r="O90">
        <f>IF($N90="","",INDEX('Cronograma Asistente Técnico'!$V$5:$V$1000,$N90))</f>
        <v/>
      </c>
      <c r="P90">
        <f>IF($N90="","",N(INDEX('Cronograma Asistente Técnico'!$W$5:$W$1000,$N90)))</f>
        <v/>
      </c>
      <c r="Q90">
        <f>IF(OR(LEFT($L90,7)="Vencida",LEFT($L90,5)="Vence"),SUMPRODUCT(--(LEFT($L$5:$L90,7)="Vencida"))+SUMPRODUCT(--(LEFT($L$5:$L90,5)="Vence")),"")</f>
        <v/>
      </c>
    </row>
    <row r="91">
      <c r="A91" s="56">
        <f>IF($N91="","",INDEX('Cronograma Asistente Técnico'!$A$5:$A$1000,$N91))</f>
        <v/>
      </c>
      <c r="B91" s="62">
        <f>IF($N91="","",IF($O91="Sub","      ↳  "&amp;INDEX('Cronograma Asistente Técnico'!$C$5:$C$1000,$N91),INDEX('Cronograma Asistente Técnico'!$C$5:$C$1000,$N91)&amp;""))</f>
        <v/>
      </c>
      <c r="C91" s="79">
        <f>IF($N91="","",IF(INDEX('Cronograma Asistente Técnico'!$AR$5:$AR$1000,$N91)="","",INDEX('Cronograma Asistente Técnico'!$AR$5:$AR$1000,$N91)))</f>
        <v/>
      </c>
      <c r="D91" s="79">
        <f>IF($N91="","",IF(INDEX('Cronograma Asistente Técnico'!$AS$5:$AS$1000,$N91)="","",INDEX('Cronograma Asistente Técnico'!$AS$5:$AS$1000,$N91)))</f>
        <v/>
      </c>
      <c r="E91" s="56">
        <f>IF($N91="","",IF(NOT(ISNUMBER($D91)),"",IF($D91&lt;InicioCiclo,"Antes del ciclo",IF($D91&gt;=InicioCiclo+28,"Después del ciclo","Semana "&amp;(INT(($D91-InicioCiclo)/7)+1)))))</f>
        <v/>
      </c>
      <c r="F91" s="61">
        <f>IF($N91="","",IF($P91&gt;0,IF(1&lt;=SemanaActual,INDEX('Cronograma Asistente Técnico'!$AH$5:$AH$1000,$N91),""),IF(INDEX('Cronograma Asistente Técnico'!$I$5:$I$1000,$N91)="","",INDEX('Cronograma Asistente Técnico'!$I$5:$I$1000,$N91))))</f>
        <v/>
      </c>
      <c r="G91" s="61">
        <f>IF($N91="","",IF($P91&gt;0,IF(2&lt;=SemanaActual,INDEX('Cronograma Asistente Técnico'!$AI$5:$AI$1000,$N91),""),IF(INDEX('Cronograma Asistente Técnico'!$J$5:$J$1000,$N91)="","",INDEX('Cronograma Asistente Técnico'!$J$5:$J$1000,$N91))))</f>
        <v/>
      </c>
      <c r="H91" s="61">
        <f>IF($N91="","",IF($P91&gt;0,IF(3&lt;=SemanaActual,INDEX('Cronograma Asistente Técnico'!$AJ$5:$AJ$1000,$N91),""),IF(INDEX('Cronograma Asistente Técnico'!$K$5:$K$1000,$N91)="","",INDEX('Cronograma Asistente Técnico'!$K$5:$K$1000,$N91))))</f>
        <v/>
      </c>
      <c r="I91" s="61">
        <f>IF($N91="","",IF($P91&gt;0,IF(4&lt;=SemanaActual,INDEX('Cronograma Asistente Técnico'!$AK$5:$AK$1000,$N91),""),IF(INDEX('Cronograma Asistente Técnico'!$L$5:$L$1000,$N91)="","",INDEX('Cronograma Asistente Técnico'!$L$5:$L$1000,$N91))))</f>
        <v/>
      </c>
      <c r="J91" s="61">
        <f>IF($N91="","",INDEX('Cronograma Asistente Técnico'!$M$5:$M$1000,$N91))</f>
        <v/>
      </c>
      <c r="K91" s="56">
        <f>IF($N91="","",IF(N($J91)&gt;=1,"Completado",IF(AND(ISNUMBER($D91),$D91&lt;FechaRef),"Vencida",IF(N($J91)&gt;0,"En curso","Pendiente"))))</f>
        <v/>
      </c>
      <c r="L91" s="56">
        <f>IF($N91="","",INDEX('Cronograma Asistente Técnico'!$O$5:$O$1000,$N91)&amp;"")</f>
        <v/>
      </c>
      <c r="M91" s="62">
        <f>IF($N91="","",INDEX('Cronograma Asistente Técnico'!$Q$5:$Q$1000,$N91)&amp;"")</f>
        <v/>
      </c>
      <c r="N91">
        <f>IFERROR(MATCH(ROW()-4,rOrden_ATR,0),"")</f>
        <v/>
      </c>
      <c r="O91">
        <f>IF($N91="","",INDEX('Cronograma Asistente Técnico'!$V$5:$V$1000,$N91))</f>
        <v/>
      </c>
      <c r="P91">
        <f>IF($N91="","",N(INDEX('Cronograma Asistente Técnico'!$W$5:$W$1000,$N91)))</f>
        <v/>
      </c>
      <c r="Q91">
        <f>IF(OR(LEFT($L91,7)="Vencida",LEFT($L91,5)="Vence"),SUMPRODUCT(--(LEFT($L$5:$L91,7)="Vencida"))+SUMPRODUCT(--(LEFT($L$5:$L91,5)="Vence")),"")</f>
        <v/>
      </c>
    </row>
    <row r="92">
      <c r="A92" s="56">
        <f>IF($N92="","",INDEX('Cronograma Asistente Técnico'!$A$5:$A$1000,$N92))</f>
        <v/>
      </c>
      <c r="B92" s="62">
        <f>IF($N92="","",IF($O92="Sub","      ↳  "&amp;INDEX('Cronograma Asistente Técnico'!$C$5:$C$1000,$N92),INDEX('Cronograma Asistente Técnico'!$C$5:$C$1000,$N92)&amp;""))</f>
        <v/>
      </c>
      <c r="C92" s="79">
        <f>IF($N92="","",IF(INDEX('Cronograma Asistente Técnico'!$AR$5:$AR$1000,$N92)="","",INDEX('Cronograma Asistente Técnico'!$AR$5:$AR$1000,$N92)))</f>
        <v/>
      </c>
      <c r="D92" s="79">
        <f>IF($N92="","",IF(INDEX('Cronograma Asistente Técnico'!$AS$5:$AS$1000,$N92)="","",INDEX('Cronograma Asistente Técnico'!$AS$5:$AS$1000,$N92)))</f>
        <v/>
      </c>
      <c r="E92" s="56">
        <f>IF($N92="","",IF(NOT(ISNUMBER($D92)),"",IF($D92&lt;InicioCiclo,"Antes del ciclo",IF($D92&gt;=InicioCiclo+28,"Después del ciclo","Semana "&amp;(INT(($D92-InicioCiclo)/7)+1)))))</f>
        <v/>
      </c>
      <c r="F92" s="61">
        <f>IF($N92="","",IF($P92&gt;0,IF(1&lt;=SemanaActual,INDEX('Cronograma Asistente Técnico'!$AH$5:$AH$1000,$N92),""),IF(INDEX('Cronograma Asistente Técnico'!$I$5:$I$1000,$N92)="","",INDEX('Cronograma Asistente Técnico'!$I$5:$I$1000,$N92))))</f>
        <v/>
      </c>
      <c r="G92" s="61">
        <f>IF($N92="","",IF($P92&gt;0,IF(2&lt;=SemanaActual,INDEX('Cronograma Asistente Técnico'!$AI$5:$AI$1000,$N92),""),IF(INDEX('Cronograma Asistente Técnico'!$J$5:$J$1000,$N92)="","",INDEX('Cronograma Asistente Técnico'!$J$5:$J$1000,$N92))))</f>
        <v/>
      </c>
      <c r="H92" s="61">
        <f>IF($N92="","",IF($P92&gt;0,IF(3&lt;=SemanaActual,INDEX('Cronograma Asistente Técnico'!$AJ$5:$AJ$1000,$N92),""),IF(INDEX('Cronograma Asistente Técnico'!$K$5:$K$1000,$N92)="","",INDEX('Cronograma Asistente Técnico'!$K$5:$K$1000,$N92))))</f>
        <v/>
      </c>
      <c r="I92" s="61">
        <f>IF($N92="","",IF($P92&gt;0,IF(4&lt;=SemanaActual,INDEX('Cronograma Asistente Técnico'!$AK$5:$AK$1000,$N92),""),IF(INDEX('Cronograma Asistente Técnico'!$L$5:$L$1000,$N92)="","",INDEX('Cronograma Asistente Técnico'!$L$5:$L$1000,$N92))))</f>
        <v/>
      </c>
      <c r="J92" s="61">
        <f>IF($N92="","",INDEX('Cronograma Asistente Técnico'!$M$5:$M$1000,$N92))</f>
        <v/>
      </c>
      <c r="K92" s="56">
        <f>IF($N92="","",IF(N($J92)&gt;=1,"Completado",IF(AND(ISNUMBER($D92),$D92&lt;FechaRef),"Vencida",IF(N($J92)&gt;0,"En curso","Pendiente"))))</f>
        <v/>
      </c>
      <c r="L92" s="56">
        <f>IF($N92="","",INDEX('Cronograma Asistente Técnico'!$O$5:$O$1000,$N92)&amp;"")</f>
        <v/>
      </c>
      <c r="M92" s="62">
        <f>IF($N92="","",INDEX('Cronograma Asistente Técnico'!$Q$5:$Q$1000,$N92)&amp;"")</f>
        <v/>
      </c>
      <c r="N92">
        <f>IFERROR(MATCH(ROW()-4,rOrden_ATR,0),"")</f>
        <v/>
      </c>
      <c r="O92">
        <f>IF($N92="","",INDEX('Cronograma Asistente Técnico'!$V$5:$V$1000,$N92))</f>
        <v/>
      </c>
      <c r="P92">
        <f>IF($N92="","",N(INDEX('Cronograma Asistente Técnico'!$W$5:$W$1000,$N92)))</f>
        <v/>
      </c>
      <c r="Q92">
        <f>IF(OR(LEFT($L92,7)="Vencida",LEFT($L92,5)="Vence"),SUMPRODUCT(--(LEFT($L$5:$L92,7)="Vencida"))+SUMPRODUCT(--(LEFT($L$5:$L92,5)="Vence")),"")</f>
        <v/>
      </c>
    </row>
    <row r="93">
      <c r="A93" s="56">
        <f>IF($N93="","",INDEX('Cronograma Asistente Técnico'!$A$5:$A$1000,$N93))</f>
        <v/>
      </c>
      <c r="B93" s="62">
        <f>IF($N93="","",IF($O93="Sub","      ↳  "&amp;INDEX('Cronograma Asistente Técnico'!$C$5:$C$1000,$N93),INDEX('Cronograma Asistente Técnico'!$C$5:$C$1000,$N93)&amp;""))</f>
        <v/>
      </c>
      <c r="C93" s="79">
        <f>IF($N93="","",IF(INDEX('Cronograma Asistente Técnico'!$AR$5:$AR$1000,$N93)="","",INDEX('Cronograma Asistente Técnico'!$AR$5:$AR$1000,$N93)))</f>
        <v/>
      </c>
      <c r="D93" s="79">
        <f>IF($N93="","",IF(INDEX('Cronograma Asistente Técnico'!$AS$5:$AS$1000,$N93)="","",INDEX('Cronograma Asistente Técnico'!$AS$5:$AS$1000,$N93)))</f>
        <v/>
      </c>
      <c r="E93" s="56">
        <f>IF($N93="","",IF(NOT(ISNUMBER($D93)),"",IF($D93&lt;InicioCiclo,"Antes del ciclo",IF($D93&gt;=InicioCiclo+28,"Después del ciclo","Semana "&amp;(INT(($D93-InicioCiclo)/7)+1)))))</f>
        <v/>
      </c>
      <c r="F93" s="61">
        <f>IF($N93="","",IF($P93&gt;0,IF(1&lt;=SemanaActual,INDEX('Cronograma Asistente Técnico'!$AH$5:$AH$1000,$N93),""),IF(INDEX('Cronograma Asistente Técnico'!$I$5:$I$1000,$N93)="","",INDEX('Cronograma Asistente Técnico'!$I$5:$I$1000,$N93))))</f>
        <v/>
      </c>
      <c r="G93" s="61">
        <f>IF($N93="","",IF($P93&gt;0,IF(2&lt;=SemanaActual,INDEX('Cronograma Asistente Técnico'!$AI$5:$AI$1000,$N93),""),IF(INDEX('Cronograma Asistente Técnico'!$J$5:$J$1000,$N93)="","",INDEX('Cronograma Asistente Técnico'!$J$5:$J$1000,$N93))))</f>
        <v/>
      </c>
      <c r="H93" s="61">
        <f>IF($N93="","",IF($P93&gt;0,IF(3&lt;=SemanaActual,INDEX('Cronograma Asistente Técnico'!$AJ$5:$AJ$1000,$N93),""),IF(INDEX('Cronograma Asistente Técnico'!$K$5:$K$1000,$N93)="","",INDEX('Cronograma Asistente Técnico'!$K$5:$K$1000,$N93))))</f>
        <v/>
      </c>
      <c r="I93" s="61">
        <f>IF($N93="","",IF($P93&gt;0,IF(4&lt;=SemanaActual,INDEX('Cronograma Asistente Técnico'!$AK$5:$AK$1000,$N93),""),IF(INDEX('Cronograma Asistente Técnico'!$L$5:$L$1000,$N93)="","",INDEX('Cronograma Asistente Técnico'!$L$5:$L$1000,$N93))))</f>
        <v/>
      </c>
      <c r="J93" s="61">
        <f>IF($N93="","",INDEX('Cronograma Asistente Técnico'!$M$5:$M$1000,$N93))</f>
        <v/>
      </c>
      <c r="K93" s="56">
        <f>IF($N93="","",IF(N($J93)&gt;=1,"Completado",IF(AND(ISNUMBER($D93),$D93&lt;FechaRef),"Vencida",IF(N($J93)&gt;0,"En curso","Pendiente"))))</f>
        <v/>
      </c>
      <c r="L93" s="56">
        <f>IF($N93="","",INDEX('Cronograma Asistente Técnico'!$O$5:$O$1000,$N93)&amp;"")</f>
        <v/>
      </c>
      <c r="M93" s="62">
        <f>IF($N93="","",INDEX('Cronograma Asistente Técnico'!$Q$5:$Q$1000,$N93)&amp;"")</f>
        <v/>
      </c>
      <c r="N93">
        <f>IFERROR(MATCH(ROW()-4,rOrden_ATR,0),"")</f>
        <v/>
      </c>
      <c r="O93">
        <f>IF($N93="","",INDEX('Cronograma Asistente Técnico'!$V$5:$V$1000,$N93))</f>
        <v/>
      </c>
      <c r="P93">
        <f>IF($N93="","",N(INDEX('Cronograma Asistente Técnico'!$W$5:$W$1000,$N93)))</f>
        <v/>
      </c>
      <c r="Q93">
        <f>IF(OR(LEFT($L93,7)="Vencida",LEFT($L93,5)="Vence"),SUMPRODUCT(--(LEFT($L$5:$L93,7)="Vencida"))+SUMPRODUCT(--(LEFT($L$5:$L93,5)="Vence")),"")</f>
        <v/>
      </c>
    </row>
    <row r="94">
      <c r="A94" s="56">
        <f>IF($N94="","",INDEX('Cronograma Asistente Técnico'!$A$5:$A$1000,$N94))</f>
        <v/>
      </c>
      <c r="B94" s="62">
        <f>IF($N94="","",IF($O94="Sub","      ↳  "&amp;INDEX('Cronograma Asistente Técnico'!$C$5:$C$1000,$N94),INDEX('Cronograma Asistente Técnico'!$C$5:$C$1000,$N94)&amp;""))</f>
        <v/>
      </c>
      <c r="C94" s="79">
        <f>IF($N94="","",IF(INDEX('Cronograma Asistente Técnico'!$AR$5:$AR$1000,$N94)="","",INDEX('Cronograma Asistente Técnico'!$AR$5:$AR$1000,$N94)))</f>
        <v/>
      </c>
      <c r="D94" s="79">
        <f>IF($N94="","",IF(INDEX('Cronograma Asistente Técnico'!$AS$5:$AS$1000,$N94)="","",INDEX('Cronograma Asistente Técnico'!$AS$5:$AS$1000,$N94)))</f>
        <v/>
      </c>
      <c r="E94" s="56">
        <f>IF($N94="","",IF(NOT(ISNUMBER($D94)),"",IF($D94&lt;InicioCiclo,"Antes del ciclo",IF($D94&gt;=InicioCiclo+28,"Después del ciclo","Semana "&amp;(INT(($D94-InicioCiclo)/7)+1)))))</f>
        <v/>
      </c>
      <c r="F94" s="61">
        <f>IF($N94="","",IF($P94&gt;0,IF(1&lt;=SemanaActual,INDEX('Cronograma Asistente Técnico'!$AH$5:$AH$1000,$N94),""),IF(INDEX('Cronograma Asistente Técnico'!$I$5:$I$1000,$N94)="","",INDEX('Cronograma Asistente Técnico'!$I$5:$I$1000,$N94))))</f>
        <v/>
      </c>
      <c r="G94" s="61">
        <f>IF($N94="","",IF($P94&gt;0,IF(2&lt;=SemanaActual,INDEX('Cronograma Asistente Técnico'!$AI$5:$AI$1000,$N94),""),IF(INDEX('Cronograma Asistente Técnico'!$J$5:$J$1000,$N94)="","",INDEX('Cronograma Asistente Técnico'!$J$5:$J$1000,$N94))))</f>
        <v/>
      </c>
      <c r="H94" s="61">
        <f>IF($N94="","",IF($P94&gt;0,IF(3&lt;=SemanaActual,INDEX('Cronograma Asistente Técnico'!$AJ$5:$AJ$1000,$N94),""),IF(INDEX('Cronograma Asistente Técnico'!$K$5:$K$1000,$N94)="","",INDEX('Cronograma Asistente Técnico'!$K$5:$K$1000,$N94))))</f>
        <v/>
      </c>
      <c r="I94" s="61">
        <f>IF($N94="","",IF($P94&gt;0,IF(4&lt;=SemanaActual,INDEX('Cronograma Asistente Técnico'!$AK$5:$AK$1000,$N94),""),IF(INDEX('Cronograma Asistente Técnico'!$L$5:$L$1000,$N94)="","",INDEX('Cronograma Asistente Técnico'!$L$5:$L$1000,$N94))))</f>
        <v/>
      </c>
      <c r="J94" s="61">
        <f>IF($N94="","",INDEX('Cronograma Asistente Técnico'!$M$5:$M$1000,$N94))</f>
        <v/>
      </c>
      <c r="K94" s="56">
        <f>IF($N94="","",IF(N($J94)&gt;=1,"Completado",IF(AND(ISNUMBER($D94),$D94&lt;FechaRef),"Vencida",IF(N($J94)&gt;0,"En curso","Pendiente"))))</f>
        <v/>
      </c>
      <c r="L94" s="56">
        <f>IF($N94="","",INDEX('Cronograma Asistente Técnico'!$O$5:$O$1000,$N94)&amp;"")</f>
        <v/>
      </c>
      <c r="M94" s="62">
        <f>IF($N94="","",INDEX('Cronograma Asistente Técnico'!$Q$5:$Q$1000,$N94)&amp;"")</f>
        <v/>
      </c>
      <c r="N94">
        <f>IFERROR(MATCH(ROW()-4,rOrden_ATR,0),"")</f>
        <v/>
      </c>
      <c r="O94">
        <f>IF($N94="","",INDEX('Cronograma Asistente Técnico'!$V$5:$V$1000,$N94))</f>
        <v/>
      </c>
      <c r="P94">
        <f>IF($N94="","",N(INDEX('Cronograma Asistente Técnico'!$W$5:$W$1000,$N94)))</f>
        <v/>
      </c>
      <c r="Q94">
        <f>IF(OR(LEFT($L94,7)="Vencida",LEFT($L94,5)="Vence"),SUMPRODUCT(--(LEFT($L$5:$L94,7)="Vencida"))+SUMPRODUCT(--(LEFT($L$5:$L94,5)="Vence")),"")</f>
        <v/>
      </c>
    </row>
    <row r="95">
      <c r="A95" s="56">
        <f>IF($N95="","",INDEX('Cronograma Asistente Técnico'!$A$5:$A$1000,$N95))</f>
        <v/>
      </c>
      <c r="B95" s="62">
        <f>IF($N95="","",IF($O95="Sub","      ↳  "&amp;INDEX('Cronograma Asistente Técnico'!$C$5:$C$1000,$N95),INDEX('Cronograma Asistente Técnico'!$C$5:$C$1000,$N95)&amp;""))</f>
        <v/>
      </c>
      <c r="C95" s="79">
        <f>IF($N95="","",IF(INDEX('Cronograma Asistente Técnico'!$AR$5:$AR$1000,$N95)="","",INDEX('Cronograma Asistente Técnico'!$AR$5:$AR$1000,$N95)))</f>
        <v/>
      </c>
      <c r="D95" s="79">
        <f>IF($N95="","",IF(INDEX('Cronograma Asistente Técnico'!$AS$5:$AS$1000,$N95)="","",INDEX('Cronograma Asistente Técnico'!$AS$5:$AS$1000,$N95)))</f>
        <v/>
      </c>
      <c r="E95" s="56">
        <f>IF($N95="","",IF(NOT(ISNUMBER($D95)),"",IF($D95&lt;InicioCiclo,"Antes del ciclo",IF($D95&gt;=InicioCiclo+28,"Después del ciclo","Semana "&amp;(INT(($D95-InicioCiclo)/7)+1)))))</f>
        <v/>
      </c>
      <c r="F95" s="61">
        <f>IF($N95="","",IF($P95&gt;0,IF(1&lt;=SemanaActual,INDEX('Cronograma Asistente Técnico'!$AH$5:$AH$1000,$N95),""),IF(INDEX('Cronograma Asistente Técnico'!$I$5:$I$1000,$N95)="","",INDEX('Cronograma Asistente Técnico'!$I$5:$I$1000,$N95))))</f>
        <v/>
      </c>
      <c r="G95" s="61">
        <f>IF($N95="","",IF($P95&gt;0,IF(2&lt;=SemanaActual,INDEX('Cronograma Asistente Técnico'!$AI$5:$AI$1000,$N95),""),IF(INDEX('Cronograma Asistente Técnico'!$J$5:$J$1000,$N95)="","",INDEX('Cronograma Asistente Técnico'!$J$5:$J$1000,$N95))))</f>
        <v/>
      </c>
      <c r="H95" s="61">
        <f>IF($N95="","",IF($P95&gt;0,IF(3&lt;=SemanaActual,INDEX('Cronograma Asistente Técnico'!$AJ$5:$AJ$1000,$N95),""),IF(INDEX('Cronograma Asistente Técnico'!$K$5:$K$1000,$N95)="","",INDEX('Cronograma Asistente Técnico'!$K$5:$K$1000,$N95))))</f>
        <v/>
      </c>
      <c r="I95" s="61">
        <f>IF($N95="","",IF($P95&gt;0,IF(4&lt;=SemanaActual,INDEX('Cronograma Asistente Técnico'!$AK$5:$AK$1000,$N95),""),IF(INDEX('Cronograma Asistente Técnico'!$L$5:$L$1000,$N95)="","",INDEX('Cronograma Asistente Técnico'!$L$5:$L$1000,$N95))))</f>
        <v/>
      </c>
      <c r="J95" s="61">
        <f>IF($N95="","",INDEX('Cronograma Asistente Técnico'!$M$5:$M$1000,$N95))</f>
        <v/>
      </c>
      <c r="K95" s="56">
        <f>IF($N95="","",IF(N($J95)&gt;=1,"Completado",IF(AND(ISNUMBER($D95),$D95&lt;FechaRef),"Vencida",IF(N($J95)&gt;0,"En curso","Pendiente"))))</f>
        <v/>
      </c>
      <c r="L95" s="56">
        <f>IF($N95="","",INDEX('Cronograma Asistente Técnico'!$O$5:$O$1000,$N95)&amp;"")</f>
        <v/>
      </c>
      <c r="M95" s="62">
        <f>IF($N95="","",INDEX('Cronograma Asistente Técnico'!$Q$5:$Q$1000,$N95)&amp;"")</f>
        <v/>
      </c>
      <c r="N95">
        <f>IFERROR(MATCH(ROW()-4,rOrden_ATR,0),"")</f>
        <v/>
      </c>
      <c r="O95">
        <f>IF($N95="","",INDEX('Cronograma Asistente Técnico'!$V$5:$V$1000,$N95))</f>
        <v/>
      </c>
      <c r="P95">
        <f>IF($N95="","",N(INDEX('Cronograma Asistente Técnico'!$W$5:$W$1000,$N95)))</f>
        <v/>
      </c>
      <c r="Q95">
        <f>IF(OR(LEFT($L95,7)="Vencida",LEFT($L95,5)="Vence"),SUMPRODUCT(--(LEFT($L$5:$L95,7)="Vencida"))+SUMPRODUCT(--(LEFT($L$5:$L95,5)="Vence")),"")</f>
        <v/>
      </c>
    </row>
    <row r="96">
      <c r="A96" s="56">
        <f>IF($N96="","",INDEX('Cronograma Asistente Técnico'!$A$5:$A$1000,$N96))</f>
        <v/>
      </c>
      <c r="B96" s="62">
        <f>IF($N96="","",IF($O96="Sub","      ↳  "&amp;INDEX('Cronograma Asistente Técnico'!$C$5:$C$1000,$N96),INDEX('Cronograma Asistente Técnico'!$C$5:$C$1000,$N96)&amp;""))</f>
        <v/>
      </c>
      <c r="C96" s="79">
        <f>IF($N96="","",IF(INDEX('Cronograma Asistente Técnico'!$AR$5:$AR$1000,$N96)="","",INDEX('Cronograma Asistente Técnico'!$AR$5:$AR$1000,$N96)))</f>
        <v/>
      </c>
      <c r="D96" s="79">
        <f>IF($N96="","",IF(INDEX('Cronograma Asistente Técnico'!$AS$5:$AS$1000,$N96)="","",INDEX('Cronograma Asistente Técnico'!$AS$5:$AS$1000,$N96)))</f>
        <v/>
      </c>
      <c r="E96" s="56">
        <f>IF($N96="","",IF(NOT(ISNUMBER($D96)),"",IF($D96&lt;InicioCiclo,"Antes del ciclo",IF($D96&gt;=InicioCiclo+28,"Después del ciclo","Semana "&amp;(INT(($D96-InicioCiclo)/7)+1)))))</f>
        <v/>
      </c>
      <c r="F96" s="61">
        <f>IF($N96="","",IF($P96&gt;0,IF(1&lt;=SemanaActual,INDEX('Cronograma Asistente Técnico'!$AH$5:$AH$1000,$N96),""),IF(INDEX('Cronograma Asistente Técnico'!$I$5:$I$1000,$N96)="","",INDEX('Cronograma Asistente Técnico'!$I$5:$I$1000,$N96))))</f>
        <v/>
      </c>
      <c r="G96" s="61">
        <f>IF($N96="","",IF($P96&gt;0,IF(2&lt;=SemanaActual,INDEX('Cronograma Asistente Técnico'!$AI$5:$AI$1000,$N96),""),IF(INDEX('Cronograma Asistente Técnico'!$J$5:$J$1000,$N96)="","",INDEX('Cronograma Asistente Técnico'!$J$5:$J$1000,$N96))))</f>
        <v/>
      </c>
      <c r="H96" s="61">
        <f>IF($N96="","",IF($P96&gt;0,IF(3&lt;=SemanaActual,INDEX('Cronograma Asistente Técnico'!$AJ$5:$AJ$1000,$N96),""),IF(INDEX('Cronograma Asistente Técnico'!$K$5:$K$1000,$N96)="","",INDEX('Cronograma Asistente Técnico'!$K$5:$K$1000,$N96))))</f>
        <v/>
      </c>
      <c r="I96" s="61">
        <f>IF($N96="","",IF($P96&gt;0,IF(4&lt;=SemanaActual,INDEX('Cronograma Asistente Técnico'!$AK$5:$AK$1000,$N96),""),IF(INDEX('Cronograma Asistente Técnico'!$L$5:$L$1000,$N96)="","",INDEX('Cronograma Asistente Técnico'!$L$5:$L$1000,$N96))))</f>
        <v/>
      </c>
      <c r="J96" s="61">
        <f>IF($N96="","",INDEX('Cronograma Asistente Técnico'!$M$5:$M$1000,$N96))</f>
        <v/>
      </c>
      <c r="K96" s="56">
        <f>IF($N96="","",IF(N($J96)&gt;=1,"Completado",IF(AND(ISNUMBER($D96),$D96&lt;FechaRef),"Vencida",IF(N($J96)&gt;0,"En curso","Pendiente"))))</f>
        <v/>
      </c>
      <c r="L96" s="56">
        <f>IF($N96="","",INDEX('Cronograma Asistente Técnico'!$O$5:$O$1000,$N96)&amp;"")</f>
        <v/>
      </c>
      <c r="M96" s="62">
        <f>IF($N96="","",INDEX('Cronograma Asistente Técnico'!$Q$5:$Q$1000,$N96)&amp;"")</f>
        <v/>
      </c>
      <c r="N96">
        <f>IFERROR(MATCH(ROW()-4,rOrden_ATR,0),"")</f>
        <v/>
      </c>
      <c r="O96">
        <f>IF($N96="","",INDEX('Cronograma Asistente Técnico'!$V$5:$V$1000,$N96))</f>
        <v/>
      </c>
      <c r="P96">
        <f>IF($N96="","",N(INDEX('Cronograma Asistente Técnico'!$W$5:$W$1000,$N96)))</f>
        <v/>
      </c>
      <c r="Q96">
        <f>IF(OR(LEFT($L96,7)="Vencida",LEFT($L96,5)="Vence"),SUMPRODUCT(--(LEFT($L$5:$L96,7)="Vencida"))+SUMPRODUCT(--(LEFT($L$5:$L96,5)="Vence")),"")</f>
        <v/>
      </c>
    </row>
    <row r="97">
      <c r="A97" s="56">
        <f>IF($N97="","",INDEX('Cronograma Asistente Técnico'!$A$5:$A$1000,$N97))</f>
        <v/>
      </c>
      <c r="B97" s="62">
        <f>IF($N97="","",IF($O97="Sub","      ↳  "&amp;INDEX('Cronograma Asistente Técnico'!$C$5:$C$1000,$N97),INDEX('Cronograma Asistente Técnico'!$C$5:$C$1000,$N97)&amp;""))</f>
        <v/>
      </c>
      <c r="C97" s="79">
        <f>IF($N97="","",IF(INDEX('Cronograma Asistente Técnico'!$AR$5:$AR$1000,$N97)="","",INDEX('Cronograma Asistente Técnico'!$AR$5:$AR$1000,$N97)))</f>
        <v/>
      </c>
      <c r="D97" s="79">
        <f>IF($N97="","",IF(INDEX('Cronograma Asistente Técnico'!$AS$5:$AS$1000,$N97)="","",INDEX('Cronograma Asistente Técnico'!$AS$5:$AS$1000,$N97)))</f>
        <v/>
      </c>
      <c r="E97" s="56">
        <f>IF($N97="","",IF(NOT(ISNUMBER($D97)),"",IF($D97&lt;InicioCiclo,"Antes del ciclo",IF($D97&gt;=InicioCiclo+28,"Después del ciclo","Semana "&amp;(INT(($D97-InicioCiclo)/7)+1)))))</f>
        <v/>
      </c>
      <c r="F97" s="61">
        <f>IF($N97="","",IF($P97&gt;0,IF(1&lt;=SemanaActual,INDEX('Cronograma Asistente Técnico'!$AH$5:$AH$1000,$N97),""),IF(INDEX('Cronograma Asistente Técnico'!$I$5:$I$1000,$N97)="","",INDEX('Cronograma Asistente Técnico'!$I$5:$I$1000,$N97))))</f>
        <v/>
      </c>
      <c r="G97" s="61">
        <f>IF($N97="","",IF($P97&gt;0,IF(2&lt;=SemanaActual,INDEX('Cronograma Asistente Técnico'!$AI$5:$AI$1000,$N97),""),IF(INDEX('Cronograma Asistente Técnico'!$J$5:$J$1000,$N97)="","",INDEX('Cronograma Asistente Técnico'!$J$5:$J$1000,$N97))))</f>
        <v/>
      </c>
      <c r="H97" s="61">
        <f>IF($N97="","",IF($P97&gt;0,IF(3&lt;=SemanaActual,INDEX('Cronograma Asistente Técnico'!$AJ$5:$AJ$1000,$N97),""),IF(INDEX('Cronograma Asistente Técnico'!$K$5:$K$1000,$N97)="","",INDEX('Cronograma Asistente Técnico'!$K$5:$K$1000,$N97))))</f>
        <v/>
      </c>
      <c r="I97" s="61">
        <f>IF($N97="","",IF($P97&gt;0,IF(4&lt;=SemanaActual,INDEX('Cronograma Asistente Técnico'!$AK$5:$AK$1000,$N97),""),IF(INDEX('Cronograma Asistente Técnico'!$L$5:$L$1000,$N97)="","",INDEX('Cronograma Asistente Técnico'!$L$5:$L$1000,$N97))))</f>
        <v/>
      </c>
      <c r="J97" s="61">
        <f>IF($N97="","",INDEX('Cronograma Asistente Técnico'!$M$5:$M$1000,$N97))</f>
        <v/>
      </c>
      <c r="K97" s="56">
        <f>IF($N97="","",IF(N($J97)&gt;=1,"Completado",IF(AND(ISNUMBER($D97),$D97&lt;FechaRef),"Vencida",IF(N($J97)&gt;0,"En curso","Pendiente"))))</f>
        <v/>
      </c>
      <c r="L97" s="56">
        <f>IF($N97="","",INDEX('Cronograma Asistente Técnico'!$O$5:$O$1000,$N97)&amp;"")</f>
        <v/>
      </c>
      <c r="M97" s="62">
        <f>IF($N97="","",INDEX('Cronograma Asistente Técnico'!$Q$5:$Q$1000,$N97)&amp;"")</f>
        <v/>
      </c>
      <c r="N97">
        <f>IFERROR(MATCH(ROW()-4,rOrden_ATR,0),"")</f>
        <v/>
      </c>
      <c r="O97">
        <f>IF($N97="","",INDEX('Cronograma Asistente Técnico'!$V$5:$V$1000,$N97))</f>
        <v/>
      </c>
      <c r="P97">
        <f>IF($N97="","",N(INDEX('Cronograma Asistente Técnico'!$W$5:$W$1000,$N97)))</f>
        <v/>
      </c>
      <c r="Q97">
        <f>IF(OR(LEFT($L97,7)="Vencida",LEFT($L97,5)="Vence"),SUMPRODUCT(--(LEFT($L$5:$L97,7)="Vencida"))+SUMPRODUCT(--(LEFT($L$5:$L97,5)="Vence")),"")</f>
        <v/>
      </c>
    </row>
    <row r="98">
      <c r="A98" s="56">
        <f>IF($N98="","",INDEX('Cronograma Asistente Técnico'!$A$5:$A$1000,$N98))</f>
        <v/>
      </c>
      <c r="B98" s="62">
        <f>IF($N98="","",IF($O98="Sub","      ↳  "&amp;INDEX('Cronograma Asistente Técnico'!$C$5:$C$1000,$N98),INDEX('Cronograma Asistente Técnico'!$C$5:$C$1000,$N98)&amp;""))</f>
        <v/>
      </c>
      <c r="C98" s="79">
        <f>IF($N98="","",IF(INDEX('Cronograma Asistente Técnico'!$AR$5:$AR$1000,$N98)="","",INDEX('Cronograma Asistente Técnico'!$AR$5:$AR$1000,$N98)))</f>
        <v/>
      </c>
      <c r="D98" s="79">
        <f>IF($N98="","",IF(INDEX('Cronograma Asistente Técnico'!$AS$5:$AS$1000,$N98)="","",INDEX('Cronograma Asistente Técnico'!$AS$5:$AS$1000,$N98)))</f>
        <v/>
      </c>
      <c r="E98" s="56">
        <f>IF($N98="","",IF(NOT(ISNUMBER($D98)),"",IF($D98&lt;InicioCiclo,"Antes del ciclo",IF($D98&gt;=InicioCiclo+28,"Después del ciclo","Semana "&amp;(INT(($D98-InicioCiclo)/7)+1)))))</f>
        <v/>
      </c>
      <c r="F98" s="61">
        <f>IF($N98="","",IF($P98&gt;0,IF(1&lt;=SemanaActual,INDEX('Cronograma Asistente Técnico'!$AH$5:$AH$1000,$N98),""),IF(INDEX('Cronograma Asistente Técnico'!$I$5:$I$1000,$N98)="","",INDEX('Cronograma Asistente Técnico'!$I$5:$I$1000,$N98))))</f>
        <v/>
      </c>
      <c r="G98" s="61">
        <f>IF($N98="","",IF($P98&gt;0,IF(2&lt;=SemanaActual,INDEX('Cronograma Asistente Técnico'!$AI$5:$AI$1000,$N98),""),IF(INDEX('Cronograma Asistente Técnico'!$J$5:$J$1000,$N98)="","",INDEX('Cronograma Asistente Técnico'!$J$5:$J$1000,$N98))))</f>
        <v/>
      </c>
      <c r="H98" s="61">
        <f>IF($N98="","",IF($P98&gt;0,IF(3&lt;=SemanaActual,INDEX('Cronograma Asistente Técnico'!$AJ$5:$AJ$1000,$N98),""),IF(INDEX('Cronograma Asistente Técnico'!$K$5:$K$1000,$N98)="","",INDEX('Cronograma Asistente Técnico'!$K$5:$K$1000,$N98))))</f>
        <v/>
      </c>
      <c r="I98" s="61">
        <f>IF($N98="","",IF($P98&gt;0,IF(4&lt;=SemanaActual,INDEX('Cronograma Asistente Técnico'!$AK$5:$AK$1000,$N98),""),IF(INDEX('Cronograma Asistente Técnico'!$L$5:$L$1000,$N98)="","",INDEX('Cronograma Asistente Técnico'!$L$5:$L$1000,$N98))))</f>
        <v/>
      </c>
      <c r="J98" s="61">
        <f>IF($N98="","",INDEX('Cronograma Asistente Técnico'!$M$5:$M$1000,$N98))</f>
        <v/>
      </c>
      <c r="K98" s="56">
        <f>IF($N98="","",IF(N($J98)&gt;=1,"Completado",IF(AND(ISNUMBER($D98),$D98&lt;FechaRef),"Vencida",IF(N($J98)&gt;0,"En curso","Pendiente"))))</f>
        <v/>
      </c>
      <c r="L98" s="56">
        <f>IF($N98="","",INDEX('Cronograma Asistente Técnico'!$O$5:$O$1000,$N98)&amp;"")</f>
        <v/>
      </c>
      <c r="M98" s="62">
        <f>IF($N98="","",INDEX('Cronograma Asistente Técnico'!$Q$5:$Q$1000,$N98)&amp;"")</f>
        <v/>
      </c>
      <c r="N98">
        <f>IFERROR(MATCH(ROW()-4,rOrden_ATR,0),"")</f>
        <v/>
      </c>
      <c r="O98">
        <f>IF($N98="","",INDEX('Cronograma Asistente Técnico'!$V$5:$V$1000,$N98))</f>
        <v/>
      </c>
      <c r="P98">
        <f>IF($N98="","",N(INDEX('Cronograma Asistente Técnico'!$W$5:$W$1000,$N98)))</f>
        <v/>
      </c>
      <c r="Q98">
        <f>IF(OR(LEFT($L98,7)="Vencida",LEFT($L98,5)="Vence"),SUMPRODUCT(--(LEFT($L$5:$L98,7)="Vencida"))+SUMPRODUCT(--(LEFT($L$5:$L98,5)="Vence")),"")</f>
        <v/>
      </c>
    </row>
    <row r="99">
      <c r="A99" s="56">
        <f>IF($N99="","",INDEX('Cronograma Asistente Técnico'!$A$5:$A$1000,$N99))</f>
        <v/>
      </c>
      <c r="B99" s="62">
        <f>IF($N99="","",IF($O99="Sub","      ↳  "&amp;INDEX('Cronograma Asistente Técnico'!$C$5:$C$1000,$N99),INDEX('Cronograma Asistente Técnico'!$C$5:$C$1000,$N99)&amp;""))</f>
        <v/>
      </c>
      <c r="C99" s="79">
        <f>IF($N99="","",IF(INDEX('Cronograma Asistente Técnico'!$AR$5:$AR$1000,$N99)="","",INDEX('Cronograma Asistente Técnico'!$AR$5:$AR$1000,$N99)))</f>
        <v/>
      </c>
      <c r="D99" s="79">
        <f>IF($N99="","",IF(INDEX('Cronograma Asistente Técnico'!$AS$5:$AS$1000,$N99)="","",INDEX('Cronograma Asistente Técnico'!$AS$5:$AS$1000,$N99)))</f>
        <v/>
      </c>
      <c r="E99" s="56">
        <f>IF($N99="","",IF(NOT(ISNUMBER($D99)),"",IF($D99&lt;InicioCiclo,"Antes del ciclo",IF($D99&gt;=InicioCiclo+28,"Después del ciclo","Semana "&amp;(INT(($D99-InicioCiclo)/7)+1)))))</f>
        <v/>
      </c>
      <c r="F99" s="61">
        <f>IF($N99="","",IF($P99&gt;0,IF(1&lt;=SemanaActual,INDEX('Cronograma Asistente Técnico'!$AH$5:$AH$1000,$N99),""),IF(INDEX('Cronograma Asistente Técnico'!$I$5:$I$1000,$N99)="","",INDEX('Cronograma Asistente Técnico'!$I$5:$I$1000,$N99))))</f>
        <v/>
      </c>
      <c r="G99" s="61">
        <f>IF($N99="","",IF($P99&gt;0,IF(2&lt;=SemanaActual,INDEX('Cronograma Asistente Técnico'!$AI$5:$AI$1000,$N99),""),IF(INDEX('Cronograma Asistente Técnico'!$J$5:$J$1000,$N99)="","",INDEX('Cronograma Asistente Técnico'!$J$5:$J$1000,$N99))))</f>
        <v/>
      </c>
      <c r="H99" s="61">
        <f>IF($N99="","",IF($P99&gt;0,IF(3&lt;=SemanaActual,INDEX('Cronograma Asistente Técnico'!$AJ$5:$AJ$1000,$N99),""),IF(INDEX('Cronograma Asistente Técnico'!$K$5:$K$1000,$N99)="","",INDEX('Cronograma Asistente Técnico'!$K$5:$K$1000,$N99))))</f>
        <v/>
      </c>
      <c r="I99" s="61">
        <f>IF($N99="","",IF($P99&gt;0,IF(4&lt;=SemanaActual,INDEX('Cronograma Asistente Técnico'!$AK$5:$AK$1000,$N99),""),IF(INDEX('Cronograma Asistente Técnico'!$L$5:$L$1000,$N99)="","",INDEX('Cronograma Asistente Técnico'!$L$5:$L$1000,$N99))))</f>
        <v/>
      </c>
      <c r="J99" s="61">
        <f>IF($N99="","",INDEX('Cronograma Asistente Técnico'!$M$5:$M$1000,$N99))</f>
        <v/>
      </c>
      <c r="K99" s="56">
        <f>IF($N99="","",IF(N($J99)&gt;=1,"Completado",IF(AND(ISNUMBER($D99),$D99&lt;FechaRef),"Vencida",IF(N($J99)&gt;0,"En curso","Pendiente"))))</f>
        <v/>
      </c>
      <c r="L99" s="56">
        <f>IF($N99="","",INDEX('Cronograma Asistente Técnico'!$O$5:$O$1000,$N99)&amp;"")</f>
        <v/>
      </c>
      <c r="M99" s="62">
        <f>IF($N99="","",INDEX('Cronograma Asistente Técnico'!$Q$5:$Q$1000,$N99)&amp;"")</f>
        <v/>
      </c>
      <c r="N99">
        <f>IFERROR(MATCH(ROW()-4,rOrden_ATR,0),"")</f>
        <v/>
      </c>
      <c r="O99">
        <f>IF($N99="","",INDEX('Cronograma Asistente Técnico'!$V$5:$V$1000,$N99))</f>
        <v/>
      </c>
      <c r="P99">
        <f>IF($N99="","",N(INDEX('Cronograma Asistente Técnico'!$W$5:$W$1000,$N99)))</f>
        <v/>
      </c>
      <c r="Q99">
        <f>IF(OR(LEFT($L99,7)="Vencida",LEFT($L99,5)="Vence"),SUMPRODUCT(--(LEFT($L$5:$L99,7)="Vencida"))+SUMPRODUCT(--(LEFT($L$5:$L99,5)="Vence")),"")</f>
        <v/>
      </c>
    </row>
    <row r="100">
      <c r="A100" s="56">
        <f>IF($N100="","",INDEX('Cronograma Asistente Técnico'!$A$5:$A$1000,$N100))</f>
        <v/>
      </c>
      <c r="B100" s="62">
        <f>IF($N100="","",IF($O100="Sub","      ↳  "&amp;INDEX('Cronograma Asistente Técnico'!$C$5:$C$1000,$N100),INDEX('Cronograma Asistente Técnico'!$C$5:$C$1000,$N100)&amp;""))</f>
        <v/>
      </c>
      <c r="C100" s="79">
        <f>IF($N100="","",IF(INDEX('Cronograma Asistente Técnico'!$AR$5:$AR$1000,$N100)="","",INDEX('Cronograma Asistente Técnico'!$AR$5:$AR$1000,$N100)))</f>
        <v/>
      </c>
      <c r="D100" s="79">
        <f>IF($N100="","",IF(INDEX('Cronograma Asistente Técnico'!$AS$5:$AS$1000,$N100)="","",INDEX('Cronograma Asistente Técnico'!$AS$5:$AS$1000,$N100)))</f>
        <v/>
      </c>
      <c r="E100" s="56">
        <f>IF($N100="","",IF(NOT(ISNUMBER($D100)),"",IF($D100&lt;InicioCiclo,"Antes del ciclo",IF($D100&gt;=InicioCiclo+28,"Después del ciclo","Semana "&amp;(INT(($D100-InicioCiclo)/7)+1)))))</f>
        <v/>
      </c>
      <c r="F100" s="61">
        <f>IF($N100="","",IF($P100&gt;0,IF(1&lt;=SemanaActual,INDEX('Cronograma Asistente Técnico'!$AH$5:$AH$1000,$N100),""),IF(INDEX('Cronograma Asistente Técnico'!$I$5:$I$1000,$N100)="","",INDEX('Cronograma Asistente Técnico'!$I$5:$I$1000,$N100))))</f>
        <v/>
      </c>
      <c r="G100" s="61">
        <f>IF($N100="","",IF($P100&gt;0,IF(2&lt;=SemanaActual,INDEX('Cronograma Asistente Técnico'!$AI$5:$AI$1000,$N100),""),IF(INDEX('Cronograma Asistente Técnico'!$J$5:$J$1000,$N100)="","",INDEX('Cronograma Asistente Técnico'!$J$5:$J$1000,$N100))))</f>
        <v/>
      </c>
      <c r="H100" s="61">
        <f>IF($N100="","",IF($P100&gt;0,IF(3&lt;=SemanaActual,INDEX('Cronograma Asistente Técnico'!$AJ$5:$AJ$1000,$N100),""),IF(INDEX('Cronograma Asistente Técnico'!$K$5:$K$1000,$N100)="","",INDEX('Cronograma Asistente Técnico'!$K$5:$K$1000,$N100))))</f>
        <v/>
      </c>
      <c r="I100" s="61">
        <f>IF($N100="","",IF($P100&gt;0,IF(4&lt;=SemanaActual,INDEX('Cronograma Asistente Técnico'!$AK$5:$AK$1000,$N100),""),IF(INDEX('Cronograma Asistente Técnico'!$L$5:$L$1000,$N100)="","",INDEX('Cronograma Asistente Técnico'!$L$5:$L$1000,$N100))))</f>
        <v/>
      </c>
      <c r="J100" s="61">
        <f>IF($N100="","",INDEX('Cronograma Asistente Técnico'!$M$5:$M$1000,$N100))</f>
        <v/>
      </c>
      <c r="K100" s="56">
        <f>IF($N100="","",IF(N($J100)&gt;=1,"Completado",IF(AND(ISNUMBER($D100),$D100&lt;FechaRef),"Vencida",IF(N($J100)&gt;0,"En curso","Pendiente"))))</f>
        <v/>
      </c>
      <c r="L100" s="56">
        <f>IF($N100="","",INDEX('Cronograma Asistente Técnico'!$O$5:$O$1000,$N100)&amp;"")</f>
        <v/>
      </c>
      <c r="M100" s="62">
        <f>IF($N100="","",INDEX('Cronograma Asistente Técnico'!$Q$5:$Q$1000,$N100)&amp;"")</f>
        <v/>
      </c>
      <c r="N100">
        <f>IFERROR(MATCH(ROW()-4,rOrden_ATR,0),"")</f>
        <v/>
      </c>
      <c r="O100">
        <f>IF($N100="","",INDEX('Cronograma Asistente Técnico'!$V$5:$V$1000,$N100))</f>
        <v/>
      </c>
      <c r="P100">
        <f>IF($N100="","",N(INDEX('Cronograma Asistente Técnico'!$W$5:$W$1000,$N100)))</f>
        <v/>
      </c>
      <c r="Q100">
        <f>IF(OR(LEFT($L100,7)="Vencida",LEFT($L100,5)="Vence"),SUMPRODUCT(--(LEFT($L$5:$L100,7)="Vencida"))+SUMPRODUCT(--(LEFT($L$5:$L100,5)="Vence")),"")</f>
        <v/>
      </c>
    </row>
    <row r="101">
      <c r="A101" s="56">
        <f>IF($N101="","",INDEX('Cronograma Asistente Técnico'!$A$5:$A$1000,$N101))</f>
        <v/>
      </c>
      <c r="B101" s="62">
        <f>IF($N101="","",IF($O101="Sub","      ↳  "&amp;INDEX('Cronograma Asistente Técnico'!$C$5:$C$1000,$N101),INDEX('Cronograma Asistente Técnico'!$C$5:$C$1000,$N101)&amp;""))</f>
        <v/>
      </c>
      <c r="C101" s="79">
        <f>IF($N101="","",IF(INDEX('Cronograma Asistente Técnico'!$AR$5:$AR$1000,$N101)="","",INDEX('Cronograma Asistente Técnico'!$AR$5:$AR$1000,$N101)))</f>
        <v/>
      </c>
      <c r="D101" s="79">
        <f>IF($N101="","",IF(INDEX('Cronograma Asistente Técnico'!$AS$5:$AS$1000,$N101)="","",INDEX('Cronograma Asistente Técnico'!$AS$5:$AS$1000,$N101)))</f>
        <v/>
      </c>
      <c r="E101" s="56">
        <f>IF($N101="","",IF(NOT(ISNUMBER($D101)),"",IF($D101&lt;InicioCiclo,"Antes del ciclo",IF($D101&gt;=InicioCiclo+28,"Después del ciclo","Semana "&amp;(INT(($D101-InicioCiclo)/7)+1)))))</f>
        <v/>
      </c>
      <c r="F101" s="61">
        <f>IF($N101="","",IF($P101&gt;0,IF(1&lt;=SemanaActual,INDEX('Cronograma Asistente Técnico'!$AH$5:$AH$1000,$N101),""),IF(INDEX('Cronograma Asistente Técnico'!$I$5:$I$1000,$N101)="","",INDEX('Cronograma Asistente Técnico'!$I$5:$I$1000,$N101))))</f>
        <v/>
      </c>
      <c r="G101" s="61">
        <f>IF($N101="","",IF($P101&gt;0,IF(2&lt;=SemanaActual,INDEX('Cronograma Asistente Técnico'!$AI$5:$AI$1000,$N101),""),IF(INDEX('Cronograma Asistente Técnico'!$J$5:$J$1000,$N101)="","",INDEX('Cronograma Asistente Técnico'!$J$5:$J$1000,$N101))))</f>
        <v/>
      </c>
      <c r="H101" s="61">
        <f>IF($N101="","",IF($P101&gt;0,IF(3&lt;=SemanaActual,INDEX('Cronograma Asistente Técnico'!$AJ$5:$AJ$1000,$N101),""),IF(INDEX('Cronograma Asistente Técnico'!$K$5:$K$1000,$N101)="","",INDEX('Cronograma Asistente Técnico'!$K$5:$K$1000,$N101))))</f>
        <v/>
      </c>
      <c r="I101" s="61">
        <f>IF($N101="","",IF($P101&gt;0,IF(4&lt;=SemanaActual,INDEX('Cronograma Asistente Técnico'!$AK$5:$AK$1000,$N101),""),IF(INDEX('Cronograma Asistente Técnico'!$L$5:$L$1000,$N101)="","",INDEX('Cronograma Asistente Técnico'!$L$5:$L$1000,$N101))))</f>
        <v/>
      </c>
      <c r="J101" s="61">
        <f>IF($N101="","",INDEX('Cronograma Asistente Técnico'!$M$5:$M$1000,$N101))</f>
        <v/>
      </c>
      <c r="K101" s="56">
        <f>IF($N101="","",IF(N($J101)&gt;=1,"Completado",IF(AND(ISNUMBER($D101),$D101&lt;FechaRef),"Vencida",IF(N($J101)&gt;0,"En curso","Pendiente"))))</f>
        <v/>
      </c>
      <c r="L101" s="56">
        <f>IF($N101="","",INDEX('Cronograma Asistente Técnico'!$O$5:$O$1000,$N101)&amp;"")</f>
        <v/>
      </c>
      <c r="M101" s="62">
        <f>IF($N101="","",INDEX('Cronograma Asistente Técnico'!$Q$5:$Q$1000,$N101)&amp;"")</f>
        <v/>
      </c>
      <c r="N101">
        <f>IFERROR(MATCH(ROW()-4,rOrden_ATR,0),"")</f>
        <v/>
      </c>
      <c r="O101">
        <f>IF($N101="","",INDEX('Cronograma Asistente Técnico'!$V$5:$V$1000,$N101))</f>
        <v/>
      </c>
      <c r="P101">
        <f>IF($N101="","",N(INDEX('Cronograma Asistente Técnico'!$W$5:$W$1000,$N101)))</f>
        <v/>
      </c>
      <c r="Q101">
        <f>IF(OR(LEFT($L101,7)="Vencida",LEFT($L101,5)="Vence"),SUMPRODUCT(--(LEFT($L$5:$L101,7)="Vencida"))+SUMPRODUCT(--(LEFT($L$5:$L101,5)="Vence")),"")</f>
        <v/>
      </c>
    </row>
    <row r="102">
      <c r="A102" s="56">
        <f>IF($N102="","",INDEX('Cronograma Asistente Técnico'!$A$5:$A$1000,$N102))</f>
        <v/>
      </c>
      <c r="B102" s="62">
        <f>IF($N102="","",IF($O102="Sub","      ↳  "&amp;INDEX('Cronograma Asistente Técnico'!$C$5:$C$1000,$N102),INDEX('Cronograma Asistente Técnico'!$C$5:$C$1000,$N102)&amp;""))</f>
        <v/>
      </c>
      <c r="C102" s="79">
        <f>IF($N102="","",IF(INDEX('Cronograma Asistente Técnico'!$AR$5:$AR$1000,$N102)="","",INDEX('Cronograma Asistente Técnico'!$AR$5:$AR$1000,$N102)))</f>
        <v/>
      </c>
      <c r="D102" s="79">
        <f>IF($N102="","",IF(INDEX('Cronograma Asistente Técnico'!$AS$5:$AS$1000,$N102)="","",INDEX('Cronograma Asistente Técnico'!$AS$5:$AS$1000,$N102)))</f>
        <v/>
      </c>
      <c r="E102" s="56">
        <f>IF($N102="","",IF(NOT(ISNUMBER($D102)),"",IF($D102&lt;InicioCiclo,"Antes del ciclo",IF($D102&gt;=InicioCiclo+28,"Después del ciclo","Semana "&amp;(INT(($D102-InicioCiclo)/7)+1)))))</f>
        <v/>
      </c>
      <c r="F102" s="61">
        <f>IF($N102="","",IF($P102&gt;0,IF(1&lt;=SemanaActual,INDEX('Cronograma Asistente Técnico'!$AH$5:$AH$1000,$N102),""),IF(INDEX('Cronograma Asistente Técnico'!$I$5:$I$1000,$N102)="","",INDEX('Cronograma Asistente Técnico'!$I$5:$I$1000,$N102))))</f>
        <v/>
      </c>
      <c r="G102" s="61">
        <f>IF($N102="","",IF($P102&gt;0,IF(2&lt;=SemanaActual,INDEX('Cronograma Asistente Técnico'!$AI$5:$AI$1000,$N102),""),IF(INDEX('Cronograma Asistente Técnico'!$J$5:$J$1000,$N102)="","",INDEX('Cronograma Asistente Técnico'!$J$5:$J$1000,$N102))))</f>
        <v/>
      </c>
      <c r="H102" s="61">
        <f>IF($N102="","",IF($P102&gt;0,IF(3&lt;=SemanaActual,INDEX('Cronograma Asistente Técnico'!$AJ$5:$AJ$1000,$N102),""),IF(INDEX('Cronograma Asistente Técnico'!$K$5:$K$1000,$N102)="","",INDEX('Cronograma Asistente Técnico'!$K$5:$K$1000,$N102))))</f>
        <v/>
      </c>
      <c r="I102" s="61">
        <f>IF($N102="","",IF($P102&gt;0,IF(4&lt;=SemanaActual,INDEX('Cronograma Asistente Técnico'!$AK$5:$AK$1000,$N102),""),IF(INDEX('Cronograma Asistente Técnico'!$L$5:$L$1000,$N102)="","",INDEX('Cronograma Asistente Técnico'!$L$5:$L$1000,$N102))))</f>
        <v/>
      </c>
      <c r="J102" s="61">
        <f>IF($N102="","",INDEX('Cronograma Asistente Técnico'!$M$5:$M$1000,$N102))</f>
        <v/>
      </c>
      <c r="K102" s="56">
        <f>IF($N102="","",IF(N($J102)&gt;=1,"Completado",IF(AND(ISNUMBER($D102),$D102&lt;FechaRef),"Vencida",IF(N($J102)&gt;0,"En curso","Pendiente"))))</f>
        <v/>
      </c>
      <c r="L102" s="56">
        <f>IF($N102="","",INDEX('Cronograma Asistente Técnico'!$O$5:$O$1000,$N102)&amp;"")</f>
        <v/>
      </c>
      <c r="M102" s="62">
        <f>IF($N102="","",INDEX('Cronograma Asistente Técnico'!$Q$5:$Q$1000,$N102)&amp;"")</f>
        <v/>
      </c>
      <c r="N102">
        <f>IFERROR(MATCH(ROW()-4,rOrden_ATR,0),"")</f>
        <v/>
      </c>
      <c r="O102">
        <f>IF($N102="","",INDEX('Cronograma Asistente Técnico'!$V$5:$V$1000,$N102))</f>
        <v/>
      </c>
      <c r="P102">
        <f>IF($N102="","",N(INDEX('Cronograma Asistente Técnico'!$W$5:$W$1000,$N102)))</f>
        <v/>
      </c>
      <c r="Q102">
        <f>IF(OR(LEFT($L102,7)="Vencida",LEFT($L102,5)="Vence"),SUMPRODUCT(--(LEFT($L$5:$L102,7)="Vencida"))+SUMPRODUCT(--(LEFT($L$5:$L102,5)="Vence")),"")</f>
        <v/>
      </c>
    </row>
    <row r="103">
      <c r="A103" s="56">
        <f>IF($N103="","",INDEX('Cronograma Asistente Técnico'!$A$5:$A$1000,$N103))</f>
        <v/>
      </c>
      <c r="B103" s="62">
        <f>IF($N103="","",IF($O103="Sub","      ↳  "&amp;INDEX('Cronograma Asistente Técnico'!$C$5:$C$1000,$N103),INDEX('Cronograma Asistente Técnico'!$C$5:$C$1000,$N103)&amp;""))</f>
        <v/>
      </c>
      <c r="C103" s="79">
        <f>IF($N103="","",IF(INDEX('Cronograma Asistente Técnico'!$AR$5:$AR$1000,$N103)="","",INDEX('Cronograma Asistente Técnico'!$AR$5:$AR$1000,$N103)))</f>
        <v/>
      </c>
      <c r="D103" s="79">
        <f>IF($N103="","",IF(INDEX('Cronograma Asistente Técnico'!$AS$5:$AS$1000,$N103)="","",INDEX('Cronograma Asistente Técnico'!$AS$5:$AS$1000,$N103)))</f>
        <v/>
      </c>
      <c r="E103" s="56">
        <f>IF($N103="","",IF(NOT(ISNUMBER($D103)),"",IF($D103&lt;InicioCiclo,"Antes del ciclo",IF($D103&gt;=InicioCiclo+28,"Después del ciclo","Semana "&amp;(INT(($D103-InicioCiclo)/7)+1)))))</f>
        <v/>
      </c>
      <c r="F103" s="61">
        <f>IF($N103="","",IF($P103&gt;0,IF(1&lt;=SemanaActual,INDEX('Cronograma Asistente Técnico'!$AH$5:$AH$1000,$N103),""),IF(INDEX('Cronograma Asistente Técnico'!$I$5:$I$1000,$N103)="","",INDEX('Cronograma Asistente Técnico'!$I$5:$I$1000,$N103))))</f>
        <v/>
      </c>
      <c r="G103" s="61">
        <f>IF($N103="","",IF($P103&gt;0,IF(2&lt;=SemanaActual,INDEX('Cronograma Asistente Técnico'!$AI$5:$AI$1000,$N103),""),IF(INDEX('Cronograma Asistente Técnico'!$J$5:$J$1000,$N103)="","",INDEX('Cronograma Asistente Técnico'!$J$5:$J$1000,$N103))))</f>
        <v/>
      </c>
      <c r="H103" s="61">
        <f>IF($N103="","",IF($P103&gt;0,IF(3&lt;=SemanaActual,INDEX('Cronograma Asistente Técnico'!$AJ$5:$AJ$1000,$N103),""),IF(INDEX('Cronograma Asistente Técnico'!$K$5:$K$1000,$N103)="","",INDEX('Cronograma Asistente Técnico'!$K$5:$K$1000,$N103))))</f>
        <v/>
      </c>
      <c r="I103" s="61">
        <f>IF($N103="","",IF($P103&gt;0,IF(4&lt;=SemanaActual,INDEX('Cronograma Asistente Técnico'!$AK$5:$AK$1000,$N103),""),IF(INDEX('Cronograma Asistente Técnico'!$L$5:$L$1000,$N103)="","",INDEX('Cronograma Asistente Técnico'!$L$5:$L$1000,$N103))))</f>
        <v/>
      </c>
      <c r="J103" s="61">
        <f>IF($N103="","",INDEX('Cronograma Asistente Técnico'!$M$5:$M$1000,$N103))</f>
        <v/>
      </c>
      <c r="K103" s="56">
        <f>IF($N103="","",IF(N($J103)&gt;=1,"Completado",IF(AND(ISNUMBER($D103),$D103&lt;FechaRef),"Vencida",IF(N($J103)&gt;0,"En curso","Pendiente"))))</f>
        <v/>
      </c>
      <c r="L103" s="56">
        <f>IF($N103="","",INDEX('Cronograma Asistente Técnico'!$O$5:$O$1000,$N103)&amp;"")</f>
        <v/>
      </c>
      <c r="M103" s="62">
        <f>IF($N103="","",INDEX('Cronograma Asistente Técnico'!$Q$5:$Q$1000,$N103)&amp;"")</f>
        <v/>
      </c>
      <c r="N103">
        <f>IFERROR(MATCH(ROW()-4,rOrden_ATR,0),"")</f>
        <v/>
      </c>
      <c r="O103">
        <f>IF($N103="","",INDEX('Cronograma Asistente Técnico'!$V$5:$V$1000,$N103))</f>
        <v/>
      </c>
      <c r="P103">
        <f>IF($N103="","",N(INDEX('Cronograma Asistente Técnico'!$W$5:$W$1000,$N103)))</f>
        <v/>
      </c>
      <c r="Q103">
        <f>IF(OR(LEFT($L103,7)="Vencida",LEFT($L103,5)="Vence"),SUMPRODUCT(--(LEFT($L$5:$L103,7)="Vencida"))+SUMPRODUCT(--(LEFT($L$5:$L103,5)="Vence")),"")</f>
        <v/>
      </c>
    </row>
    <row r="104">
      <c r="A104" s="56">
        <f>IF($N104="","",INDEX('Cronograma Asistente Técnico'!$A$5:$A$1000,$N104))</f>
        <v/>
      </c>
      <c r="B104" s="62">
        <f>IF($N104="","",IF($O104="Sub","      ↳  "&amp;INDEX('Cronograma Asistente Técnico'!$C$5:$C$1000,$N104),INDEX('Cronograma Asistente Técnico'!$C$5:$C$1000,$N104)&amp;""))</f>
        <v/>
      </c>
      <c r="C104" s="79">
        <f>IF($N104="","",IF(INDEX('Cronograma Asistente Técnico'!$AR$5:$AR$1000,$N104)="","",INDEX('Cronograma Asistente Técnico'!$AR$5:$AR$1000,$N104)))</f>
        <v/>
      </c>
      <c r="D104" s="79">
        <f>IF($N104="","",IF(INDEX('Cronograma Asistente Técnico'!$AS$5:$AS$1000,$N104)="","",INDEX('Cronograma Asistente Técnico'!$AS$5:$AS$1000,$N104)))</f>
        <v/>
      </c>
      <c r="E104" s="56">
        <f>IF($N104="","",IF(NOT(ISNUMBER($D104)),"",IF($D104&lt;InicioCiclo,"Antes del ciclo",IF($D104&gt;=InicioCiclo+28,"Después del ciclo","Semana "&amp;(INT(($D104-InicioCiclo)/7)+1)))))</f>
        <v/>
      </c>
      <c r="F104" s="61">
        <f>IF($N104="","",IF($P104&gt;0,IF(1&lt;=SemanaActual,INDEX('Cronograma Asistente Técnico'!$AH$5:$AH$1000,$N104),""),IF(INDEX('Cronograma Asistente Técnico'!$I$5:$I$1000,$N104)="","",INDEX('Cronograma Asistente Técnico'!$I$5:$I$1000,$N104))))</f>
        <v/>
      </c>
      <c r="G104" s="61">
        <f>IF($N104="","",IF($P104&gt;0,IF(2&lt;=SemanaActual,INDEX('Cronograma Asistente Técnico'!$AI$5:$AI$1000,$N104),""),IF(INDEX('Cronograma Asistente Técnico'!$J$5:$J$1000,$N104)="","",INDEX('Cronograma Asistente Técnico'!$J$5:$J$1000,$N104))))</f>
        <v/>
      </c>
      <c r="H104" s="61">
        <f>IF($N104="","",IF($P104&gt;0,IF(3&lt;=SemanaActual,INDEX('Cronograma Asistente Técnico'!$AJ$5:$AJ$1000,$N104),""),IF(INDEX('Cronograma Asistente Técnico'!$K$5:$K$1000,$N104)="","",INDEX('Cronograma Asistente Técnico'!$K$5:$K$1000,$N104))))</f>
        <v/>
      </c>
      <c r="I104" s="61">
        <f>IF($N104="","",IF($P104&gt;0,IF(4&lt;=SemanaActual,INDEX('Cronograma Asistente Técnico'!$AK$5:$AK$1000,$N104),""),IF(INDEX('Cronograma Asistente Técnico'!$L$5:$L$1000,$N104)="","",INDEX('Cronograma Asistente Técnico'!$L$5:$L$1000,$N104))))</f>
        <v/>
      </c>
      <c r="J104" s="61">
        <f>IF($N104="","",INDEX('Cronograma Asistente Técnico'!$M$5:$M$1000,$N104))</f>
        <v/>
      </c>
      <c r="K104" s="56">
        <f>IF($N104="","",IF(N($J104)&gt;=1,"Completado",IF(AND(ISNUMBER($D104),$D104&lt;FechaRef),"Vencida",IF(N($J104)&gt;0,"En curso","Pendiente"))))</f>
        <v/>
      </c>
      <c r="L104" s="56">
        <f>IF($N104="","",INDEX('Cronograma Asistente Técnico'!$O$5:$O$1000,$N104)&amp;"")</f>
        <v/>
      </c>
      <c r="M104" s="62">
        <f>IF($N104="","",INDEX('Cronograma Asistente Técnico'!$Q$5:$Q$1000,$N104)&amp;"")</f>
        <v/>
      </c>
      <c r="N104">
        <f>IFERROR(MATCH(ROW()-4,rOrden_ATR,0),"")</f>
        <v/>
      </c>
      <c r="O104">
        <f>IF($N104="","",INDEX('Cronograma Asistente Técnico'!$V$5:$V$1000,$N104))</f>
        <v/>
      </c>
      <c r="P104">
        <f>IF($N104="","",N(INDEX('Cronograma Asistente Técnico'!$W$5:$W$1000,$N104)))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6">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B1:B102"/>
  <sheetViews>
    <sheetView showGridLines="0" zoomScale="90" workbookViewId="0">
      <selection activeCell="A1" sqref="A1"/>
    </sheetView>
  </sheetViews>
  <sheetFormatPr baseColWidth="8" defaultRowHeight="15"/>
  <cols>
    <col width="3" customWidth="1" min="1" max="1"/>
    <col width="120" customWidth="1" min="2" max="2"/>
  </cols>
  <sheetData>
    <row r="1" ht="28" customHeight="1">
      <c r="B1" s="65" t="inlineStr">
        <is>
          <t>Instrucciones – cómo usar este archivo</t>
        </is>
      </c>
    </row>
    <row r="3" ht="20" customHeight="1">
      <c r="B3" s="86" t="inlineStr">
        <is>
          <t>¿Para qué sirve este archivo?</t>
        </is>
      </c>
    </row>
    <row r="4" ht="45" customHeight="1">
      <c r="B4" s="87" t="inlineStr">
        <is>
          <t>Sirve para planificar y medir, MES A MES, las actividades de los cuatro puestos del área: Riesgo Operacional, Riesgo Normativo, Riesgo Financiero y Asistente Técnico de Riesgo. Cada mes se divide en 4 semanas y la meta es que las actividades lleguen al 100% al terminar la Semana 4. Todo lo de meses anteriores queda guardado como historial.</t>
        </is>
      </c>
    </row>
    <row r="6" ht="20" customHeight="1">
      <c r="B6" s="86" t="inlineStr">
        <is>
          <t>Colores: qué se llena y qué no</t>
        </is>
      </c>
    </row>
    <row r="7" ht="15" customHeight="1">
      <c r="B7" s="87" t="inlineStr">
        <is>
          <t>• GRIS SUAVE = celda que usted llena (desbloqueada).</t>
        </is>
      </c>
    </row>
    <row r="8" ht="15" customHeight="1">
      <c r="B8" s="87" t="inlineStr">
        <is>
          <t>• AZUL MUY CLARO = celda automática (bloqueada: no se puede escribir en ella).</t>
        </is>
      </c>
    </row>
    <row r="9" ht="30" customHeight="1">
      <c r="B9" s="87" t="inlineStr">
        <is>
          <t>• Cada puesto tiene su color: NARANJA = Riesgo Operacional · MORADO = Riesgo Normativo · VERDE = Riesgo Financiero · AZUL = Asistente Técnico de Riesgo.</t>
        </is>
      </c>
    </row>
    <row r="10" ht="30" customHeight="1">
      <c r="B10" s="87" t="inlineStr">
        <is>
          <t>• Colores de avisos: verde = completado · azul claro = en curso · rojo suave = pendiente o dato faltante · ámbar = por vencer o mes actual · naranja = vencida.</t>
        </is>
      </c>
    </row>
    <row r="12" ht="20" customHeight="1">
      <c r="B12" s="86" t="inlineStr">
        <is>
          <t>Las hojas del archivo</t>
        </is>
      </c>
    </row>
    <row r="13" ht="30" customHeight="1">
      <c r="B13" s="87" t="inlineStr">
        <is>
          <t>• Dashboard - Consolidado: resumen del MES ACTUAL con dos gráficas (avance de cada puesto y avance por semana vs plan). Se actualiza solo; no se llena.</t>
        </is>
      </c>
    </row>
    <row r="14" ht="30" customHeight="1">
      <c r="B14" s="87" t="inlineStr">
        <is>
          <t>• Historial mensual: tabla con el avance de cada puesto mes a mes desde octubre 2026 y gráfica de los últimos 6 meses. Se actualiza sola.</t>
        </is>
      </c>
    </row>
    <row r="15" ht="30" customHeight="1">
      <c r="B15" s="87" t="inlineStr">
        <is>
          <t>• Cronograma (una por puesto): la ÚNICA hoja donde cada responsable escribe sus actividades, pesos, avances y observaciones.</t>
        </is>
      </c>
    </row>
    <row r="16" ht="30" customHeight="1">
      <c r="B16" s="87" t="inlineStr">
        <is>
          <t>• Actividades (una por puesto, al lado de su cronograma): muestra sola las actividades del mes, semana por semana. Está bloqueada; no se escribe nada.</t>
        </is>
      </c>
    </row>
    <row r="17" ht="15" customHeight="1">
      <c r="B17" s="87" t="inlineStr">
        <is>
          <t>• Configuración: mes, semana y fecha de corte. Todo se calcula solo con la fecha de hoy.</t>
        </is>
      </c>
    </row>
    <row r="19" ht="20" customHeight="1">
      <c r="B19" s="86" t="inlineStr">
        <is>
          <t>Cómo llenar su hoja «Cronograma» (paso a paso)</t>
        </is>
      </c>
    </row>
    <row r="20" ht="15" customHeight="1">
      <c r="B20" s="87" t="inlineStr">
        <is>
          <t>1) Abra la pestaña «Cronograma» de SU puesto y escriba en la primera fila vacía (celdas gris suave).</t>
        </is>
      </c>
    </row>
    <row r="21" ht="15" customHeight="1">
      <c r="B21" s="87" t="inlineStr">
        <is>
          <t>2) En «Tipo» elija «Macroactividad» (si lo deja vacío, también cuenta como macroactividad).</t>
        </is>
      </c>
    </row>
    <row r="22" ht="30" customHeight="1">
      <c r="B22" s="87" t="inlineStr">
        <is>
          <t>3) Escriba el nombre en «Actividad», la Fecha de inicio y la Fecha límite. El N° (1, 2, 3… por mes) y el Mes se llenan solos.</t>
        </is>
      </c>
    </row>
    <row r="23" ht="45" customHeight="1">
      <c r="B23" s="87" t="inlineStr">
        <is>
          <t>4) Peso de la macroactividad (OPCIONAL): si lo deja vacío, todas las macroactividades del mes valen lo mismo. Si escribe pesos, se ajustan solos para sumar 100% (ej. si escribe 60% y 20%, quedan 75% y 25%). No hace falta que sumen 100% ni que esté todo el mes completo.</t>
        </is>
      </c>
    </row>
    <row r="24" ht="30" customHeight="1">
      <c r="B24" s="87" t="inlineStr">
        <is>
          <t>5) CUANDO TERMINE una actividad, escriba la FECHA DE CUMPLIMIENTO: queda al 100%, «Completado», y la alerta dice «Cumplida» (ya no aparece vencida).</t>
        </is>
      </c>
    </row>
    <row r="25" ht="30" customHeight="1">
      <c r="B25" s="87" t="inlineStr">
        <is>
          <t>6) Avances parciales (opcional): si una macroactividad sin subactividades va a medias, puede escribir en la columna de la semana el % total logrado hasta esa semana (ej. Semana 1 = 30%, Semana 2 = 70%).</t>
        </is>
      </c>
    </row>
    <row r="26" ht="15" customHeight="1">
      <c r="B26" s="87" t="inlineStr">
        <is>
          <t>7) El «% de Avance Total Actual», el «Estado» y la «Alerta de plazo» se calculan solos.</t>
        </is>
      </c>
    </row>
    <row r="27" ht="15" customHeight="1">
      <c r="B27" s="87" t="inlineStr">
        <is>
          <t>8) Observaciones: si una actividad se atrasa o no se cumplió, escriba aquí el motivo y la nueva fecha.</t>
        </is>
      </c>
    </row>
    <row r="29" ht="20" customHeight="1">
      <c r="B29" s="86" t="inlineStr">
        <is>
          <t>Subactividades (puede agregar todas las que necesite)</t>
        </is>
      </c>
    </row>
    <row r="30" ht="30" customHeight="1">
      <c r="B30" s="87" t="inlineStr">
        <is>
          <t>1) Debajo de la macroactividad, en las filas siguientes, elija en «Tipo» la opción «Subactividad» y escriba su nombre en «Actividad», con sus fechas. Se verá con sangría (↳) justo debajo de su macroactividad.</t>
        </is>
      </c>
    </row>
    <row r="31" ht="15" customHeight="1">
      <c r="B31" s="87" t="inlineStr">
        <is>
          <t>2) El N° NO se escribe: sale solo 1.1, 1.2, 1.3… (la columna está bloqueada).</t>
        </is>
      </c>
    </row>
    <row r="32" ht="30" customHeight="1">
      <c r="B32" s="87" t="inlineStr">
        <is>
          <t>3) En la columna «Peso / % de la subactividad» escriba cuánto vale cada subactividad dentro de su macroactividad (entre todas suman 100%). Si la deja vacía, se reparte en partes iguales (3 subactividades → 33% cada una).</t>
        </is>
      </c>
    </row>
    <row r="33" ht="30" customHeight="1">
      <c r="B33" s="87" t="inlineStr">
        <is>
          <t>4) Avance de la subactividad: si va a medias, escriba su % en la semana (ej. 60% en Semana 2); cuando la termine, escriba su FECHA DE CUMPLIMIENTO (cuenta 100% y la semana de esa fecha se pinta de verde).</t>
        </is>
      </c>
    </row>
    <row r="34" ht="60" customHeight="1">
      <c r="B34" s="87" t="inlineStr">
        <is>
          <t>5) La macroactividad se llena SOLA, semana por semana: suma lo que aporta cada subactividad (su % dentro de la macro × su avance). Ej.: 1.1 vale 40% y está terminada → aporta 40%; 1.2 vale 30% y va al 50% → aporta 15%; la macroactividad queda en 55%. En la fila de la macroactividad no escriba en las semanas. La subactividad no muestra % total, estado ni alerta.</t>
        </is>
      </c>
    </row>
    <row r="35" ht="30" customHeight="1">
      <c r="B35" s="87" t="inlineStr">
        <is>
          <t>6) Para agregar otra subactividad más adelante, escríbala debajo de las demás subactividades de su macroactividad: siempre pertenece a la macroactividad que esté más arriba.</t>
        </is>
      </c>
    </row>
    <row r="37" ht="20" customHeight="1">
      <c r="B37" s="86" t="inlineStr">
        <is>
          <t>Alerta de plazo (vencidas y por vencer)</t>
        </is>
      </c>
    </row>
    <row r="38" ht="30" customHeight="1">
      <c r="B38" s="87" t="inlineStr">
        <is>
          <t>La columna «Alerta de plazo» (en el Cronograma, la hoja Actividades y Administración) dice en cada macroactividad (las subactividades no llevan alerta; la lleva su macroactividad):</t>
        </is>
      </c>
    </row>
    <row r="39" ht="30" customHeight="1">
      <c r="B39" s="87" t="inlineStr">
        <is>
          <t>• «Cumplida» (verde): tiene fecha de cumplimiento o llegó al 100%. Si se cumplió después de la fecha límite dice «Cumplida con X días de retraso».</t>
        </is>
      </c>
    </row>
    <row r="40" ht="30" customHeight="1">
      <c r="B40" s="87" t="inlineStr">
        <is>
          <t>• «Vencida hace X días» (rojo): pasó la fecha límite y no tiene fecha de cumplimiento. Escriba en Observaciones por qué no se cumplió.</t>
        </is>
      </c>
    </row>
    <row r="41" ht="30" customHeight="1">
      <c r="B41" s="87" t="inlineStr">
        <is>
          <t>• «Vence hoy» o «Vence en X días» (amarillo): la fecha límite está cerca (el número de días se cambia en Configuración).</t>
        </is>
      </c>
    </row>
    <row r="42" ht="15" customHeight="1">
      <c r="B42" s="87" t="inlineStr">
        <is>
          <t>• «En plazo» (verde claro): todavía hay tiempo.</t>
        </is>
      </c>
    </row>
    <row r="43" ht="30" customHeight="1">
      <c r="B43" s="87" t="inlineStr">
        <is>
          <t>Arriba de cada hoja aparece el total del mes («X vencida(s) · Y por vencer») y el Dashboard muestra lo mismo por puesto y para la jefatura.</t>
        </is>
      </c>
    </row>
    <row r="45" ht="20" customHeight="1">
      <c r="B45" s="86" t="inlineStr">
        <is>
          <t>Hoja «Administración» (jefatura) y cómo DELEGAR actividades</t>
        </is>
      </c>
    </row>
    <row r="46" ht="30" customHeight="1">
      <c r="B46" s="87" t="inlineStr">
        <is>
          <t>Es la lista de actividades de la jefatura, con el mismo formato del Cronograma: Tipo (macroactividad / subactividad), actividad, fechas, fecha de cumplimiento, avance por semana, estado, alerta de plazo y observaciones.</t>
        </is>
      </c>
    </row>
    <row r="47" ht="30" customHeight="1">
      <c r="B47" s="87" t="inlineStr">
        <is>
          <t>DELEGAR: 1) La jefatura escribe la macroactividad y en «Delegar a» elige el puesto (si lo deja vacío, la actividad es de la jefatura).</t>
        </is>
      </c>
    </row>
    <row r="48" ht="30" customHeight="1">
      <c r="B48" s="87" t="inlineStr">
        <is>
          <t>2) Al puesto le aparece arriba de su Cronograma un aviso amarillo: «La jefatura le delegó X actividad(es)… pendiente(s) de agregar».</t>
        </is>
      </c>
    </row>
    <row r="49" ht="60" customHeight="1">
      <c r="B49" s="87" t="inlineStr">
        <is>
          <t>3) El puesto, en una fila nueva de su Cronograma, abre la lista de la columna «Actividad» y elige la actividad (sale como «[Jefatura] nombre»). La FECHA DE INICIO y la FECHA LÍMITE aparecen solas: las pone la jefatura y el puesto no las puede cambiar (Excel lo impide). El puesto solo registra la FECHA DE CUMPLIMIENTO, el % de avance semanal, las observaciones y, si quiere, subactividades debajo. No debe cambiar el texto elegido.</t>
        </is>
      </c>
    </row>
    <row r="50" ht="30" customHeight="1">
      <c r="B50" s="87" t="inlineStr">
        <is>
          <t>4) En la hoja Administración, las columnas «% de Avance», «Estado», «Alerta de plazo» y «Seguimiento» de esa actividad se llenan solas con lo que registra el puesto. «Seguimiento» dice «✔ Recibida por …» o «⚠ … aún no la agrega».</t>
        </is>
      </c>
    </row>
    <row r="51" ht="45" customHeight="1">
      <c r="B51" s="87" t="inlineStr">
        <is>
          <t>5) La actividad delegada CUENTA COMO TRABAJO DEL PUESTO: es una macroactividad más de su Cronograma y suma en su avance del mes, en el Dashboard y en el Historial (con el mismo peso que las demás, o el peso que el puesto le ponga).</t>
        </is>
      </c>
    </row>
    <row r="52" ht="30" customHeight="1">
      <c r="B52" s="87" t="inlineStr">
        <is>
          <t>Nota: si la jefatura cambia las fechas, se actualizan solas en el puesto. Si cambia el NOMBRE de una actividad ya delegada, el puesto debe volver a elegirla en la lista.</t>
        </is>
      </c>
    </row>
    <row r="53" ht="45" customHeight="1">
      <c r="B53" s="87" t="inlineStr">
        <is>
          <t>Para que SOLO la jefatura pueda escribir en la hoja Administración: en esa hoja vaya a Revisar &gt; Desproteger hoja, seleccione las celdas grises de la tabla, Inicio &gt; Formato &gt; Bloquear celda, y luego Revisar &gt; Proteger hoja con una contraseña que solo tenga la jefatura (para editar, la jefatura desprotege con su contraseña).</t>
        </is>
      </c>
    </row>
    <row r="54" ht="15" customHeight="1">
      <c r="B54" s="87" t="inlineStr">
        <is>
          <t>Las vencidas y por vencer de la jefatura también aparecen en el Dashboard, en la tabla de alertas de plazo.</t>
        </is>
      </c>
    </row>
    <row r="56" ht="20" customHeight="1">
      <c r="B56" s="86" t="inlineStr">
        <is>
          <t>¿Qué es la columna «Revisión automática (alertas)»?</t>
        </is>
      </c>
    </row>
    <row r="57" ht="45" customHeight="1">
      <c r="B57" s="87" t="inlineStr">
        <is>
          <t>Es un revisor automático: revisa cada fila y avisa si algo falta o está mal. «✔ OK» = todo bien. «⚠» = hay algo que corregir y dice qué es, por ejemplo: «Sin fecha límite», «Pesos del mes suman 90%», «Pesos de sus subactividades suman 50% (deben sumar 60%)», «Avance semanal decreciente» o «Vencida».</t>
        </is>
      </c>
    </row>
    <row r="58" ht="15" customHeight="1">
      <c r="B58" s="87" t="inlineStr">
        <is>
          <t>No hay que escribir nada en esa columna. Corrija lo que indica y el aviso desaparece.</t>
        </is>
      </c>
    </row>
    <row r="60" ht="20" customHeight="1">
      <c r="B60" s="86" t="inlineStr">
        <is>
          <t>La hoja «Actividades» (automática y bloqueada)</t>
        </is>
      </c>
    </row>
    <row r="61" ht="45" customHeight="1">
      <c r="B61" s="87" t="inlineStr">
        <is>
          <t>1) Muestra solo las MACROACTIVIDADES del mes actual de su Cronograma, en orden, con su alerta de plazo. Las subactividades no aparecen aquí (se ven en el Cronograma), pero su avance ya está sumado en el % de su macroactividad. No se escribe nada en ella.</t>
        </is>
      </c>
    </row>
    <row r="62" ht="15" customHeight="1">
      <c r="B62" s="87" t="inlineStr">
        <is>
          <t>2) «Semana de entrega» indica en qué semana del mes cae la fecha límite (la semana actual se resalta en amarillo).</t>
        </is>
      </c>
    </row>
    <row r="63" ht="45" customHeight="1">
      <c r="B63" s="87" t="inlineStr">
        <is>
          <t>3) Las columnas Semana 1 a 4 muestran una barra del color del puesto en las semanas en que la actividad está programada (de la fecha de inicio a la fecha límite) y, dentro, el avance anotado esa semana. Si la actividad está vencida, la barra se pone naranja.</t>
        </is>
      </c>
    </row>
    <row r="64" ht="15" customHeight="1">
      <c r="B64" s="87" t="inlineStr">
        <is>
          <t>4) Para cambiar algo, corríjalo en el Cronograma: esta hoja se actualiza al instante.</t>
        </is>
      </c>
    </row>
    <row r="66" ht="20" customHeight="1">
      <c r="B66" s="86" t="inlineStr">
        <is>
          <t>Cada mes nuevo: NO se borra nada</t>
        </is>
      </c>
    </row>
    <row r="67" ht="30" customHeight="1">
      <c r="B67" s="87" t="inlineStr">
        <is>
          <t>1) Al empezar el mes, cada responsable escribe las actividades del nuevo mes en las filas vacías de su Cronograma, DEBAJO de las del mes anterior. No borre nada: los meses pasados quedan como historial.</t>
        </is>
      </c>
    </row>
    <row r="68" ht="30" customHeight="1">
      <c r="B68" s="87" t="inlineStr">
        <is>
          <t>2) El mes de cada actividad se asigna solo según su fecha de inicio. El Dashboard y las hojas Actividades muestran automáticamente el mes actual, con su Semana 1 a 4.</t>
        </is>
      </c>
    </row>
    <row r="69" ht="30" customHeight="1">
      <c r="B69" s="87" t="inlineStr">
        <is>
          <t>3) Si una actividad se repite cada mes, cópiela en una fila nueva y cambie sus fechas al nuevo mes (y borre los avances de la copia).</t>
        </is>
      </c>
    </row>
    <row r="70" ht="45" customHeight="1">
      <c r="B70" s="87" t="inlineStr">
        <is>
          <t>4) Para revisar un mes anterior: en Configuración, en «Mes que se muestra», escriba cualquier fecha de ese mes (ej. 01/09/2026). Dashboard y Actividades mostrarán ese mes. Para volver al mes actual escriba =FECHA(AÑO(HOY());MES(HOY());1).</t>
        </is>
      </c>
    </row>
    <row r="71" ht="15" customHeight="1">
      <c r="B71" s="87" t="inlineStr">
        <is>
          <t>5) La hoja «Historial mensual» muestra el avance de cada puesto mes a mes, desde octubre 2026 (24 meses).</t>
        </is>
      </c>
    </row>
    <row r="72" ht="30" customHeight="1">
      <c r="B72" s="87" t="inlineStr">
        <is>
          <t>6) Cada Cronograma tiene 300 filas (por ejemplo, 25 actividades al mes durante un año). Si se llena, vea «Necesito más filas» o guarde una copia anual del archivo (Archivo &gt; Guardar una copia).</t>
        </is>
      </c>
    </row>
    <row r="74" ht="20" customHeight="1">
      <c r="B74" s="86" t="inlineStr">
        <is>
          <t>El Dashboard (resumen automático del mes)</t>
        </is>
      </c>
    </row>
    <row r="75" ht="30" customHeight="1">
      <c r="B75" s="87" t="inlineStr">
        <is>
          <t>• Muestra el avance de cada puesto y el general, cuántas actividades están completadas, en curso, pendientes o vencidas, y el avance de cada semana del mes.</t>
        </is>
      </c>
    </row>
    <row r="76" ht="30" customHeight="1">
      <c r="B76" s="87" t="inlineStr">
        <is>
          <t>• Avance del puesto = suma de (peso × avance) de sus actividades del mes. Avance general = promedio de los 4 puestos (todos valen igual).</t>
        </is>
      </c>
    </row>
    <row r="77" ht="30" customHeight="1">
      <c r="B77" s="87" t="inlineStr">
        <is>
          <t>• Si un puesto llega al 100% antes de la Semana 4 aparece «¡Enhorabuena, completado anticipadamente!». Si llega en la Semana 4: «Completado».</t>
        </is>
      </c>
    </row>
    <row r="78" ht="30" customHeight="1">
      <c r="B78" s="87" t="inlineStr">
        <is>
          <t>• Si un puesto no tiene actividades en el mes o sus pesos no suman 100%, el avance general aparece como «No definitivo» hasta que se corrija.</t>
        </is>
      </c>
    </row>
    <row r="79" ht="15" customHeight="1">
      <c r="B79" s="87" t="inlineStr">
        <is>
          <t>• Haga clic en el nombre de un puesto para ir a su hoja.</t>
        </is>
      </c>
    </row>
    <row r="81" ht="20" customHeight="1">
      <c r="B81" s="86" t="inlineStr">
        <is>
          <t>Compartir el archivo para que TODOS editen al mismo tiempo (OneDrive / SharePoint / Teams)</t>
        </is>
      </c>
    </row>
    <row r="82" ht="45" customHeight="1">
      <c r="B82" s="87" t="inlineStr">
        <is>
          <t>Este archivo ya está listo para la coautoría de Excel: varias personas escriben a la vez y ven los cambios de los demás en segundos. NO use «Compartir libro (heredado)»: es la opción antigua, no funciona con las tablas de este archivo y no hace falta.</t>
        </is>
      </c>
    </row>
    <row r="83" ht="30" customHeight="1">
      <c r="B83" s="87" t="inlineStr">
        <is>
          <t>1) Suba el archivo a la carpeta compartida de OneDrive, SharePoint o al canal de Teams (pestaña Archivos). Súbalo UNA sola vez; todos trabajan sobre esa misma copia.</t>
        </is>
      </c>
    </row>
    <row r="84" ht="30" customHeight="1">
      <c r="B84" s="87" t="inlineStr">
        <is>
          <t>2) Botón Compartir &gt; invite a los cuatro responsables y a la jefatura con permiso «Puede editar» (la jefatura escribe en la hoja Administración).</t>
        </is>
      </c>
    </row>
    <row r="85" ht="60" customHeight="1">
      <c r="B85" s="87" t="inlineStr">
        <is>
          <t>3) Cada persona lo abre en Excel de ESCRITORIO (no hace falta Excel en la Web), de cualquiera de estas formas: a) desde el Explorador de Windows, en la carpeta de OneDrive/SharePoint sincronizada (botón «Sincronizar» de la biblioteca), con doble clic; b) en Excel: Archivo &gt; Abrir &gt; OneDrive o Sitios; c) desde Teams: «…» &gt; Abrir en la aplicación de escritorio. No lo descargue ni lo envíe por correo: una copia descargada ya no se comparte.</t>
        </is>
      </c>
    </row>
    <row r="86" ht="45" customHeight="1">
      <c r="B86" s="87" t="inlineStr">
        <is>
          <t>4) Requisitos: Excel de Microsoft 365 (escritorio), con la sesión iniciada con la cuenta de la empresa y «Autoguardado» ACTIVADO (arriba a la izquierda). Con Excel 2016/2019 (sin Microsoft 365) o con el Autoguardado apagado, el archivo se bloquea para los demás. Si alguien no tiene Microsoft 365, puede usar Excel en la Web solo como respaldo.</t>
        </is>
      </c>
    </row>
    <row r="87" ht="30" customHeight="1">
      <c r="B87" s="87" t="inlineStr">
        <is>
          <t>5) Arriba a la derecha aparecen las iniciales de quienes están dentro, y cada uno ve con un color la celda donde está el otro.</t>
        </is>
      </c>
    </row>
    <row r="88" ht="30" customHeight="1">
      <c r="B88" s="87" t="inlineStr">
        <is>
          <t>6) Cada quien escribe solo en su hoja: su Cronograma (o Administración para la jefatura). Dashboard, Actividades e Historial se actualizan solos para todos.</t>
        </is>
      </c>
    </row>
    <row r="89" ht="30" customHeight="1">
      <c r="B89" s="87" t="inlineStr">
        <is>
          <t>7) Si alguien borra algo por error: Archivo &gt; Información &gt; Historial de versiones permite recuperar una versión anterior y ver quién cambió qué.</t>
        </is>
      </c>
    </row>
    <row r="91" ht="20" customHeight="1">
      <c r="B91" s="86" t="inlineStr">
        <is>
          <t>Protección</t>
        </is>
      </c>
    </row>
    <row r="92" ht="45" customHeight="1">
      <c r="B92" s="87" t="inlineStr">
        <is>
          <t>Las celdas automáticas (azul muy claro) están bloqueadas y las de llenar (gris suave) desbloqueadas. Las hojas Dashboard, Actividades, Historial y Configuración (salvo sus celdas gris suave) están completamente bloqueadas. La protección no tiene contraseña.</t>
        </is>
      </c>
    </row>
    <row r="93" ht="30" customHeight="1">
      <c r="B93" s="87" t="inlineStr">
        <is>
          <t>Para poner contraseña: Revisar &gt; Desproteger hoja y luego Revisar &gt; Proteger hoja; marque «Seleccionar celdas desbloqueadas», «Usar Autofiltro» y «Ordenar», y escriba la contraseña.</t>
        </is>
      </c>
    </row>
    <row r="94" ht="60" customHeight="1">
      <c r="B94" s="87" t="inlineStr">
        <is>
          <t>Importante: en un archivo compartido, cualquier persona con permiso de edición podría escribir en el Cronograma de otro puesto. Si se necesita impedirlo por completo, se usan cuatro archivos (uno por puesto) y este archivo los une con Power Query (Datos &gt; Obtener datos &gt; Desde SharePoint/carpeta, una consulta por tabla tblAct_XX, con «Actualizar al abrir»).</t>
        </is>
      </c>
    </row>
    <row r="96" ht="20" customHeight="1">
      <c r="B96" s="86" t="inlineStr">
        <is>
          <t>Necesito más filas</t>
        </is>
      </c>
    </row>
    <row r="97" ht="30" customHeight="1">
      <c r="B97" s="87" t="inlineStr">
        <is>
          <t>Revisar &gt; Desproteger hoja, colóquese en la última celda de la tabla del Cronograma y presione Tab; las fórmulas se copian solas. Luego vuelva a proteger la hoja. El Dashboard lee hasta la fila 1000.</t>
        </is>
      </c>
    </row>
    <row r="99" ht="20" customHeight="1">
      <c r="B99" s="86" t="inlineStr">
        <is>
          <t>Notas técnicas</t>
        </is>
      </c>
    </row>
    <row r="100" ht="30" customHeight="1">
      <c r="B100" s="87" t="inlineStr">
        <is>
          <t>• Archivo .xlsx sin macros, para Microsoft 365 en español (escritorio y Web). Las fórmulas se ven en español (BUSCAR, SI.ERROR, SUMAPRODUCTO, HOY…).</t>
        </is>
      </c>
    </row>
    <row r="101" ht="15" customHeight="1">
      <c r="B101" s="87" t="inlineStr">
        <is>
          <t>• Fórmula del avance actual: =SI.ERROR(BUSCAR(2;1/(G5:J5&lt;&gt;"");G5:J5);0) → toma el último avance semanal escrito.</t>
        </is>
      </c>
    </row>
    <row r="102" ht="30" customHeight="1">
      <c r="B102" s="87" t="inlineStr">
        <is>
          <t>• Mes de la actividad = mes de la fecha de inicio (si no hay, de la fecha límite). Semana actual = ENTERO((fecha de corte − primer lunes del mes) / 7) + 1, entre 1 y 4. Puede forzarse con «Semana manual» en Configuración.</t>
        </is>
      </c>
    </row>
  </sheetData>
  <sheetProtection selectLockedCells="0" selectUnlockedCells="0" sheet="1" objects="0" insertRows="1" insertHyperlinks="1" autoFilter="1" scenarios="0" formatColumns="1" deleteColumns="1" insertColumns="1" pivotTables="1" deleteRows="1" formatCells="1" formatRows="1" sort="1"/>
  <mergeCells count="1">
    <mergeCell ref="B1"/>
  </mergeCells>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B1:D55"/>
  <sheetViews>
    <sheetView showGridLines="0" zoomScale="90" workbookViewId="0">
      <pane ySplit="3" topLeftCell="A4" activePane="bottomLeft" state="frozen"/>
      <selection pane="bottomLeft" activeCell="A1" sqref="A1"/>
    </sheetView>
  </sheetViews>
  <sheetFormatPr baseColWidth="8" defaultRowHeight="15"/>
  <cols>
    <col width="3" customWidth="1" min="1" max="1"/>
    <col width="46" customWidth="1" min="2" max="2"/>
    <col width="18" customWidth="1" min="3" max="3"/>
    <col width="70" customWidth="1" min="4" max="4"/>
  </cols>
  <sheetData>
    <row r="1" ht="28" customHeight="1">
      <c r="B1" s="65" t="inlineStr">
        <is>
          <t>Configuración del ciclo mensual</t>
        </is>
      </c>
      <c r="C1" s="65" t="n"/>
      <c r="D1" s="65" t="n"/>
    </row>
    <row r="2">
      <c r="B2" s="88" t="inlineStr">
        <is>
          <t>Todo se calcula solo a partir de la fecha de hoy. Celdas GRIS SUAVE = puede escribir encima si necesita fijar otro valor; celdas AZUL CLARO = automáticas y bloqueadas.</t>
        </is>
      </c>
    </row>
    <row r="3">
      <c r="B3" s="7" t="inlineStr">
        <is>
          <t>Parámetro</t>
        </is>
      </c>
      <c r="C3" s="7" t="inlineStr">
        <is>
          <t>Valor</t>
        </is>
      </c>
      <c r="D3" s="7" t="inlineStr">
        <is>
          <t>Uso / nota</t>
        </is>
      </c>
    </row>
    <row r="4" ht="30" customHeight="1">
      <c r="B4" s="89" t="inlineStr">
        <is>
          <t>Mes que se muestra</t>
        </is>
      </c>
      <c r="C4" s="90">
        <f>DATE(YEAR(TODAY()),MONTH(TODAY()),1)</f>
        <v/>
      </c>
      <c r="D4" s="44" t="inlineStr">
        <is>
          <t>AUTOMÁTICO: mes actual. Para revisar un mes anterior (historial) escriba cualquier fecha de ese mes (ej. 01/09/2026); para volver al mes actual escriba =FECHA(AÑO(HOY());MES(HOY());1).</t>
        </is>
      </c>
    </row>
    <row r="5" ht="30" customHeight="1">
      <c r="B5" s="89" t="inlineStr">
        <is>
          <t>Fecha de inicio del ciclo (lunes de la Semana 1)</t>
        </is>
      </c>
      <c r="C5" s="91">
        <f>MesCiclo+MOD(2-WEEKDAY(MesCiclo),7)</f>
        <v/>
      </c>
      <c r="D5" s="44" t="inlineStr">
        <is>
          <t>AUTOMÁTICO: primer lunes del mes. Puede escribir otra fecha. Define en qué semana cae cada actividad en las hojas «Actividades».</t>
        </is>
      </c>
    </row>
    <row r="6" ht="30" customHeight="1">
      <c r="B6" s="89" t="inlineStr">
        <is>
          <t>Fecha de corte</t>
        </is>
      </c>
      <c r="C6" s="91">
        <f>TODAY()</f>
        <v/>
      </c>
      <c r="D6" s="44" t="inlineStr">
        <is>
          <t>AUTOMÁTICO: hoy. Puede escribir una fecha fija para emitir un reporte de corte. Determina actividades vencidas.</t>
        </is>
      </c>
    </row>
    <row r="7" ht="30" customHeight="1">
      <c r="B7" s="89" t="inlineStr">
        <is>
          <t>Semana actual del ciclo (1 a 4)</t>
        </is>
      </c>
      <c r="C7" s="92">
        <f>IF(SemanaManual&lt;&gt;"",SemanaManual,MIN(4,MAX(1,INT((FechaRef-InicioCiclo)/7)+1)))</f>
        <v/>
      </c>
      <c r="D7" s="44" t="inlineStr">
        <is>
          <t>AUTOMÁTICA: se calcula con la fecha de inicio y la fecha de corte. Controla los mensajes de finalización anticipada.</t>
        </is>
      </c>
    </row>
    <row r="8" ht="30" customHeight="1">
      <c r="B8" s="89" t="inlineStr">
        <is>
          <t>Semana manual (opcional)</t>
        </is>
      </c>
      <c r="C8" s="93" t="n"/>
      <c r="D8" s="44" t="inlineStr">
        <is>
          <t>Déjela VACÍA para usar la semana automática. Escriba 1–4 solo si necesita forzar otra semana.</t>
        </is>
      </c>
    </row>
    <row r="9" ht="30" customHeight="1">
      <c r="B9" s="89" t="inlineStr">
        <is>
          <t>Días de anticipación para alerta «próxima a vencer»</t>
        </is>
      </c>
      <c r="C9" s="93" t="n">
        <v>3</v>
      </c>
      <c r="D9" s="44" t="inlineStr">
        <is>
          <t>Actividades no completadas cuya fecha límite cae dentro de este número de días se señalan en ámbar.</t>
        </is>
      </c>
    </row>
    <row r="10" ht="30" customHeight="1">
      <c r="B10" s="89" t="inlineStr">
        <is>
          <t>¿Observación obligatoria si una actividad vence sin cumplirse?</t>
        </is>
      </c>
      <c r="C10" s="94" t="inlineStr">
        <is>
          <t>Sí</t>
        </is>
      </c>
      <c r="D10" s="44" t="inlineStr">
        <is>
          <t>Si es «Sí», una actividad vencida sin texto en Observaciones genera alerta (explicar por qué no se cumplió).</t>
        </is>
      </c>
    </row>
    <row r="11" ht="30" customHeight="1">
      <c r="B11" s="89" t="inlineStr">
        <is>
          <t>Meta mensual</t>
        </is>
      </c>
      <c r="C11" s="95" t="n">
        <v>1</v>
      </c>
      <c r="D11" s="44" t="inlineStr">
        <is>
          <t>Meta de cumplimiento de las actividades al cierre de la Semana 4 de cada mes.</t>
        </is>
      </c>
    </row>
    <row r="12" ht="30" customHeight="1">
      <c r="B12" s="89" t="inlineStr">
        <is>
          <t>Primer mes del historial</t>
        </is>
      </c>
      <c r="C12" s="90" t="n">
        <v>46296</v>
      </c>
      <c r="D12" s="44" t="inlineStr">
        <is>
          <t>El Historial mensual empieza en este mes (octubre 2026) y muestra 24 meses seguidos.</t>
        </is>
      </c>
    </row>
    <row r="14">
      <c r="B14" s="96" t="inlineStr">
        <is>
          <t>Plan de referencia (avance esperado acumulado por semana) – supuesto editable</t>
        </is>
      </c>
      <c r="C14" s="96" t="n"/>
      <c r="D14" s="96" t="n"/>
    </row>
    <row r="15">
      <c r="B15" s="97" t="inlineStr">
        <is>
          <t>Semana 1</t>
        </is>
      </c>
      <c r="C15" s="98" t="n">
        <v>0.25</v>
      </c>
      <c r="D15" s="99" t="inlineStr">
        <is>
          <t>Referencia lineal solo para comparación visual; no afecta el cálculo del avance real.</t>
        </is>
      </c>
    </row>
    <row r="16">
      <c r="B16" s="97" t="inlineStr">
        <is>
          <t>Semana 2</t>
        </is>
      </c>
      <c r="C16" s="98" t="n">
        <v>0.5</v>
      </c>
      <c r="D16" s="99" t="inlineStr">
        <is>
          <t>Referencia lineal solo para comparación visual; no afecta el cálculo del avance real.</t>
        </is>
      </c>
    </row>
    <row r="17">
      <c r="B17" s="97" t="inlineStr">
        <is>
          <t>Semana 3</t>
        </is>
      </c>
      <c r="C17" s="98" t="n">
        <v>0.75</v>
      </c>
      <c r="D17" s="99" t="inlineStr">
        <is>
          <t>Referencia lineal solo para comparación visual; no afecta el cálculo del avance real.</t>
        </is>
      </c>
    </row>
    <row r="18">
      <c r="B18" s="97" t="inlineStr">
        <is>
          <t>Semana 4</t>
        </is>
      </c>
      <c r="C18" s="98" t="n">
        <v>1</v>
      </c>
      <c r="D18" s="99" t="inlineStr">
        <is>
          <t>Referencia lineal solo para comparación visual; no afecta el cálculo del avance real.</t>
        </is>
      </c>
    </row>
    <row r="20">
      <c r="B20" s="100" t="inlineStr">
        <is>
          <t>Listas desplegables (no editar sin actualizar las fórmulas)</t>
        </is>
      </c>
      <c r="C20" s="100" t="n"/>
      <c r="D20" s="100" t="n"/>
    </row>
    <row r="21">
      <c r="B21" s="101" t="inlineStr">
        <is>
          <t>Áreas / Puestos</t>
        </is>
      </c>
    </row>
    <row r="22">
      <c r="B22" s="102" t="inlineStr">
        <is>
          <t>Riesgo Operacional</t>
        </is>
      </c>
    </row>
    <row r="23">
      <c r="B23" s="102" t="inlineStr">
        <is>
          <t>Riesgo Normativo</t>
        </is>
      </c>
    </row>
    <row r="24">
      <c r="B24" s="102" t="inlineStr">
        <is>
          <t>Riesgo Financiero</t>
        </is>
      </c>
    </row>
    <row r="25">
      <c r="B25" s="102" t="inlineStr">
        <is>
          <t>Asistente Técnico de Riesgo</t>
        </is>
      </c>
    </row>
    <row r="27">
      <c r="B27" s="101" t="inlineStr">
        <is>
          <t>Estados</t>
        </is>
      </c>
    </row>
    <row r="28">
      <c r="B28" s="102" t="inlineStr">
        <is>
          <t>Pendiente</t>
        </is>
      </c>
    </row>
    <row r="29">
      <c r="B29" s="102" t="inlineStr">
        <is>
          <t>En curso</t>
        </is>
      </c>
    </row>
    <row r="30">
      <c r="B30" s="102" t="inlineStr">
        <is>
          <t>Completado</t>
        </is>
      </c>
    </row>
    <row r="32">
      <c r="B32" s="101" t="inlineStr">
        <is>
          <t>Semanas</t>
        </is>
      </c>
    </row>
    <row r="33">
      <c r="B33" s="102" t="inlineStr">
        <is>
          <t>Semana 1</t>
        </is>
      </c>
    </row>
    <row r="34">
      <c r="B34" s="102" t="inlineStr">
        <is>
          <t>Semana 2</t>
        </is>
      </c>
    </row>
    <row r="35">
      <c r="B35" s="102" t="inlineStr">
        <is>
          <t>Semana 3</t>
        </is>
      </c>
    </row>
    <row r="36">
      <c r="B36" s="102" t="inlineStr">
        <is>
          <t>Semana 4</t>
        </is>
      </c>
    </row>
    <row r="38">
      <c r="B38" s="101" t="inlineStr">
        <is>
          <t>Sí / No</t>
        </is>
      </c>
    </row>
    <row r="39">
      <c r="B39" s="102" t="inlineStr">
        <is>
          <t>Sí</t>
        </is>
      </c>
    </row>
    <row r="40">
      <c r="B40" s="102" t="inlineStr">
        <is>
          <t>No</t>
        </is>
      </c>
    </row>
    <row r="43">
      <c r="B43" s="100" t="inlineStr">
        <is>
          <t>Metodología de cálculo (documentación)</t>
        </is>
      </c>
      <c r="C43" s="100" t="n"/>
      <c r="D43" s="100" t="n"/>
    </row>
    <row r="44" ht="30" customHeight="1">
      <c r="B44" s="103" t="inlineStr">
        <is>
          <t>1. Avance de una actividad = último avance semanal acumulado registrado (Semana 4 → 1), ignorando semanas vacías. Los avances semanales NO se suman.</t>
        </is>
      </c>
      <c r="C44" s="103" t="n"/>
      <c r="D44" s="103" t="n"/>
    </row>
    <row r="45" ht="30" customHeight="1">
      <c r="B45" s="103" t="inlineStr">
        <is>
          <t>2. Estado automático: 0% = Pendiente; &gt;0% y &lt;100% = En curso; 100% = Completado.</t>
        </is>
      </c>
      <c r="C45" s="103" t="n"/>
      <c r="D45" s="103" t="n"/>
    </row>
    <row r="46" ht="30" customHeight="1">
      <c r="B46" s="103" t="inlineStr">
        <is>
          <t>3. Avance ponderado del puesto = Σ (peso efectivo × avance actual) de las macroactividades del mes. Es válido si el puesto tiene ≥1 macroactividad en el mes y ningún peso fuera de 0–100%.</t>
        </is>
      </c>
      <c r="C46" s="103" t="n"/>
      <c r="D46" s="103" t="n"/>
    </row>
    <row r="47" ht="30" customHeight="1">
      <c r="B47" s="103" t="inlineStr">
        <is>
          <t>0. Cada actividad pertenece al mes de su fecha de inicio (columna «Mes» del Cronograma). Dashboard, hojas Actividades y cálculos usan solo el mes mostrado; los meses anteriores quedan en el Historial mensual.</t>
        </is>
      </c>
      <c r="C47" s="103" t="n"/>
      <c r="D47" s="103" t="n"/>
    </row>
    <row r="48" ht="30" customHeight="1">
      <c r="B48" s="103" t="inlineStr">
        <is>
          <t>0b. Subactividades: filas con Tipo «Subactividad» pertenecen a la macroactividad más cercana hacia arriba. Avance de la macroactividad = suma de (% de cada subactividad dentro de la macro — columna Peso; vacío = partes iguales — × su avance: 100% con fecha de cumplimiento, o su último % semanal), semana por semana (máximo 100%). Una fila con Fecha de cumplimiento cuenta 100% desde la semana en que se cumplió. Peso efectivo de cada macroactividad = su peso / suma de pesos del mes (vacío = partes iguales), por lo que siempre suma 100%.</t>
        </is>
      </c>
      <c r="C48" s="103" t="n"/>
      <c r="D48" s="103" t="n"/>
    </row>
    <row r="49" ht="30" customHeight="1">
      <c r="B49" s="103" t="inlineStr">
        <is>
          <t>4. Avance general de las actividades = promedio simple de los 4 puestos (cada puesto pesa 25%, sin importar cuántas actividades tenga). Si algún puesto no es válido, el Dashboard muestra «No definitivo» y un valor provisional rotulado como tal.</t>
        </is>
      </c>
      <c r="C49" s="103" t="n"/>
      <c r="D49" s="103" t="n"/>
    </row>
    <row r="50" ht="30" customHeight="1">
      <c r="B50" s="103" t="inlineStr">
        <is>
          <t>5. Avance semanal acumulado (Semana n) = Σ peso × último avance registrado hasta la Semana n. Incremento semanal = acumulado Semana n − acumulado Semana n−1.</t>
        </is>
      </c>
      <c r="C50" s="103" t="n"/>
      <c r="D50" s="103" t="n"/>
    </row>
    <row r="51" ht="30" customHeight="1">
      <c r="B51" s="103" t="inlineStr">
        <is>
          <t>6. «¡Enhorabuena, completado anticipadamente!»: el puesto (o el total de actividades del mes) es válido, llega al 100% y la semana en que lo alcanzó (la menor entre la primera semana con 100% registrada y la Semana actual) es anterior a la Semana 4. Si lo alcanza en la Semana 4: «Completado». Si no: «En ejecución».</t>
        </is>
      </c>
      <c r="C51" s="103" t="n"/>
      <c r="D51" s="103" t="n"/>
    </row>
    <row r="52" ht="30" customHeight="1">
      <c r="B52" s="103" t="inlineStr">
        <is>
          <t>7. Una semana se muestra en el seguimiento si es ≤ Semana actual o si ya tiene algún avance registrado.</t>
        </is>
      </c>
      <c r="C52" s="103" t="n"/>
      <c r="D52" s="103" t="n"/>
    </row>
    <row r="53" ht="30" customHeight="1">
      <c r="B53" s="103" t="inlineStr">
        <is>
          <t>8. Cada puesto tiene su propia hoja «Cronograma» y su hoja «Actividades» semanales. El Dashboard consolida los cuatro cronogramas (filas 5 a 1000) y las cuatro hojas de actividades (filas 5 a 500).</t>
        </is>
      </c>
      <c r="C53" s="103" t="n"/>
      <c r="D53" s="103" t="n"/>
    </row>
    <row r="54" ht="30" customHeight="1">
      <c r="B54" s="103" t="inlineStr">
        <is>
          <t>9. Semana actual = ENTERO((fecha de corte − fecha de inicio) / 7) + 1, limitada entre 1 y 4, salvo que se escriba una semana manual.</t>
        </is>
      </c>
      <c r="C54" s="103" t="n"/>
      <c r="D54" s="103" t="n"/>
    </row>
    <row r="55" ht="30" customHeight="1">
      <c r="B55" s="103" t="inlineStr">
        <is>
          <t>10. Hojas «Actividades»: se llenan solas desde el Cronograma del puesto. Semana de entrega = semana en que cae la fecha límite. Estado: Completado (100%), Vencida (pasó la fecha límite sin llegar a 100%), En curso o Pendiente.</t>
        </is>
      </c>
      <c r="C55" s="103" t="n"/>
      <c r="D55" s="103" t="n"/>
    </row>
  </sheetData>
  <sheetProtection selectLockedCells="0" selectUnlockedCells="0" sheet="1" objects="0" insertRows="1" insertHyperlinks="1" autoFilter="1" scenarios="0" formatColumns="0" deleteColumns="1" insertColumns="1" pivotTables="1" deleteRows="1" formatCells="1" formatRows="1" sort="1"/>
  <mergeCells count="16">
    <mergeCell ref="B54:D54"/>
    <mergeCell ref="B14:D14"/>
    <mergeCell ref="B45:D45"/>
    <mergeCell ref="B46:D46"/>
    <mergeCell ref="B1:D1"/>
    <mergeCell ref="B49:D49"/>
    <mergeCell ref="B50:D50"/>
    <mergeCell ref="B52:D52"/>
    <mergeCell ref="B44:D44"/>
    <mergeCell ref="B53:D53"/>
    <mergeCell ref="B43:D43"/>
    <mergeCell ref="B55:D55"/>
    <mergeCell ref="B51:D51"/>
    <mergeCell ref="B47:D47"/>
    <mergeCell ref="B48:D48"/>
    <mergeCell ref="B20:D20"/>
  </mergeCells>
  <dataValidations count="4">
    <dataValidation sqref="C4 C5 C6 C12" showDropDown="0" showInputMessage="0" showErrorMessage="1" allowBlank="0" error="Ingrese una fecha válida (dd/mm/aaaa)." type="date" operator="greaterThan">
      <formula1>36526</formula1>
    </dataValidation>
    <dataValidation sqref="C8" showDropDown="0" showInputMessage="0" showErrorMessage="1" allowBlank="1" errorTitle="Semana no válida" error="Ingrese un número entero entre 1 y 4, o deje vacío para la semana automática." type="whole" operator="between">
      <formula1>1</formula1>
      <formula2>4</formula2>
    </dataValidation>
    <dataValidation sqref="C9" showDropDown="0" showInputMessage="0" showErrorMessage="1" allowBlank="0" error="Ingrese un número de días entre 0 y 30." type="whole" operator="between">
      <formula1>0</formula1>
      <formula2>30</formula2>
    </dataValidation>
    <dataValidation sqref="C10" showDropDown="0" showInputMessage="0" showErrorMessage="1" allowBlank="0" type="list">
      <formula1>ListaSiNo</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sheetPr>
  <dimension ref="A1:U60"/>
  <sheetViews>
    <sheetView showGridLines="0" zoomScale="9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04" t="inlineStr">
        <is>
          <t>Hoja auxiliar OCULTA: cálculos intermedios por puesto (cada fila lee la hoja de cronograma de su puesto) que alimentan el Dashboard. No editar. Ver metodología en Configuración.</t>
        </is>
      </c>
    </row>
    <row r="3">
      <c r="A3" s="105" t="inlineStr">
        <is>
          <t>Puesto</t>
        </is>
      </c>
      <c r="B3" s="105" t="inlineStr">
        <is>
          <t>N° actividades</t>
        </is>
      </c>
      <c r="C3" s="105" t="inlineStr">
        <is>
          <t>Suma de pesos</t>
        </is>
      </c>
      <c r="D3" s="105" t="inlineStr">
        <is>
          <t>Pesos vacíos o inválidos</t>
        </is>
      </c>
      <c r="E3" s="105" t="inlineStr">
        <is>
          <t>Configuración válida</t>
        </is>
      </c>
      <c r="F3" s="105" t="inlineStr">
        <is>
          <t>Avance ponderado actual</t>
        </is>
      </c>
      <c r="G3" s="105" t="inlineStr">
        <is>
          <t>Acum. Semana 1</t>
        </is>
      </c>
      <c r="H3" s="105" t="inlineStr">
        <is>
          <t>Acum. Semana 2</t>
        </is>
      </c>
      <c r="I3" s="105" t="inlineStr">
        <is>
          <t>Acum. Semana 3</t>
        </is>
      </c>
      <c r="J3" s="105" t="inlineStr">
        <is>
          <t>Acum. Semana 4</t>
        </is>
      </c>
      <c r="K3" s="105" t="inlineStr">
        <is>
          <t>Primera semana con 100%</t>
        </is>
      </c>
      <c r="L3" s="105" t="inlineStr">
        <is>
          <t>Completado (100%)</t>
        </is>
      </c>
      <c r="M3" s="105" t="inlineStr">
        <is>
          <t>Completado anticipadamente</t>
        </is>
      </c>
      <c r="N3" s="105" t="inlineStr">
        <is>
          <t>Completadas</t>
        </is>
      </c>
      <c r="O3" s="105" t="inlineStr">
        <is>
          <t>En curso</t>
        </is>
      </c>
      <c r="P3" s="105" t="inlineStr">
        <is>
          <t>Pendientes</t>
        </is>
      </c>
      <c r="Q3" s="105" t="inlineStr">
        <is>
          <t>Vencidas</t>
        </is>
      </c>
      <c r="R3" s="105" t="inlineStr">
        <is>
          <t>Con alertas</t>
        </is>
      </c>
      <c r="S3" s="105" t="inlineStr">
        <is>
          <t>Próximas a vencer</t>
        </is>
      </c>
      <c r="T3" s="105" t="inlineStr">
        <is>
          <t>Hoja de cronograma</t>
        </is>
      </c>
    </row>
    <row r="4">
      <c r="A4">
        <f>INDEX(ListaPuestos,1)</f>
        <v/>
      </c>
      <c r="B4">
        <f>COUNTIFS(rValid_RO,"?*",rMes_RO,MesCiclo,rTipo_RO,"Macro")</f>
        <v/>
      </c>
      <c r="C4" s="106">
        <f>SUMIFS(rPeso_RO,rMes_RO,MesCiclo,rTipo_RO,"Macro")</f>
        <v/>
      </c>
      <c r="D4" s="106">
        <f>COUNTIFS(rPesoEscrito_RO,"&gt;1",rMes_RO,MesCiclo,rTipo_RO,"Macro")+COUNTIFS(rPesoEscrito_RO,"&lt;0",rMes_RO,MesCiclo,rTipo_RO,"Macro")</f>
        <v/>
      </c>
      <c r="E4">
        <f>AND(B4&gt;0,D4=0,ABS(C4-1)&lt;=0.0001)</f>
        <v/>
      </c>
      <c r="F4" s="106">
        <f>IFERROR(SUMPRODUCT(--((rMes_RO=MesCiclo)*(rTipo_RO="Macro")),rPeso_RO,rAvance_RO),0)</f>
        <v/>
      </c>
      <c r="G4" s="106">
        <f>IFERROR(SUMPRODUCT(--((rMes_RO=MesCiclo)*(rTipo_RO="Macro")),rPeso_RO,rEf1_RO),0)</f>
        <v/>
      </c>
      <c r="H4" s="106">
        <f>IFERROR(SUMPRODUCT(--((rMes_RO=MesCiclo)*(rTipo_RO="Macro")),rPeso_RO,rEf2_RO),0)</f>
        <v/>
      </c>
      <c r="I4" s="106">
        <f>IFERROR(SUMPRODUCT(--((rMes_RO=MesCiclo)*(rTipo_RO="Macro")),rPeso_RO,rEf3_RO),0)</f>
        <v/>
      </c>
      <c r="J4" s="106">
        <f>IFERROR(SUMPRODUCT(--((rMes_RO=MesCiclo)*(rTipo_RO="Macro")),rPeso_RO,rEf4_RO),0)</f>
        <v/>
      </c>
      <c r="K4">
        <f>IF(ROUND(G4,4)&gt;=1,1,IF(ROUND(H4,4)&gt;=1,2,IF(ROUND(I4,4)&gt;=1,3,IF(ROUND(J4,4)&gt;=1,4,""))))</f>
        <v/>
      </c>
      <c r="L4">
        <f>AND(E4,ROUND(F4,4)&gt;=1)</f>
        <v/>
      </c>
      <c r="M4">
        <f>AND(L4,MIN(IF(K4="",4,K4),SemanaActual)&lt;4)</f>
        <v/>
      </c>
      <c r="N4">
        <f>COUNTIFS(rEstado_RO,"Completado",rMes_RO,MesCiclo,rTipo_RO,"Macro")</f>
        <v/>
      </c>
      <c r="O4">
        <f>COUNTIFS(rEstado_RO,"En curso",rMes_RO,MesCiclo,rTipo_RO,"Macro")</f>
        <v/>
      </c>
      <c r="P4">
        <f>COUNTIFS(rEstado_RO,"Pendiente",rMes_RO,MesCiclo,rTipo_RO,"Macro")</f>
        <v/>
      </c>
      <c r="Q4">
        <f>SUMPRODUCT((rMes_RO=MesCiclo)*(rTipo_RO="Macro")*ISNUMBER(SEARCH("Vencida",rValid_RO)))</f>
        <v/>
      </c>
      <c r="R4">
        <f>SUMPRODUCT((rMes_RO=MesCiclo)*(LEFT(rValid_RO,1)="⚠"))</f>
        <v/>
      </c>
      <c r="S4">
        <f>COUNTIFS(rFLim_RO,"&gt;="&amp;FechaRef,rFLim_RO,"&lt;="&amp;(FechaRef+DiasAlerta),rAvance_RO,"&lt;1",rMes_RO,MesCiclo,rTipo_RO,"Macro")</f>
        <v/>
      </c>
      <c r="T4" t="inlineStr">
        <is>
          <t>Cronograma R. Operacional</t>
        </is>
      </c>
      <c r="U4">
        <f>COUNTIFS(rMes_RO,MesCiclo,rTipo_RO,"Macro",rAct_RO,"[Jefatura]*")</f>
        <v/>
      </c>
    </row>
    <row r="5">
      <c r="A5">
        <f>INDEX(ListaPuestos,2)</f>
        <v/>
      </c>
      <c r="B5">
        <f>COUNTIFS(rValid_RN,"?*",rMes_RN,MesCiclo,rTipo_RN,"Macro")</f>
        <v/>
      </c>
      <c r="C5" s="106">
        <f>SUMIFS(rPeso_RN,rMes_RN,MesCiclo,rTipo_RN,"Macro")</f>
        <v/>
      </c>
      <c r="D5" s="106">
        <f>COUNTIFS(rPesoEscrito_RN,"&gt;1",rMes_RN,MesCiclo,rTipo_RN,"Macro")+COUNTIFS(rPesoEscrito_RN,"&lt;0",rMes_RN,MesCiclo,rTipo_RN,"Macro")</f>
        <v/>
      </c>
      <c r="E5">
        <f>AND(B5&gt;0,D5=0,ABS(C5-1)&lt;=0.0001)</f>
        <v/>
      </c>
      <c r="F5" s="106">
        <f>IFERROR(SUMPRODUCT(--((rMes_RN=MesCiclo)*(rTipo_RN="Macro")),rPeso_RN,rAvance_RN),0)</f>
        <v/>
      </c>
      <c r="G5" s="106">
        <f>IFERROR(SUMPRODUCT(--((rMes_RN=MesCiclo)*(rTipo_RN="Macro")),rPeso_RN,rEf1_RN),0)</f>
        <v/>
      </c>
      <c r="H5" s="106">
        <f>IFERROR(SUMPRODUCT(--((rMes_RN=MesCiclo)*(rTipo_RN="Macro")),rPeso_RN,rEf2_RN),0)</f>
        <v/>
      </c>
      <c r="I5" s="106">
        <f>IFERROR(SUMPRODUCT(--((rMes_RN=MesCiclo)*(rTipo_RN="Macro")),rPeso_RN,rEf3_RN),0)</f>
        <v/>
      </c>
      <c r="J5" s="106">
        <f>IFERROR(SUMPRODUCT(--((rMes_RN=MesCiclo)*(rTipo_RN="Macro")),rPeso_RN,rEf4_RN),0)</f>
        <v/>
      </c>
      <c r="K5">
        <f>IF(ROUND(G5,4)&gt;=1,1,IF(ROUND(H5,4)&gt;=1,2,IF(ROUND(I5,4)&gt;=1,3,IF(ROUND(J5,4)&gt;=1,4,""))))</f>
        <v/>
      </c>
      <c r="L5">
        <f>AND(E5,ROUND(F5,4)&gt;=1)</f>
        <v/>
      </c>
      <c r="M5">
        <f>AND(L5,MIN(IF(K5="",4,K5),SemanaActual)&lt;4)</f>
        <v/>
      </c>
      <c r="N5">
        <f>COUNTIFS(rEstado_RN,"Completado",rMes_RN,MesCiclo,rTipo_RN,"Macro")</f>
        <v/>
      </c>
      <c r="O5">
        <f>COUNTIFS(rEstado_RN,"En curso",rMes_RN,MesCiclo,rTipo_RN,"Macro")</f>
        <v/>
      </c>
      <c r="P5">
        <f>COUNTIFS(rEstado_RN,"Pendiente",rMes_RN,MesCiclo,rTipo_RN,"Macro")</f>
        <v/>
      </c>
      <c r="Q5">
        <f>SUMPRODUCT((rMes_RN=MesCiclo)*(rTipo_RN="Macro")*ISNUMBER(SEARCH("Vencida",rValid_RN)))</f>
        <v/>
      </c>
      <c r="R5">
        <f>SUMPRODUCT((rMes_RN=MesCiclo)*(LEFT(rValid_RN,1)="⚠"))</f>
        <v/>
      </c>
      <c r="S5">
        <f>COUNTIFS(rFLim_RN,"&gt;="&amp;FechaRef,rFLim_RN,"&lt;="&amp;(FechaRef+DiasAlerta),rAvance_RN,"&lt;1",rMes_RN,MesCiclo,rTipo_RN,"Macro")</f>
        <v/>
      </c>
      <c r="T5" t="inlineStr">
        <is>
          <t>Cronograma R. Normativo</t>
        </is>
      </c>
      <c r="U5">
        <f>COUNTIFS(rMes_RN,MesCiclo,rTipo_RN,"Macro",rAct_RN,"[Jefatura]*")</f>
        <v/>
      </c>
    </row>
    <row r="6">
      <c r="A6">
        <f>INDEX(ListaPuestos,3)</f>
        <v/>
      </c>
      <c r="B6">
        <f>COUNTIFS(rValid_RF,"?*",rMes_RF,MesCiclo,rTipo_RF,"Macro")</f>
        <v/>
      </c>
      <c r="C6" s="106">
        <f>SUMIFS(rPeso_RF,rMes_RF,MesCiclo,rTipo_RF,"Macro")</f>
        <v/>
      </c>
      <c r="D6" s="106">
        <f>COUNTIFS(rPesoEscrito_RF,"&gt;1",rMes_RF,MesCiclo,rTipo_RF,"Macro")+COUNTIFS(rPesoEscrito_RF,"&lt;0",rMes_RF,MesCiclo,rTipo_RF,"Macro")</f>
        <v/>
      </c>
      <c r="E6">
        <f>AND(B6&gt;0,D6=0,ABS(C6-1)&lt;=0.0001)</f>
        <v/>
      </c>
      <c r="F6" s="106">
        <f>IFERROR(SUMPRODUCT(--((rMes_RF=MesCiclo)*(rTipo_RF="Macro")),rPeso_RF,rAvance_RF),0)</f>
        <v/>
      </c>
      <c r="G6" s="106">
        <f>IFERROR(SUMPRODUCT(--((rMes_RF=MesCiclo)*(rTipo_RF="Macro")),rPeso_RF,rEf1_RF),0)</f>
        <v/>
      </c>
      <c r="H6" s="106">
        <f>IFERROR(SUMPRODUCT(--((rMes_RF=MesCiclo)*(rTipo_RF="Macro")),rPeso_RF,rEf2_RF),0)</f>
        <v/>
      </c>
      <c r="I6" s="106">
        <f>IFERROR(SUMPRODUCT(--((rMes_RF=MesCiclo)*(rTipo_RF="Macro")),rPeso_RF,rEf3_RF),0)</f>
        <v/>
      </c>
      <c r="J6" s="106">
        <f>IFERROR(SUMPRODUCT(--((rMes_RF=MesCiclo)*(rTipo_RF="Macro")),rPeso_RF,rEf4_RF),0)</f>
        <v/>
      </c>
      <c r="K6">
        <f>IF(ROUND(G6,4)&gt;=1,1,IF(ROUND(H6,4)&gt;=1,2,IF(ROUND(I6,4)&gt;=1,3,IF(ROUND(J6,4)&gt;=1,4,""))))</f>
        <v/>
      </c>
      <c r="L6">
        <f>AND(E6,ROUND(F6,4)&gt;=1)</f>
        <v/>
      </c>
      <c r="M6">
        <f>AND(L6,MIN(IF(K6="",4,K6),SemanaActual)&lt;4)</f>
        <v/>
      </c>
      <c r="N6">
        <f>COUNTIFS(rEstado_RF,"Completado",rMes_RF,MesCiclo,rTipo_RF,"Macro")</f>
        <v/>
      </c>
      <c r="O6">
        <f>COUNTIFS(rEstado_RF,"En curso",rMes_RF,MesCiclo,rTipo_RF,"Macro")</f>
        <v/>
      </c>
      <c r="P6">
        <f>COUNTIFS(rEstado_RF,"Pendiente",rMes_RF,MesCiclo,rTipo_RF,"Macro")</f>
        <v/>
      </c>
      <c r="Q6">
        <f>SUMPRODUCT((rMes_RF=MesCiclo)*(rTipo_RF="Macro")*ISNUMBER(SEARCH("Vencida",rValid_RF)))</f>
        <v/>
      </c>
      <c r="R6">
        <f>SUMPRODUCT((rMes_RF=MesCiclo)*(LEFT(rValid_RF,1)="⚠"))</f>
        <v/>
      </c>
      <c r="S6">
        <f>COUNTIFS(rFLim_RF,"&gt;="&amp;FechaRef,rFLim_RF,"&lt;="&amp;(FechaRef+DiasAlerta),rAvance_RF,"&lt;1",rMes_RF,MesCiclo,rTipo_RF,"Macro")</f>
        <v/>
      </c>
      <c r="T6" t="inlineStr">
        <is>
          <t>Cronograma R. Financiero</t>
        </is>
      </c>
      <c r="U6">
        <f>COUNTIFS(rMes_RF,MesCiclo,rTipo_RF,"Macro",rAct_RF,"[Jefatura]*")</f>
        <v/>
      </c>
    </row>
    <row r="7">
      <c r="A7">
        <f>INDEX(ListaPuestos,4)</f>
        <v/>
      </c>
      <c r="B7">
        <f>COUNTIFS(rValid_ATR,"?*",rMes_ATR,MesCiclo,rTipo_ATR,"Macro")</f>
        <v/>
      </c>
      <c r="C7" s="106">
        <f>SUMIFS(rPeso_ATR,rMes_ATR,MesCiclo,rTipo_ATR,"Macro")</f>
        <v/>
      </c>
      <c r="D7" s="106">
        <f>COUNTIFS(rPesoEscrito_ATR,"&gt;1",rMes_ATR,MesCiclo,rTipo_ATR,"Macro")+COUNTIFS(rPesoEscrito_ATR,"&lt;0",rMes_ATR,MesCiclo,rTipo_ATR,"Macro")</f>
        <v/>
      </c>
      <c r="E7">
        <f>AND(B7&gt;0,D7=0,ABS(C7-1)&lt;=0.0001)</f>
        <v/>
      </c>
      <c r="F7" s="106">
        <f>IFERROR(SUMPRODUCT(--((rMes_ATR=MesCiclo)*(rTipo_ATR="Macro")),rPeso_ATR,rAvance_ATR),0)</f>
        <v/>
      </c>
      <c r="G7" s="106">
        <f>IFERROR(SUMPRODUCT(--((rMes_ATR=MesCiclo)*(rTipo_ATR="Macro")),rPeso_ATR,rEf1_ATR),0)</f>
        <v/>
      </c>
      <c r="H7" s="106">
        <f>IFERROR(SUMPRODUCT(--((rMes_ATR=MesCiclo)*(rTipo_ATR="Macro")),rPeso_ATR,rEf2_ATR),0)</f>
        <v/>
      </c>
      <c r="I7" s="106">
        <f>IFERROR(SUMPRODUCT(--((rMes_ATR=MesCiclo)*(rTipo_ATR="Macro")),rPeso_ATR,rEf3_ATR),0)</f>
        <v/>
      </c>
      <c r="J7" s="106">
        <f>IFERROR(SUMPRODUCT(--((rMes_ATR=MesCiclo)*(rTipo_ATR="Macro")),rPeso_ATR,rEf4_ATR),0)</f>
        <v/>
      </c>
      <c r="K7">
        <f>IF(ROUND(G7,4)&gt;=1,1,IF(ROUND(H7,4)&gt;=1,2,IF(ROUND(I7,4)&gt;=1,3,IF(ROUND(J7,4)&gt;=1,4,""))))</f>
        <v/>
      </c>
      <c r="L7">
        <f>AND(E7,ROUND(F7,4)&gt;=1)</f>
        <v/>
      </c>
      <c r="M7">
        <f>AND(L7,MIN(IF(K7="",4,K7),SemanaActual)&lt;4)</f>
        <v/>
      </c>
      <c r="N7">
        <f>COUNTIFS(rEstado_ATR,"Completado",rMes_ATR,MesCiclo,rTipo_ATR,"Macro")</f>
        <v/>
      </c>
      <c r="O7">
        <f>COUNTIFS(rEstado_ATR,"En curso",rMes_ATR,MesCiclo,rTipo_ATR,"Macro")</f>
        <v/>
      </c>
      <c r="P7">
        <f>COUNTIFS(rEstado_ATR,"Pendiente",rMes_ATR,MesCiclo,rTipo_ATR,"Macro")</f>
        <v/>
      </c>
      <c r="Q7">
        <f>SUMPRODUCT((rMes_ATR=MesCiclo)*(rTipo_ATR="Macro")*ISNUMBER(SEARCH("Vencida",rValid_ATR)))</f>
        <v/>
      </c>
      <c r="R7">
        <f>SUMPRODUCT((rMes_ATR=MesCiclo)*(LEFT(rValid_ATR,1)="⚠"))</f>
        <v/>
      </c>
      <c r="S7">
        <f>COUNTIFS(rFLim_ATR,"&gt;="&amp;FechaRef,rFLim_ATR,"&lt;="&amp;(FechaRef+DiasAlerta),rAvance_ATR,"&lt;1",rMes_ATR,MesCiclo,rTipo_ATR,"Macro")</f>
        <v/>
      </c>
      <c r="T7" t="inlineStr">
        <is>
          <t>Cronograma Asistente Técnico</t>
        </is>
      </c>
      <c r="U7">
        <f>COUNTIFS(rMes_ATR,MesCiclo,rTipo_ATR,"Macro",rAct_ATR,"[Jefatura]*")</f>
        <v/>
      </c>
    </row>
    <row r="8">
      <c r="A8" t="inlineStr">
        <is>
          <t>Total actividades del mes (promedio de 4 puestos)</t>
        </is>
      </c>
      <c r="B8">
        <f>SUM(B4:B7)</f>
        <v/>
      </c>
      <c r="C8" s="107">
        <f>COUNTIF(E4:E7,TRUE)</f>
        <v/>
      </c>
      <c r="D8" s="106">
        <f>IF(C8&gt;0,SUMPRODUCT(F4:F7*(E4:E7=TRUE))/C8,"")</f>
        <v/>
      </c>
      <c r="E8">
        <f>AND(E4,E5,E6,E7)</f>
        <v/>
      </c>
      <c r="F8" s="106">
        <f>IF(E8,AVERAGE(F4:F7),"")</f>
        <v/>
      </c>
      <c r="G8" s="106">
        <f>IF($E$8,AVERAGE(G4:G7),"")</f>
        <v/>
      </c>
      <c r="H8" s="106">
        <f>IF($E$8,AVERAGE(H4:H7),"")</f>
        <v/>
      </c>
      <c r="I8" s="106">
        <f>IF($E$8,AVERAGE(I4:I7),"")</f>
        <v/>
      </c>
      <c r="J8" s="106">
        <f>IF($E$8,AVERAGE(J4:J7),"")</f>
        <v/>
      </c>
      <c r="K8">
        <f>IF(NOT(E8),"",IF(ROUND(G8,4)&gt;=1,1,IF(ROUND(H8,4)&gt;=1,2,IF(ROUND(I8,4)&gt;=1,3,IF(ROUND(J8,4)&gt;=1,4,"")))))</f>
        <v/>
      </c>
      <c r="L8">
        <f>AND(E8,ROUND(N(F8),4)&gt;=1)</f>
        <v/>
      </c>
      <c r="M8">
        <f>AND(L8,MIN(IF(K8="",4,K8),SemanaActual)&lt;4)</f>
        <v/>
      </c>
      <c r="N8">
        <f>SUM(N4:N7)</f>
        <v/>
      </c>
      <c r="O8">
        <f>SUM(O4:O7)</f>
        <v/>
      </c>
      <c r="P8">
        <f>SUM(P4:P7)</f>
        <v/>
      </c>
      <c r="Q8">
        <f>SUM(Q4:Q7)</f>
        <v/>
      </c>
      <c r="R8">
        <f>SUM(R4:R7)</f>
        <v/>
      </c>
      <c r="S8">
        <f>SUM(S4:S7)</f>
        <v/>
      </c>
      <c r="U8">
        <f>SUM(U4:U7)</f>
        <v/>
      </c>
    </row>
    <row r="9">
      <c r="A9" s="108" t="inlineStr">
        <is>
          <t>Fila 8: C = n° puestos válidos; D = avance provisional (promedio solo de puestos válidos).</t>
        </is>
      </c>
    </row>
    <row r="10">
      <c r="A10" t="inlineStr">
        <is>
          <t>Semana visible en seguimiento</t>
        </is>
      </c>
      <c r="G10">
        <f>OR(1&lt;=SemanaActual,(SUMPRODUCT((rMes_RO=MesCiclo)*ISNUMBER(rS1_RO))+SUMPRODUCT((rMes_RN=MesCiclo)*ISNUMBER(rS1_RN))+SUMPRODUCT((rMes_RF=MesCiclo)*ISNUMBER(rS1_RF))+SUMPRODUCT((rMes_ATR=MesCiclo)*ISNUMBER(rS1_ATR)))&gt;0)</f>
        <v/>
      </c>
      <c r="H10">
        <f>OR(2&lt;=SemanaActual,(SUMPRODUCT((rMes_RO=MesCiclo)*ISNUMBER(rS2_RO))+SUMPRODUCT((rMes_RN=MesCiclo)*ISNUMBER(rS2_RN))+SUMPRODUCT((rMes_RF=MesCiclo)*ISNUMBER(rS2_RF))+SUMPRODUCT((rMes_ATR=MesCiclo)*ISNUMBER(rS2_ATR)))&gt;0)</f>
        <v/>
      </c>
      <c r="I10">
        <f>OR(3&lt;=SemanaActual,(SUMPRODUCT((rMes_RO=MesCiclo)*ISNUMBER(rS3_RO))+SUMPRODUCT((rMes_RN=MesCiclo)*ISNUMBER(rS3_RN))+SUMPRODUCT((rMes_RF=MesCiclo)*ISNUMBER(rS3_RF))+SUMPRODUCT((rMes_ATR=MesCiclo)*ISNUMBER(rS3_ATR)))&gt;0)</f>
        <v/>
      </c>
      <c r="J10">
        <f>OR(4&lt;=SemanaActual,(SUMPRODUCT((rMes_RO=MesCiclo)*ISNUMBER(rS4_RO))+SUMPRODUCT((rMes_RN=MesCiclo)*ISNUMBER(rS4_RN))+SUMPRODUCT((rMes_RF=MesCiclo)*ISNUMBER(rS4_RF))+SUMPRODUCT((rMes_ATR=MesCiclo)*ISNUMBER(rS4_ATR)))&gt;0)</f>
        <v/>
      </c>
    </row>
    <row r="11">
      <c r="A11" t="inlineStr">
        <is>
          <t>Total registros</t>
        </is>
      </c>
      <c r="B11">
        <f>B8</f>
        <v/>
      </c>
    </row>
    <row r="12">
      <c r="A12" t="inlineStr">
        <is>
          <t>Puestos al 100%</t>
        </is>
      </c>
      <c r="B12">
        <f>COUNTIF(L4:L7,TRUE)</f>
        <v/>
      </c>
    </row>
    <row r="13">
      <c r="A13" t="inlineStr">
        <is>
          <t>Próximas a vencer</t>
        </is>
      </c>
      <c r="B13">
        <f>S8</f>
        <v/>
      </c>
    </row>
    <row r="15">
      <c r="A15" t="inlineStr">
        <is>
          <t>Mes mostrado (día 1)</t>
        </is>
      </c>
      <c r="B15" s="109">
        <f>DATE(YEAR(MesEntrada),MONTH(MesEntrada),1)</f>
        <v/>
      </c>
    </row>
    <row r="19">
      <c r="A19" s="104" t="inlineStr">
        <is>
          <t>Actividades delegadas por la jefatura (listas desplegables de cada Cronograma)</t>
        </is>
      </c>
    </row>
    <row r="20">
      <c r="B20">
        <f>A4</f>
        <v/>
      </c>
      <c r="C20">
        <f>A5</f>
        <v/>
      </c>
      <c r="D20">
        <f>A6</f>
        <v/>
      </c>
      <c r="E20">
        <f>A7</f>
        <v/>
      </c>
    </row>
    <row r="21">
      <c r="B21">
        <f>IFERROR("[Jefatura] "&amp;INDEX(rAct_ADM,MATCH($A$4&amp;"|"&amp;1,rDkey_ADM,0)),"")</f>
        <v/>
      </c>
      <c r="C21">
        <f>IFERROR("[Jefatura] "&amp;INDEX(rAct_ADM,MATCH($A$5&amp;"|"&amp;1,rDkey_ADM,0)),"")</f>
        <v/>
      </c>
      <c r="D21">
        <f>IFERROR("[Jefatura] "&amp;INDEX(rAct_ADM,MATCH($A$6&amp;"|"&amp;1,rDkey_ADM,0)),"")</f>
        <v/>
      </c>
      <c r="E21">
        <f>IFERROR("[Jefatura] "&amp;INDEX(rAct_ADM,MATCH($A$7&amp;"|"&amp;1,rDkey_ADM,0)),"")</f>
        <v/>
      </c>
    </row>
    <row r="22">
      <c r="B22">
        <f>IFERROR("[Jefatura] "&amp;INDEX(rAct_ADM,MATCH($A$4&amp;"|"&amp;2,rDkey_ADM,0)),"")</f>
        <v/>
      </c>
      <c r="C22">
        <f>IFERROR("[Jefatura] "&amp;INDEX(rAct_ADM,MATCH($A$5&amp;"|"&amp;2,rDkey_ADM,0)),"")</f>
        <v/>
      </c>
      <c r="D22">
        <f>IFERROR("[Jefatura] "&amp;INDEX(rAct_ADM,MATCH($A$6&amp;"|"&amp;2,rDkey_ADM,0)),"")</f>
        <v/>
      </c>
      <c r="E22">
        <f>IFERROR("[Jefatura] "&amp;INDEX(rAct_ADM,MATCH($A$7&amp;"|"&amp;2,rDkey_ADM,0)),"")</f>
        <v/>
      </c>
    </row>
    <row r="23">
      <c r="B23">
        <f>IFERROR("[Jefatura] "&amp;INDEX(rAct_ADM,MATCH($A$4&amp;"|"&amp;3,rDkey_ADM,0)),"")</f>
        <v/>
      </c>
      <c r="C23">
        <f>IFERROR("[Jefatura] "&amp;INDEX(rAct_ADM,MATCH($A$5&amp;"|"&amp;3,rDkey_ADM,0)),"")</f>
        <v/>
      </c>
      <c r="D23">
        <f>IFERROR("[Jefatura] "&amp;INDEX(rAct_ADM,MATCH($A$6&amp;"|"&amp;3,rDkey_ADM,0)),"")</f>
        <v/>
      </c>
      <c r="E23">
        <f>IFERROR("[Jefatura] "&amp;INDEX(rAct_ADM,MATCH($A$7&amp;"|"&amp;3,rDkey_ADM,0)),"")</f>
        <v/>
      </c>
    </row>
    <row r="24">
      <c r="B24">
        <f>IFERROR("[Jefatura] "&amp;INDEX(rAct_ADM,MATCH($A$4&amp;"|"&amp;4,rDkey_ADM,0)),"")</f>
        <v/>
      </c>
      <c r="C24">
        <f>IFERROR("[Jefatura] "&amp;INDEX(rAct_ADM,MATCH($A$5&amp;"|"&amp;4,rDkey_ADM,0)),"")</f>
        <v/>
      </c>
      <c r="D24">
        <f>IFERROR("[Jefatura] "&amp;INDEX(rAct_ADM,MATCH($A$6&amp;"|"&amp;4,rDkey_ADM,0)),"")</f>
        <v/>
      </c>
      <c r="E24">
        <f>IFERROR("[Jefatura] "&amp;INDEX(rAct_ADM,MATCH($A$7&amp;"|"&amp;4,rDkey_ADM,0)),"")</f>
        <v/>
      </c>
    </row>
    <row r="25">
      <c r="B25">
        <f>IFERROR("[Jefatura] "&amp;INDEX(rAct_ADM,MATCH($A$4&amp;"|"&amp;5,rDkey_ADM,0)),"")</f>
        <v/>
      </c>
      <c r="C25">
        <f>IFERROR("[Jefatura] "&amp;INDEX(rAct_ADM,MATCH($A$5&amp;"|"&amp;5,rDkey_ADM,0)),"")</f>
        <v/>
      </c>
      <c r="D25">
        <f>IFERROR("[Jefatura] "&amp;INDEX(rAct_ADM,MATCH($A$6&amp;"|"&amp;5,rDkey_ADM,0)),"")</f>
        <v/>
      </c>
      <c r="E25">
        <f>IFERROR("[Jefatura] "&amp;INDEX(rAct_ADM,MATCH($A$7&amp;"|"&amp;5,rDkey_ADM,0)),"")</f>
        <v/>
      </c>
    </row>
    <row r="26">
      <c r="B26">
        <f>IFERROR("[Jefatura] "&amp;INDEX(rAct_ADM,MATCH($A$4&amp;"|"&amp;6,rDkey_ADM,0)),"")</f>
        <v/>
      </c>
      <c r="C26">
        <f>IFERROR("[Jefatura] "&amp;INDEX(rAct_ADM,MATCH($A$5&amp;"|"&amp;6,rDkey_ADM,0)),"")</f>
        <v/>
      </c>
      <c r="D26">
        <f>IFERROR("[Jefatura] "&amp;INDEX(rAct_ADM,MATCH($A$6&amp;"|"&amp;6,rDkey_ADM,0)),"")</f>
        <v/>
      </c>
      <c r="E26">
        <f>IFERROR("[Jefatura] "&amp;INDEX(rAct_ADM,MATCH($A$7&amp;"|"&amp;6,rDkey_ADM,0)),"")</f>
        <v/>
      </c>
    </row>
    <row r="27">
      <c r="B27">
        <f>IFERROR("[Jefatura] "&amp;INDEX(rAct_ADM,MATCH($A$4&amp;"|"&amp;7,rDkey_ADM,0)),"")</f>
        <v/>
      </c>
      <c r="C27">
        <f>IFERROR("[Jefatura] "&amp;INDEX(rAct_ADM,MATCH($A$5&amp;"|"&amp;7,rDkey_ADM,0)),"")</f>
        <v/>
      </c>
      <c r="D27">
        <f>IFERROR("[Jefatura] "&amp;INDEX(rAct_ADM,MATCH($A$6&amp;"|"&amp;7,rDkey_ADM,0)),"")</f>
        <v/>
      </c>
      <c r="E27">
        <f>IFERROR("[Jefatura] "&amp;INDEX(rAct_ADM,MATCH($A$7&amp;"|"&amp;7,rDkey_ADM,0)),"")</f>
        <v/>
      </c>
    </row>
    <row r="28">
      <c r="B28">
        <f>IFERROR("[Jefatura] "&amp;INDEX(rAct_ADM,MATCH($A$4&amp;"|"&amp;8,rDkey_ADM,0)),"")</f>
        <v/>
      </c>
      <c r="C28">
        <f>IFERROR("[Jefatura] "&amp;INDEX(rAct_ADM,MATCH($A$5&amp;"|"&amp;8,rDkey_ADM,0)),"")</f>
        <v/>
      </c>
      <c r="D28">
        <f>IFERROR("[Jefatura] "&amp;INDEX(rAct_ADM,MATCH($A$6&amp;"|"&amp;8,rDkey_ADM,0)),"")</f>
        <v/>
      </c>
      <c r="E28">
        <f>IFERROR("[Jefatura] "&amp;INDEX(rAct_ADM,MATCH($A$7&amp;"|"&amp;8,rDkey_ADM,0)),"")</f>
        <v/>
      </c>
    </row>
    <row r="29">
      <c r="B29">
        <f>IFERROR("[Jefatura] "&amp;INDEX(rAct_ADM,MATCH($A$4&amp;"|"&amp;9,rDkey_ADM,0)),"")</f>
        <v/>
      </c>
      <c r="C29">
        <f>IFERROR("[Jefatura] "&amp;INDEX(rAct_ADM,MATCH($A$5&amp;"|"&amp;9,rDkey_ADM,0)),"")</f>
        <v/>
      </c>
      <c r="D29">
        <f>IFERROR("[Jefatura] "&amp;INDEX(rAct_ADM,MATCH($A$6&amp;"|"&amp;9,rDkey_ADM,0)),"")</f>
        <v/>
      </c>
      <c r="E29">
        <f>IFERROR("[Jefatura] "&amp;INDEX(rAct_ADM,MATCH($A$7&amp;"|"&amp;9,rDkey_ADM,0)),"")</f>
        <v/>
      </c>
    </row>
    <row r="30">
      <c r="B30">
        <f>IFERROR("[Jefatura] "&amp;INDEX(rAct_ADM,MATCH($A$4&amp;"|"&amp;10,rDkey_ADM,0)),"")</f>
        <v/>
      </c>
      <c r="C30">
        <f>IFERROR("[Jefatura] "&amp;INDEX(rAct_ADM,MATCH($A$5&amp;"|"&amp;10,rDkey_ADM,0)),"")</f>
        <v/>
      </c>
      <c r="D30">
        <f>IFERROR("[Jefatura] "&amp;INDEX(rAct_ADM,MATCH($A$6&amp;"|"&amp;10,rDkey_ADM,0)),"")</f>
        <v/>
      </c>
      <c r="E30">
        <f>IFERROR("[Jefatura] "&amp;INDEX(rAct_ADM,MATCH($A$7&amp;"|"&amp;10,rDkey_ADM,0)),"")</f>
        <v/>
      </c>
    </row>
    <row r="31">
      <c r="B31">
        <f>IFERROR("[Jefatura] "&amp;INDEX(rAct_ADM,MATCH($A$4&amp;"|"&amp;11,rDkey_ADM,0)),"")</f>
        <v/>
      </c>
      <c r="C31">
        <f>IFERROR("[Jefatura] "&amp;INDEX(rAct_ADM,MATCH($A$5&amp;"|"&amp;11,rDkey_ADM,0)),"")</f>
        <v/>
      </c>
      <c r="D31">
        <f>IFERROR("[Jefatura] "&amp;INDEX(rAct_ADM,MATCH($A$6&amp;"|"&amp;11,rDkey_ADM,0)),"")</f>
        <v/>
      </c>
      <c r="E31">
        <f>IFERROR("[Jefatura] "&amp;INDEX(rAct_ADM,MATCH($A$7&amp;"|"&amp;11,rDkey_ADM,0)),"")</f>
        <v/>
      </c>
    </row>
    <row r="32">
      <c r="B32">
        <f>IFERROR("[Jefatura] "&amp;INDEX(rAct_ADM,MATCH($A$4&amp;"|"&amp;12,rDkey_ADM,0)),"")</f>
        <v/>
      </c>
      <c r="C32">
        <f>IFERROR("[Jefatura] "&amp;INDEX(rAct_ADM,MATCH($A$5&amp;"|"&amp;12,rDkey_ADM,0)),"")</f>
        <v/>
      </c>
      <c r="D32">
        <f>IFERROR("[Jefatura] "&amp;INDEX(rAct_ADM,MATCH($A$6&amp;"|"&amp;12,rDkey_ADM,0)),"")</f>
        <v/>
      </c>
      <c r="E32">
        <f>IFERROR("[Jefatura] "&amp;INDEX(rAct_ADM,MATCH($A$7&amp;"|"&amp;12,rDkey_ADM,0)),"")</f>
        <v/>
      </c>
    </row>
    <row r="33">
      <c r="B33">
        <f>IFERROR("[Jefatura] "&amp;INDEX(rAct_ADM,MATCH($A$4&amp;"|"&amp;13,rDkey_ADM,0)),"")</f>
        <v/>
      </c>
      <c r="C33">
        <f>IFERROR("[Jefatura] "&amp;INDEX(rAct_ADM,MATCH($A$5&amp;"|"&amp;13,rDkey_ADM,0)),"")</f>
        <v/>
      </c>
      <c r="D33">
        <f>IFERROR("[Jefatura] "&amp;INDEX(rAct_ADM,MATCH($A$6&amp;"|"&amp;13,rDkey_ADM,0)),"")</f>
        <v/>
      </c>
      <c r="E33">
        <f>IFERROR("[Jefatura] "&amp;INDEX(rAct_ADM,MATCH($A$7&amp;"|"&amp;13,rDkey_ADM,0)),"")</f>
        <v/>
      </c>
    </row>
    <row r="34">
      <c r="B34">
        <f>IFERROR("[Jefatura] "&amp;INDEX(rAct_ADM,MATCH($A$4&amp;"|"&amp;14,rDkey_ADM,0)),"")</f>
        <v/>
      </c>
      <c r="C34">
        <f>IFERROR("[Jefatura] "&amp;INDEX(rAct_ADM,MATCH($A$5&amp;"|"&amp;14,rDkey_ADM,0)),"")</f>
        <v/>
      </c>
      <c r="D34">
        <f>IFERROR("[Jefatura] "&amp;INDEX(rAct_ADM,MATCH($A$6&amp;"|"&amp;14,rDkey_ADM,0)),"")</f>
        <v/>
      </c>
      <c r="E34">
        <f>IFERROR("[Jefatura] "&amp;INDEX(rAct_ADM,MATCH($A$7&amp;"|"&amp;14,rDkey_ADM,0)),"")</f>
        <v/>
      </c>
    </row>
    <row r="35">
      <c r="B35">
        <f>IFERROR("[Jefatura] "&amp;INDEX(rAct_ADM,MATCH($A$4&amp;"|"&amp;15,rDkey_ADM,0)),"")</f>
        <v/>
      </c>
      <c r="C35">
        <f>IFERROR("[Jefatura] "&amp;INDEX(rAct_ADM,MATCH($A$5&amp;"|"&amp;15,rDkey_ADM,0)),"")</f>
        <v/>
      </c>
      <c r="D35">
        <f>IFERROR("[Jefatura] "&amp;INDEX(rAct_ADM,MATCH($A$6&amp;"|"&amp;15,rDkey_ADM,0)),"")</f>
        <v/>
      </c>
      <c r="E35">
        <f>IFERROR("[Jefatura] "&amp;INDEX(rAct_ADM,MATCH($A$7&amp;"|"&amp;15,rDkey_ADM,0)),"")</f>
        <v/>
      </c>
    </row>
    <row r="36">
      <c r="B36">
        <f>IFERROR("[Jefatura] "&amp;INDEX(rAct_ADM,MATCH($A$4&amp;"|"&amp;16,rDkey_ADM,0)),"")</f>
        <v/>
      </c>
      <c r="C36">
        <f>IFERROR("[Jefatura] "&amp;INDEX(rAct_ADM,MATCH($A$5&amp;"|"&amp;16,rDkey_ADM,0)),"")</f>
        <v/>
      </c>
      <c r="D36">
        <f>IFERROR("[Jefatura] "&amp;INDEX(rAct_ADM,MATCH($A$6&amp;"|"&amp;16,rDkey_ADM,0)),"")</f>
        <v/>
      </c>
      <c r="E36">
        <f>IFERROR("[Jefatura] "&amp;INDEX(rAct_ADM,MATCH($A$7&amp;"|"&amp;16,rDkey_ADM,0)),"")</f>
        <v/>
      </c>
    </row>
    <row r="37">
      <c r="B37">
        <f>IFERROR("[Jefatura] "&amp;INDEX(rAct_ADM,MATCH($A$4&amp;"|"&amp;17,rDkey_ADM,0)),"")</f>
        <v/>
      </c>
      <c r="C37">
        <f>IFERROR("[Jefatura] "&amp;INDEX(rAct_ADM,MATCH($A$5&amp;"|"&amp;17,rDkey_ADM,0)),"")</f>
        <v/>
      </c>
      <c r="D37">
        <f>IFERROR("[Jefatura] "&amp;INDEX(rAct_ADM,MATCH($A$6&amp;"|"&amp;17,rDkey_ADM,0)),"")</f>
        <v/>
      </c>
      <c r="E37">
        <f>IFERROR("[Jefatura] "&amp;INDEX(rAct_ADM,MATCH($A$7&amp;"|"&amp;17,rDkey_ADM,0)),"")</f>
        <v/>
      </c>
    </row>
    <row r="38">
      <c r="B38">
        <f>IFERROR("[Jefatura] "&amp;INDEX(rAct_ADM,MATCH($A$4&amp;"|"&amp;18,rDkey_ADM,0)),"")</f>
        <v/>
      </c>
      <c r="C38">
        <f>IFERROR("[Jefatura] "&amp;INDEX(rAct_ADM,MATCH($A$5&amp;"|"&amp;18,rDkey_ADM,0)),"")</f>
        <v/>
      </c>
      <c r="D38">
        <f>IFERROR("[Jefatura] "&amp;INDEX(rAct_ADM,MATCH($A$6&amp;"|"&amp;18,rDkey_ADM,0)),"")</f>
        <v/>
      </c>
      <c r="E38">
        <f>IFERROR("[Jefatura] "&amp;INDEX(rAct_ADM,MATCH($A$7&amp;"|"&amp;18,rDkey_ADM,0)),"")</f>
        <v/>
      </c>
    </row>
    <row r="39">
      <c r="B39">
        <f>IFERROR("[Jefatura] "&amp;INDEX(rAct_ADM,MATCH($A$4&amp;"|"&amp;19,rDkey_ADM,0)),"")</f>
        <v/>
      </c>
      <c r="C39">
        <f>IFERROR("[Jefatura] "&amp;INDEX(rAct_ADM,MATCH($A$5&amp;"|"&amp;19,rDkey_ADM,0)),"")</f>
        <v/>
      </c>
      <c r="D39">
        <f>IFERROR("[Jefatura] "&amp;INDEX(rAct_ADM,MATCH($A$6&amp;"|"&amp;19,rDkey_ADM,0)),"")</f>
        <v/>
      </c>
      <c r="E39">
        <f>IFERROR("[Jefatura] "&amp;INDEX(rAct_ADM,MATCH($A$7&amp;"|"&amp;19,rDkey_ADM,0)),"")</f>
        <v/>
      </c>
    </row>
    <row r="40">
      <c r="B40">
        <f>IFERROR("[Jefatura] "&amp;INDEX(rAct_ADM,MATCH($A$4&amp;"|"&amp;20,rDkey_ADM,0)),"")</f>
        <v/>
      </c>
      <c r="C40">
        <f>IFERROR("[Jefatura] "&amp;INDEX(rAct_ADM,MATCH($A$5&amp;"|"&amp;20,rDkey_ADM,0)),"")</f>
        <v/>
      </c>
      <c r="D40">
        <f>IFERROR("[Jefatura] "&amp;INDEX(rAct_ADM,MATCH($A$6&amp;"|"&amp;20,rDkey_ADM,0)),"")</f>
        <v/>
      </c>
      <c r="E40">
        <f>IFERROR("[Jefatura] "&amp;INDEX(rAct_ADM,MATCH($A$7&amp;"|"&amp;20,rDkey_ADM,0)),"")</f>
        <v/>
      </c>
    </row>
    <row r="41">
      <c r="B41">
        <f>IFERROR("[Jefatura] "&amp;INDEX(rAct_ADM,MATCH($A$4&amp;"|"&amp;21,rDkey_ADM,0)),"")</f>
        <v/>
      </c>
      <c r="C41">
        <f>IFERROR("[Jefatura] "&amp;INDEX(rAct_ADM,MATCH($A$5&amp;"|"&amp;21,rDkey_ADM,0)),"")</f>
        <v/>
      </c>
      <c r="D41">
        <f>IFERROR("[Jefatura] "&amp;INDEX(rAct_ADM,MATCH($A$6&amp;"|"&amp;21,rDkey_ADM,0)),"")</f>
        <v/>
      </c>
      <c r="E41">
        <f>IFERROR("[Jefatura] "&amp;INDEX(rAct_ADM,MATCH($A$7&amp;"|"&amp;21,rDkey_ADM,0)),"")</f>
        <v/>
      </c>
    </row>
    <row r="42">
      <c r="B42">
        <f>IFERROR("[Jefatura] "&amp;INDEX(rAct_ADM,MATCH($A$4&amp;"|"&amp;22,rDkey_ADM,0)),"")</f>
        <v/>
      </c>
      <c r="C42">
        <f>IFERROR("[Jefatura] "&amp;INDEX(rAct_ADM,MATCH($A$5&amp;"|"&amp;22,rDkey_ADM,0)),"")</f>
        <v/>
      </c>
      <c r="D42">
        <f>IFERROR("[Jefatura] "&amp;INDEX(rAct_ADM,MATCH($A$6&amp;"|"&amp;22,rDkey_ADM,0)),"")</f>
        <v/>
      </c>
      <c r="E42">
        <f>IFERROR("[Jefatura] "&amp;INDEX(rAct_ADM,MATCH($A$7&amp;"|"&amp;22,rDkey_ADM,0)),"")</f>
        <v/>
      </c>
    </row>
    <row r="43">
      <c r="B43">
        <f>IFERROR("[Jefatura] "&amp;INDEX(rAct_ADM,MATCH($A$4&amp;"|"&amp;23,rDkey_ADM,0)),"")</f>
        <v/>
      </c>
      <c r="C43">
        <f>IFERROR("[Jefatura] "&amp;INDEX(rAct_ADM,MATCH($A$5&amp;"|"&amp;23,rDkey_ADM,0)),"")</f>
        <v/>
      </c>
      <c r="D43">
        <f>IFERROR("[Jefatura] "&amp;INDEX(rAct_ADM,MATCH($A$6&amp;"|"&amp;23,rDkey_ADM,0)),"")</f>
        <v/>
      </c>
      <c r="E43">
        <f>IFERROR("[Jefatura] "&amp;INDEX(rAct_ADM,MATCH($A$7&amp;"|"&amp;23,rDkey_ADM,0)),"")</f>
        <v/>
      </c>
    </row>
    <row r="44">
      <c r="B44">
        <f>IFERROR("[Jefatura] "&amp;INDEX(rAct_ADM,MATCH($A$4&amp;"|"&amp;24,rDkey_ADM,0)),"")</f>
        <v/>
      </c>
      <c r="C44">
        <f>IFERROR("[Jefatura] "&amp;INDEX(rAct_ADM,MATCH($A$5&amp;"|"&amp;24,rDkey_ADM,0)),"")</f>
        <v/>
      </c>
      <c r="D44">
        <f>IFERROR("[Jefatura] "&amp;INDEX(rAct_ADM,MATCH($A$6&amp;"|"&amp;24,rDkey_ADM,0)),"")</f>
        <v/>
      </c>
      <c r="E44">
        <f>IFERROR("[Jefatura] "&amp;INDEX(rAct_ADM,MATCH($A$7&amp;"|"&amp;24,rDkey_ADM,0)),"")</f>
        <v/>
      </c>
    </row>
    <row r="45">
      <c r="B45">
        <f>IFERROR("[Jefatura] "&amp;INDEX(rAct_ADM,MATCH($A$4&amp;"|"&amp;25,rDkey_ADM,0)),"")</f>
        <v/>
      </c>
      <c r="C45">
        <f>IFERROR("[Jefatura] "&amp;INDEX(rAct_ADM,MATCH($A$5&amp;"|"&amp;25,rDkey_ADM,0)),"")</f>
        <v/>
      </c>
      <c r="D45">
        <f>IFERROR("[Jefatura] "&amp;INDEX(rAct_ADM,MATCH($A$6&amp;"|"&amp;25,rDkey_ADM,0)),"")</f>
        <v/>
      </c>
      <c r="E45">
        <f>IFERROR("[Jefatura] "&amp;INDEX(rAct_ADM,MATCH($A$7&amp;"|"&amp;25,rDkey_ADM,0)),"")</f>
        <v/>
      </c>
    </row>
    <row r="46">
      <c r="B46">
        <f>IFERROR("[Jefatura] "&amp;INDEX(rAct_ADM,MATCH($A$4&amp;"|"&amp;26,rDkey_ADM,0)),"")</f>
        <v/>
      </c>
      <c r="C46">
        <f>IFERROR("[Jefatura] "&amp;INDEX(rAct_ADM,MATCH($A$5&amp;"|"&amp;26,rDkey_ADM,0)),"")</f>
        <v/>
      </c>
      <c r="D46">
        <f>IFERROR("[Jefatura] "&amp;INDEX(rAct_ADM,MATCH($A$6&amp;"|"&amp;26,rDkey_ADM,0)),"")</f>
        <v/>
      </c>
      <c r="E46">
        <f>IFERROR("[Jefatura] "&amp;INDEX(rAct_ADM,MATCH($A$7&amp;"|"&amp;26,rDkey_ADM,0)),"")</f>
        <v/>
      </c>
    </row>
    <row r="47">
      <c r="B47">
        <f>IFERROR("[Jefatura] "&amp;INDEX(rAct_ADM,MATCH($A$4&amp;"|"&amp;27,rDkey_ADM,0)),"")</f>
        <v/>
      </c>
      <c r="C47">
        <f>IFERROR("[Jefatura] "&amp;INDEX(rAct_ADM,MATCH($A$5&amp;"|"&amp;27,rDkey_ADM,0)),"")</f>
        <v/>
      </c>
      <c r="D47">
        <f>IFERROR("[Jefatura] "&amp;INDEX(rAct_ADM,MATCH($A$6&amp;"|"&amp;27,rDkey_ADM,0)),"")</f>
        <v/>
      </c>
      <c r="E47">
        <f>IFERROR("[Jefatura] "&amp;INDEX(rAct_ADM,MATCH($A$7&amp;"|"&amp;27,rDkey_ADM,0)),"")</f>
        <v/>
      </c>
    </row>
    <row r="48">
      <c r="B48">
        <f>IFERROR("[Jefatura] "&amp;INDEX(rAct_ADM,MATCH($A$4&amp;"|"&amp;28,rDkey_ADM,0)),"")</f>
        <v/>
      </c>
      <c r="C48">
        <f>IFERROR("[Jefatura] "&amp;INDEX(rAct_ADM,MATCH($A$5&amp;"|"&amp;28,rDkey_ADM,0)),"")</f>
        <v/>
      </c>
      <c r="D48">
        <f>IFERROR("[Jefatura] "&amp;INDEX(rAct_ADM,MATCH($A$6&amp;"|"&amp;28,rDkey_ADM,0)),"")</f>
        <v/>
      </c>
      <c r="E48">
        <f>IFERROR("[Jefatura] "&amp;INDEX(rAct_ADM,MATCH($A$7&amp;"|"&amp;28,rDkey_ADM,0)),"")</f>
        <v/>
      </c>
    </row>
    <row r="49">
      <c r="B49">
        <f>IFERROR("[Jefatura] "&amp;INDEX(rAct_ADM,MATCH($A$4&amp;"|"&amp;29,rDkey_ADM,0)),"")</f>
        <v/>
      </c>
      <c r="C49">
        <f>IFERROR("[Jefatura] "&amp;INDEX(rAct_ADM,MATCH($A$5&amp;"|"&amp;29,rDkey_ADM,0)),"")</f>
        <v/>
      </c>
      <c r="D49">
        <f>IFERROR("[Jefatura] "&amp;INDEX(rAct_ADM,MATCH($A$6&amp;"|"&amp;29,rDkey_ADM,0)),"")</f>
        <v/>
      </c>
      <c r="E49">
        <f>IFERROR("[Jefatura] "&amp;INDEX(rAct_ADM,MATCH($A$7&amp;"|"&amp;29,rDkey_ADM,0)),"")</f>
        <v/>
      </c>
    </row>
    <row r="50">
      <c r="B50">
        <f>IFERROR("[Jefatura] "&amp;INDEX(rAct_ADM,MATCH($A$4&amp;"|"&amp;30,rDkey_ADM,0)),"")</f>
        <v/>
      </c>
      <c r="C50">
        <f>IFERROR("[Jefatura] "&amp;INDEX(rAct_ADM,MATCH($A$5&amp;"|"&amp;30,rDkey_ADM,0)),"")</f>
        <v/>
      </c>
      <c r="D50">
        <f>IFERROR("[Jefatura] "&amp;INDEX(rAct_ADM,MATCH($A$6&amp;"|"&amp;30,rDkey_ADM,0)),"")</f>
        <v/>
      </c>
      <c r="E50">
        <f>IFERROR("[Jefatura] "&amp;INDEX(rAct_ADM,MATCH($A$7&amp;"|"&amp;30,rDkey_ADM,0)),"")</f>
        <v/>
      </c>
    </row>
    <row r="51">
      <c r="B51">
        <f>IFERROR("[Jefatura] "&amp;INDEX(rAct_ADM,MATCH($A$4&amp;"|"&amp;31,rDkey_ADM,0)),"")</f>
        <v/>
      </c>
      <c r="C51">
        <f>IFERROR("[Jefatura] "&amp;INDEX(rAct_ADM,MATCH($A$5&amp;"|"&amp;31,rDkey_ADM,0)),"")</f>
        <v/>
      </c>
      <c r="D51">
        <f>IFERROR("[Jefatura] "&amp;INDEX(rAct_ADM,MATCH($A$6&amp;"|"&amp;31,rDkey_ADM,0)),"")</f>
        <v/>
      </c>
      <c r="E51">
        <f>IFERROR("[Jefatura] "&amp;INDEX(rAct_ADM,MATCH($A$7&amp;"|"&amp;31,rDkey_ADM,0)),"")</f>
        <v/>
      </c>
    </row>
    <row r="52">
      <c r="B52">
        <f>IFERROR("[Jefatura] "&amp;INDEX(rAct_ADM,MATCH($A$4&amp;"|"&amp;32,rDkey_ADM,0)),"")</f>
        <v/>
      </c>
      <c r="C52">
        <f>IFERROR("[Jefatura] "&amp;INDEX(rAct_ADM,MATCH($A$5&amp;"|"&amp;32,rDkey_ADM,0)),"")</f>
        <v/>
      </c>
      <c r="D52">
        <f>IFERROR("[Jefatura] "&amp;INDEX(rAct_ADM,MATCH($A$6&amp;"|"&amp;32,rDkey_ADM,0)),"")</f>
        <v/>
      </c>
      <c r="E52">
        <f>IFERROR("[Jefatura] "&amp;INDEX(rAct_ADM,MATCH($A$7&amp;"|"&amp;32,rDkey_ADM,0)),"")</f>
        <v/>
      </c>
    </row>
    <row r="53">
      <c r="B53">
        <f>IFERROR("[Jefatura] "&amp;INDEX(rAct_ADM,MATCH($A$4&amp;"|"&amp;33,rDkey_ADM,0)),"")</f>
        <v/>
      </c>
      <c r="C53">
        <f>IFERROR("[Jefatura] "&amp;INDEX(rAct_ADM,MATCH($A$5&amp;"|"&amp;33,rDkey_ADM,0)),"")</f>
        <v/>
      </c>
      <c r="D53">
        <f>IFERROR("[Jefatura] "&amp;INDEX(rAct_ADM,MATCH($A$6&amp;"|"&amp;33,rDkey_ADM,0)),"")</f>
        <v/>
      </c>
      <c r="E53">
        <f>IFERROR("[Jefatura] "&amp;INDEX(rAct_ADM,MATCH($A$7&amp;"|"&amp;33,rDkey_ADM,0)),"")</f>
        <v/>
      </c>
    </row>
    <row r="54">
      <c r="B54">
        <f>IFERROR("[Jefatura] "&amp;INDEX(rAct_ADM,MATCH($A$4&amp;"|"&amp;34,rDkey_ADM,0)),"")</f>
        <v/>
      </c>
      <c r="C54">
        <f>IFERROR("[Jefatura] "&amp;INDEX(rAct_ADM,MATCH($A$5&amp;"|"&amp;34,rDkey_ADM,0)),"")</f>
        <v/>
      </c>
      <c r="D54">
        <f>IFERROR("[Jefatura] "&amp;INDEX(rAct_ADM,MATCH($A$6&amp;"|"&amp;34,rDkey_ADM,0)),"")</f>
        <v/>
      </c>
      <c r="E54">
        <f>IFERROR("[Jefatura] "&amp;INDEX(rAct_ADM,MATCH($A$7&amp;"|"&amp;34,rDkey_ADM,0)),"")</f>
        <v/>
      </c>
    </row>
    <row r="55">
      <c r="B55">
        <f>IFERROR("[Jefatura] "&amp;INDEX(rAct_ADM,MATCH($A$4&amp;"|"&amp;35,rDkey_ADM,0)),"")</f>
        <v/>
      </c>
      <c r="C55">
        <f>IFERROR("[Jefatura] "&amp;INDEX(rAct_ADM,MATCH($A$5&amp;"|"&amp;35,rDkey_ADM,0)),"")</f>
        <v/>
      </c>
      <c r="D55">
        <f>IFERROR("[Jefatura] "&amp;INDEX(rAct_ADM,MATCH($A$6&amp;"|"&amp;35,rDkey_ADM,0)),"")</f>
        <v/>
      </c>
      <c r="E55">
        <f>IFERROR("[Jefatura] "&amp;INDEX(rAct_ADM,MATCH($A$7&amp;"|"&amp;35,rDkey_ADM,0)),"")</f>
        <v/>
      </c>
    </row>
    <row r="56">
      <c r="B56">
        <f>IFERROR("[Jefatura] "&amp;INDEX(rAct_ADM,MATCH($A$4&amp;"|"&amp;36,rDkey_ADM,0)),"")</f>
        <v/>
      </c>
      <c r="C56">
        <f>IFERROR("[Jefatura] "&amp;INDEX(rAct_ADM,MATCH($A$5&amp;"|"&amp;36,rDkey_ADM,0)),"")</f>
        <v/>
      </c>
      <c r="D56">
        <f>IFERROR("[Jefatura] "&amp;INDEX(rAct_ADM,MATCH($A$6&amp;"|"&amp;36,rDkey_ADM,0)),"")</f>
        <v/>
      </c>
      <c r="E56">
        <f>IFERROR("[Jefatura] "&amp;INDEX(rAct_ADM,MATCH($A$7&amp;"|"&amp;36,rDkey_ADM,0)),"")</f>
        <v/>
      </c>
    </row>
    <row r="57">
      <c r="B57">
        <f>IFERROR("[Jefatura] "&amp;INDEX(rAct_ADM,MATCH($A$4&amp;"|"&amp;37,rDkey_ADM,0)),"")</f>
        <v/>
      </c>
      <c r="C57">
        <f>IFERROR("[Jefatura] "&amp;INDEX(rAct_ADM,MATCH($A$5&amp;"|"&amp;37,rDkey_ADM,0)),"")</f>
        <v/>
      </c>
      <c r="D57">
        <f>IFERROR("[Jefatura] "&amp;INDEX(rAct_ADM,MATCH($A$6&amp;"|"&amp;37,rDkey_ADM,0)),"")</f>
        <v/>
      </c>
      <c r="E57">
        <f>IFERROR("[Jefatura] "&amp;INDEX(rAct_ADM,MATCH($A$7&amp;"|"&amp;37,rDkey_ADM,0)),"")</f>
        <v/>
      </c>
    </row>
    <row r="58">
      <c r="B58">
        <f>IFERROR("[Jefatura] "&amp;INDEX(rAct_ADM,MATCH($A$4&amp;"|"&amp;38,rDkey_ADM,0)),"")</f>
        <v/>
      </c>
      <c r="C58">
        <f>IFERROR("[Jefatura] "&amp;INDEX(rAct_ADM,MATCH($A$5&amp;"|"&amp;38,rDkey_ADM,0)),"")</f>
        <v/>
      </c>
      <c r="D58">
        <f>IFERROR("[Jefatura] "&amp;INDEX(rAct_ADM,MATCH($A$6&amp;"|"&amp;38,rDkey_ADM,0)),"")</f>
        <v/>
      </c>
      <c r="E58">
        <f>IFERROR("[Jefatura] "&amp;INDEX(rAct_ADM,MATCH($A$7&amp;"|"&amp;38,rDkey_ADM,0)),"")</f>
        <v/>
      </c>
    </row>
    <row r="59">
      <c r="B59">
        <f>IFERROR("[Jefatura] "&amp;INDEX(rAct_ADM,MATCH($A$4&amp;"|"&amp;39,rDkey_ADM,0)),"")</f>
        <v/>
      </c>
      <c r="C59">
        <f>IFERROR("[Jefatura] "&amp;INDEX(rAct_ADM,MATCH($A$5&amp;"|"&amp;39,rDkey_ADM,0)),"")</f>
        <v/>
      </c>
      <c r="D59">
        <f>IFERROR("[Jefatura] "&amp;INDEX(rAct_ADM,MATCH($A$6&amp;"|"&amp;39,rDkey_ADM,0)),"")</f>
        <v/>
      </c>
      <c r="E59">
        <f>IFERROR("[Jefatura] "&amp;INDEX(rAct_ADM,MATCH($A$7&amp;"|"&amp;39,rDkey_ADM,0)),"")</f>
        <v/>
      </c>
    </row>
    <row r="60">
      <c r="B60">
        <f>IFERROR("[Jefatura] "&amp;INDEX(rAct_ADM,MATCH($A$4&amp;"|"&amp;40,rDkey_ADM,0)),"")</f>
        <v/>
      </c>
      <c r="C60">
        <f>IFERROR("[Jefatura] "&amp;INDEX(rAct_ADM,MATCH($A$5&amp;"|"&amp;40,rDkey_ADM,0)),"")</f>
        <v/>
      </c>
      <c r="D60">
        <f>IFERROR("[Jefatura] "&amp;INDEX(rAct_ADM,MATCH($A$6&amp;"|"&amp;40,rDkey_ADM,0)),"")</f>
        <v/>
      </c>
      <c r="E60">
        <f>IFERROR("[Jefatura] "&amp;INDEX(rAct_ADM,MATCH($A$7&amp;"|"&amp;40,rDkey_ADM,0)),"")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2026-10-16T15:48:01Z</dcterms:created>
  <dcterms:modified xmlns:dcterms="http://purl.org/dc/terms/" xmlns:xsi="http://www.w3.org/2001/XMLSchema-instance" xsi:type="dcterms:W3CDTF">2026-10-16T15:48:10Z</dcterms:modified>
</cp:coreProperties>
</file>