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Challenges\"/>
    </mc:Choice>
  </mc:AlternateContent>
  <xr:revisionPtr revIDLastSave="0" documentId="8_{EC88DAC2-AE7E-40B4-84B3-7C1A2A270884}" xr6:coauthVersionLast="45" xr6:coauthVersionMax="45" xr10:uidLastSave="{00000000-0000-0000-0000-000000000000}"/>
  <bookViews>
    <workbookView xWindow="-108" yWindow="-108" windowWidth="23256" windowHeight="12576" xr2:uid="{6181EE8B-DEBB-42F1-939A-763201E64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8" i="1" l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G58" i="1"/>
  <c r="G57" i="1"/>
  <c r="H56" i="1"/>
  <c r="G56" i="1"/>
  <c r="H55" i="1"/>
  <c r="G55" i="1"/>
  <c r="H54" i="1"/>
  <c r="G54" i="1"/>
  <c r="H53" i="1"/>
  <c r="G53" i="1"/>
  <c r="H52" i="1"/>
  <c r="G52" i="1"/>
  <c r="G43" i="1"/>
  <c r="G42" i="1"/>
  <c r="G41" i="1"/>
  <c r="G40" i="1"/>
  <c r="G39" i="1"/>
  <c r="G38" i="1"/>
  <c r="G37" i="1"/>
  <c r="H28" i="1"/>
  <c r="H27" i="1"/>
  <c r="H26" i="1"/>
  <c r="H25" i="1"/>
  <c r="H24" i="1"/>
  <c r="H23" i="1"/>
  <c r="H22" i="1"/>
  <c r="H12" i="1"/>
  <c r="H11" i="1"/>
  <c r="H10" i="1"/>
  <c r="H9" i="1"/>
  <c r="H8" i="1"/>
  <c r="H7" i="1"/>
  <c r="H6" i="1"/>
  <c r="G28" i="1"/>
  <c r="G27" i="1"/>
  <c r="G26" i="1"/>
  <c r="G25" i="1"/>
  <c r="G24" i="1"/>
  <c r="G23" i="1"/>
  <c r="G22" i="1"/>
  <c r="G12" i="1"/>
  <c r="G11" i="1"/>
  <c r="G10" i="1"/>
  <c r="G6" i="1"/>
  <c r="G9" i="1"/>
  <c r="G7" i="1"/>
  <c r="G8" i="1"/>
</calcChain>
</file>

<file path=xl/sharedStrings.xml><?xml version="1.0" encoding="utf-8"?>
<sst xmlns="http://schemas.openxmlformats.org/spreadsheetml/2006/main" count="476" uniqueCount="223">
  <si>
    <t>COVID-19 Race and Ethnicity Data</t>
  </si>
  <si>
    <r>
      <t>All Cases and Deaths associated w</t>
    </r>
    <r>
      <rPr>
        <b/>
        <sz val="14"/>
        <color rgb="FF202020"/>
        <rFont val="Inherit"/>
      </rPr>
      <t>ith COVID-19 by Race and Ethnicity</t>
    </r>
  </si>
  <si>
    <t>​Race/Ethnicity </t>
  </si>
  <si>
    <t>​No. Cases</t>
  </si>
  <si>
    <t>​Percent Cases</t>
  </si>
  <si>
    <t>​No. Deaths</t>
  </si>
  <si>
    <t>​Percent Deaths</t>
  </si>
  <si>
    <t>​Percent CA population</t>
  </si>
  <si>
    <t>​Latino</t>
  </si>
  <si>
    <t>​45,965</t>
  </si>
  <si>
    <t>​54.2</t>
  </si>
  <si>
    <t>​1,665</t>
  </si>
  <si>
    <t>​39.4</t>
  </si>
  <si>
    <t>​38.9</t>
  </si>
  <si>
    <t>​White</t>
  </si>
  <si>
    <t>​19.6</t>
  </si>
  <si>
    <t>​1,416</t>
  </si>
  <si>
    <t>​33.5</t>
  </si>
  <si>
    <t>​36.6</t>
  </si>
  <si>
    <t>​Asian</t>
  </si>
  <si>
    <t>​8.8</t>
  </si>
  <si>
    <t>​619</t>
  </si>
  <si>
    <t>​14.6</t>
  </si>
  <si>
    <t>​15.4</t>
  </si>
  <si>
    <t>​African American/Black</t>
  </si>
  <si>
    <t>​5.2</t>
  </si>
  <si>
    <t>​424</t>
  </si>
  <si>
    <t>​10</t>
  </si>
  <si>
    <t>​6</t>
  </si>
  <si>
    <t>​Multi-Race</t>
  </si>
  <si>
    <t>​0.8</t>
  </si>
  <si>
    <t>​27</t>
  </si>
  <si>
    <t>​0.6</t>
  </si>
  <si>
    <t>​2.2</t>
  </si>
  <si>
    <t>​American Indian or Alaska Native</t>
  </si>
  <si>
    <t>​178</t>
  </si>
  <si>
    <t>​0.2</t>
  </si>
  <si>
    <t>​13</t>
  </si>
  <si>
    <t>​0.3</t>
  </si>
  <si>
    <t>​0.5</t>
  </si>
  <si>
    <t>​Native Hawaiian and other Pacific Islander</t>
  </si>
  <si>
    <t>​666</t>
  </si>
  <si>
    <t>​33</t>
  </si>
  <si>
    <t>​Other</t>
  </si>
  <si>
    <t>​0</t>
  </si>
  <si>
    <t>​Total with data</t>
  </si>
  <si>
    <t>​84,839</t>
  </si>
  <si>
    <t>​100</t>
  </si>
  <si>
    <t>​4,230</t>
  </si>
  <si>
    <t>Cases: 119,807 total; 34,968 (29%) missing race/ethnicity </t>
  </si>
  <si>
    <t> Deaths: 4,298 total; 68 (2%) missing race/ethnicity</t>
  </si>
  <si>
    <t>*179 cases with missing ages (overall)</t>
  </si>
  <si>
    <t>**Census data does not include 'other race' category</t>
  </si>
  <si>
    <t>All Cases and Deaths by Race and Ethnicity Among Ages 18+</t>
  </si>
  <si>
    <t>​Race/Ethnicity</t>
  </si>
  <si>
    <t>​No Deaths</t>
  </si>
  <si>
    <t>​53.3</t>
  </si>
  <si>
    <t>​36.3</t>
  </si>
  <si>
    <t>​20.3</t>
  </si>
  <si>
    <t>​38.8</t>
  </si>
  <si>
    <t>​7,308</t>
  </si>
  <si>
    <t>​9.2</t>
  </si>
  <si>
    <t>​16.2</t>
  </si>
  <si>
    <t>​Black</t>
  </si>
  <si>
    <t>​4,289</t>
  </si>
  <si>
    <t>​5.4</t>
  </si>
  <si>
    <t>​6.1</t>
  </si>
  <si>
    <t>​615</t>
  </si>
  <si>
    <t>​1.7</t>
  </si>
  <si>
    <t>​170</t>
  </si>
  <si>
    <t>​Native Hawaiian and other Pacific Islander</t>
  </si>
  <si>
    <t>​651</t>
  </si>
  <si>
    <t>​8,049</t>
  </si>
  <si>
    <t>​10.1</t>
  </si>
  <si>
    <t>​79,758</t>
  </si>
  <si>
    <t>Cases: 112,525 total; 32,767(29%) missing race/ethnicity </t>
  </si>
  <si>
    <t>*Census data does not include 'other race' category</t>
  </si>
  <si>
    <t>Proportions of Cases and Deaths by Race and Ethnicity Among Ages 0‐17</t>
  </si>
  <si>
    <t>Race/Ethnicity</t>
  </si>
  <si>
    <t>Latino​</t>
  </si>
  <si>
    <t>0​</t>
  </si>
  <si>
    <t>47.9​</t>
  </si>
  <si>
    <t>​412</t>
  </si>
  <si>
    <t>​8.2</t>
  </si>
  <si>
    <t>​29.2</t>
  </si>
  <si>
    <t>​154</t>
  </si>
  <si>
    <t>​3.1</t>
  </si>
  <si>
    <t>​12.7</t>
  </si>
  <si>
    <t>​85</t>
  </si>
  <si>
    <t>​30</t>
  </si>
  <si>
    <t>​4</t>
  </si>
  <si>
    <t>​8</t>
  </si>
  <si>
    <t>​0.4</t>
  </si>
  <si>
    <t>Native Hawaiian and other Pacific Islander</t>
  </si>
  <si>
    <t>​15</t>
  </si>
  <si>
    <t>​17</t>
  </si>
  <si>
    <t>​Total</t>
  </si>
  <si>
    <t>Cases: 7,119 total; 2,099 (29.5%) unknown race/ethnicity </t>
  </si>
  <si>
    <t>Deaths: 0 total; 0 (0%) unknown race/ethnicity </t>
  </si>
  <si>
    <t>Proportions of Cases and Deaths by Race and Ethnicity Among Ages 18‐34</t>
  </si>
  <si>
    <t>​3,277</t>
  </si>
  <si>
    <t>​14.2</t>
  </si>
  <si>
    <t>​30.2</t>
  </si>
  <si>
    <t>​1,571</t>
  </si>
  <si>
    <t>​3</t>
  </si>
  <si>
    <t>​14.7</t>
  </si>
  <si>
    <t>African American/​Black</t>
  </si>
  <si>
    <t>​944</t>
  </si>
  <si>
    <t>​4.1</t>
  </si>
  <si>
    <t>​6.5</t>
  </si>
  <si>
    <t>​190</t>
  </si>
  <si>
    <t>​2</t>
  </si>
  <si>
    <t>​4.3</t>
  </si>
  <si>
    <t>​2.6</t>
  </si>
  <si>
    <t>​51</t>
  </si>
  <si>
    <t>​146</t>
  </si>
  <si>
    <t>​2,831</t>
  </si>
  <si>
    <t>​23,145</t>
  </si>
  <si>
    <t>​46</t>
  </si>
  <si>
    <t>Cases: 33,029 total; 9,884 (29.9%) unknown race/ethnicity </t>
  </si>
  <si>
    <t>Deaths: 47 total; 1 (2.13%) unknown race/ethnicity</t>
  </si>
  <si>
    <t>Proportions of Cases and Deaths by Race and Ethnicity Among Ages 35‐49</t>
  </si>
  <si>
    <t>​12,648</t>
  </si>
  <si>
    <t>​59.1</t>
  </si>
  <si>
    <t>​147</t>
  </si>
  <si>
    <t>​74.2</t>
  </si>
  <si>
    <t>​41.5</t>
  </si>
  <si>
    <t>White​</t>
  </si>
  <si>
    <t>​3,276</t>
  </si>
  <si>
    <t>​15.3</t>
  </si>
  <si>
    <t>​14</t>
  </si>
  <si>
    <t>​7.1</t>
  </si>
  <si>
    <t>​32.5</t>
  </si>
  <si>
    <t>Asian​</t>
  </si>
  <si>
    <t>​1,848</t>
  </si>
  <si>
    <t>8.​6</t>
  </si>
  <si>
    <t>​7.6</t>
  </si>
  <si>
    <t>​17.5</t>
  </si>
  <si>
    <t>​4.4</t>
  </si>
  <si>
    <t>​5.9</t>
  </si>
  <si>
    <t>​164</t>
  </si>
  <si>
    <t>​1</t>
  </si>
  <si>
    <t>​1.6</t>
  </si>
  <si>
    <t>American Indian or Alaska Native​</t>
  </si>
  <si>
    <t>​48</t>
  </si>
  <si>
    <t>​0.9</t>
  </si>
  <si>
    <t>​2,295</t>
  </si>
  <si>
    <t>​10.7</t>
  </si>
  <si>
    <t>Total​</t>
  </si>
  <si>
    <t>​21,417</t>
  </si>
  <si>
    <t>​198</t>
  </si>
  <si>
    <t>Cases: 30,123 total; 8,706 (28.9%) unknown race/ethnicity </t>
  </si>
  <si>
    <t>Deaths: 203 total; 5 (2.46%) unknown race/ethnicity </t>
  </si>
  <si>
    <t>Proportions of Cases and Deaths by Race and Ethnicity Among Ages 50‐64</t>
  </si>
  <si>
    <t>32.2​</t>
  </si>
  <si>
    <t>​4,173</t>
  </si>
  <si>
    <t>​20.8</t>
  </si>
  <si>
    <t>​19.3</t>
  </si>
  <si>
    <t>​43</t>
  </si>
  <si>
    <t>​1,983</t>
  </si>
  <si>
    <t>​9.9</t>
  </si>
  <si>
    <t>​9.6</t>
  </si>
  <si>
    <t>​16.3</t>
  </si>
  <si>
    <t>​1,175</t>
  </si>
  <si>
    <t>​65</t>
  </si>
  <si>
    <t>​6.4</t>
  </si>
  <si>
    <t>​152</t>
  </si>
  <si>
    <t>​1.2</t>
  </si>
  <si>
    <t>​​American Indian or Alaska Native</t>
  </si>
  <si>
    <t>​39</t>
  </si>
  <si>
    <t>​​Native Hawaiian and other Pacific Islander</t>
  </si>
  <si>
    <t>​194</t>
  </si>
  <si>
    <t>​1,930</t>
  </si>
  <si>
    <t>​5</t>
  </si>
  <si>
    <t>​20,059</t>
  </si>
  <si>
    <t>​659</t>
  </si>
  <si>
    <t>Cases: 27,762 total; 7,703 (27.7%) unknown race/ethnicity </t>
  </si>
  <si>
    <t>Deaths: 671 total; 12 (1.79%) unknown race/ethnicity</t>
  </si>
  <si>
    <t>Proportions of Cases and Deaths by Race and Ethnicity Among Ages 65-79</t>
  </si>
  <si>
    <t>​3,229</t>
  </si>
  <si>
    <t>​33.2</t>
  </si>
  <si>
    <t>​32.7</t>
  </si>
  <si>
    <t>​54</t>
  </si>
  <si>
    <t>​16.9</t>
  </si>
  <si>
    <t>​8.1</t>
  </si>
  <si>
    <t>​163</t>
  </si>
  <si>
    <t>​5.5</t>
  </si>
  <si>
    <t>​69</t>
  </si>
  <si>
    <t>​0.7</t>
  </si>
  <si>
    <t>​20</t>
  </si>
  <si>
    <t>​87</t>
  </si>
  <si>
    <t>​718</t>
  </si>
  <si>
    <t>​7.4</t>
  </si>
  <si>
    <t>​1,365</t>
  </si>
  <si>
    <t>Cases: 13,690 total; 3,959 (28.9%) unknown race/ethnicity </t>
  </si>
  <si>
    <t>Deaths: 1,383 total; 18 (1.30%) unknown race/ethnicity</t>
  </si>
  <si>
    <t>Proportions of Cases and Deaths by Race and Ethnicity Among Ages 80+</t>
  </si>
  <si>
    <t>​1,488</t>
  </si>
  <si>
    <t>19.6​</t>
  </si>
  <si>
    <t>​2,249</t>
  </si>
  <si>
    <t>​41.6</t>
  </si>
  <si>
    <t>​823</t>
  </si>
  <si>
    <t>​41.9</t>
  </si>
  <si>
    <t>​57.2</t>
  </si>
  <si>
    <t>​865</t>
  </si>
  <si>
    <t>​16</t>
  </si>
  <si>
    <t>​392</t>
  </si>
  <si>
    <t>African American/Black​</t>
  </si>
  <si>
    <t>​447</t>
  </si>
  <si>
    <t>​8.3</t>
  </si>
  <si>
    <t>​175</t>
  </si>
  <si>
    <t>​4.8</t>
  </si>
  <si>
    <t>Multi-Race​</t>
  </si>
  <si>
    <t>Native Hawaiian and other Pacific Islander​</t>
  </si>
  <si>
    <t>Other​</t>
  </si>
  <si>
    <t>​275</t>
  </si>
  <si>
    <t>​5.1</t>
  </si>
  <si>
    <t>​5,400</t>
  </si>
  <si>
    <t>​1,962</t>
  </si>
  <si>
    <t>Cases: 7,905 total; 2,505 (31.7%) unknown race/ethnicity </t>
  </si>
  <si>
    <t>Deaths: 1,994 total; 32 (1.60%) unknown race/ethnicity</t>
  </si>
  <si>
    <t>Factor (case)</t>
  </si>
  <si>
    <t>Factor (death)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</si>
</sst>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202020"/>
      <name val="Source Sans Pro"/>
      <family val="2"/>
    </font>
    <font>
      <b/>
      <sz val="22"/>
      <color rgb="FF0072C6"/>
      <name val="Inherit"/>
    </font>
    <font>
      <b/>
      <sz val="18.25"/>
      <color rgb="FF0072C6"/>
      <name val="Inherit"/>
    </font>
    <font>
      <b/>
      <sz val="14"/>
      <color rgb="FF202020"/>
      <name val="Source Sans Pro"/>
      <family val="2"/>
    </font>
    <font>
      <b/>
      <sz val="14"/>
      <color rgb="FF202020"/>
      <name val="Inherit"/>
    </font>
    <font>
      <sz val="11"/>
      <color rgb="FFFFFFFF"/>
      <name val="Source Sans Pro"/>
      <family val="2"/>
    </font>
    <font>
      <sz val="11"/>
      <color theme="1"/>
      <name val="Source Sans Pro"/>
      <family val="2"/>
    </font>
    <font>
      <b/>
      <sz val="11"/>
      <color rgb="FF777777"/>
      <name val="Inherit"/>
    </font>
    <font>
      <b/>
      <sz val="11"/>
      <color rgb="FF777777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005594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5594"/>
      </left>
      <right style="medium">
        <color rgb="FF005594"/>
      </right>
      <top style="medium">
        <color rgb="FF005594"/>
      </top>
      <bottom style="medium">
        <color rgb="FF005594"/>
      </bottom>
      <diagonal/>
    </border>
    <border>
      <left style="medium">
        <color rgb="FF005594"/>
      </left>
      <right style="medium">
        <color rgb="FF005594"/>
      </right>
      <top style="medium">
        <color rgb="FF00559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5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6" fillId="2" borderId="1" xfId="0" applyFont="1" applyFill="1" applyBorder="1" applyAlignment="1">
      <alignment horizontal="left" vertical="top"/>
    </xf>
    <xf numFmtId="3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right" vertical="top"/>
    </xf>
    <xf numFmtId="0" fontId="0" fillId="0" borderId="0" xfId="0" applyAlignment="1"/>
    <xf numFmtId="0" fontId="7" fillId="0" borderId="1" xfId="0" applyFont="1" applyBorder="1" applyAlignment="1">
      <alignment vertical="top"/>
    </xf>
    <xf numFmtId="3" fontId="7" fillId="0" borderId="1" xfId="0" applyNumberFormat="1" applyFont="1" applyBorder="1" applyAlignment="1">
      <alignment horizontal="center" vertical="top"/>
    </xf>
    <xf numFmtId="2" fontId="7" fillId="0" borderId="1" xfId="0" applyNumberFormat="1" applyFont="1" applyBorder="1" applyAlignment="1">
      <alignment horizontal="right" vertical="top"/>
    </xf>
    <xf numFmtId="0" fontId="7" fillId="0" borderId="2" xfId="0" applyFont="1" applyBorder="1" applyAlignment="1">
      <alignment vertical="top"/>
    </xf>
    <xf numFmtId="3" fontId="7" fillId="0" borderId="2" xfId="0" applyNumberFormat="1" applyFont="1" applyBorder="1" applyAlignment="1">
      <alignment horizontal="center" vertical="top"/>
    </xf>
    <xf numFmtId="2" fontId="7" fillId="0" borderId="2" xfId="0" applyNumberFormat="1" applyFont="1" applyBorder="1" applyAlignment="1">
      <alignment horizontal="right" vertical="top"/>
    </xf>
    <xf numFmtId="2" fontId="6" fillId="2" borderId="1" xfId="0" applyNumberFormat="1" applyFont="1" applyFill="1" applyBorder="1" applyAlignment="1">
      <alignment horizontal="right" vertical="top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3" fontId="7" fillId="3" borderId="1" xfId="0" applyNumberFormat="1" applyFont="1" applyFill="1" applyBorder="1" applyAlignment="1">
      <alignment horizontal="center" vertical="top"/>
    </xf>
    <xf numFmtId="2" fontId="7" fillId="3" borderId="1" xfId="0" applyNumberFormat="1" applyFont="1" applyFill="1" applyBorder="1" applyAlignment="1">
      <alignment horizontal="right" vertical="top"/>
    </xf>
    <xf numFmtId="0" fontId="7" fillId="3" borderId="1" xfId="0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3" fontId="7" fillId="3" borderId="2" xfId="0" applyNumberFormat="1" applyFont="1" applyFill="1" applyBorder="1" applyAlignment="1">
      <alignment horizontal="center" vertical="top"/>
    </xf>
    <xf numFmtId="2" fontId="7" fillId="3" borderId="2" xfId="0" applyNumberFormat="1" applyFont="1" applyFill="1" applyBorder="1" applyAlignment="1">
      <alignment horizontal="right" vertical="top"/>
    </xf>
    <xf numFmtId="2" fontId="7" fillId="0" borderId="0" xfId="0" applyNumberFormat="1" applyFont="1" applyAlignment="1">
      <alignment vertical="top"/>
    </xf>
    <xf numFmtId="2" fontId="7" fillId="0" borderId="1" xfId="0" applyNumberFormat="1" applyFont="1" applyBorder="1" applyAlignment="1">
      <alignment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07D1-2247-4D2F-9FF0-5FB82A89DDD3}">
  <dimension ref="A1:H15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RowHeight="14.4"/>
  <cols>
    <col min="1" max="1" width="37" bestFit="1" customWidth="1"/>
    <col min="2" max="2" width="9.21875" style="5" bestFit="1" customWidth="1"/>
    <col min="3" max="3" width="12.77734375" style="6" bestFit="1" customWidth="1"/>
    <col min="4" max="4" width="10.21875" style="6" bestFit="1" customWidth="1"/>
    <col min="5" max="5" width="13.88671875" style="6" bestFit="1" customWidth="1"/>
    <col min="6" max="6" width="20.109375" style="6" bestFit="1" customWidth="1"/>
    <col min="7" max="7" width="11.6640625" style="30" bestFit="1" customWidth="1"/>
    <col min="8" max="8" width="12.88671875" style="30" bestFit="1" customWidth="1"/>
  </cols>
  <sheetData>
    <row r="1" spans="1:8" ht="19.95" customHeight="1">
      <c r="A1" s="3" t="s">
        <v>0</v>
      </c>
    </row>
    <row r="2" spans="1:8" ht="22.8">
      <c r="A2" s="1">
        <v>43985</v>
      </c>
    </row>
    <row r="3" spans="1:8">
      <c r="A3" s="2"/>
    </row>
    <row r="4" spans="1:8" ht="19.95" customHeight="1" thickBot="1">
      <c r="A4" s="4" t="s">
        <v>1</v>
      </c>
    </row>
    <row r="5" spans="1:8" ht="19.95" customHeight="1" thickBot="1">
      <c r="A5" s="8" t="s">
        <v>2</v>
      </c>
      <c r="B5" s="9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221</v>
      </c>
      <c r="H5" s="10" t="s">
        <v>222</v>
      </c>
    </row>
    <row r="6" spans="1:8" ht="19.95" customHeight="1" thickBot="1">
      <c r="A6" s="12" t="s">
        <v>8</v>
      </c>
      <c r="B6" s="13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31">
        <f>54.2/38.9</f>
        <v>1.3933161953727509</v>
      </c>
      <c r="H6" s="31">
        <f>39.4/38.9</f>
        <v>1.012853470437018</v>
      </c>
    </row>
    <row r="7" spans="1:8" ht="19.95" customHeight="1" thickBot="1">
      <c r="A7" s="12" t="s">
        <v>14</v>
      </c>
      <c r="B7" s="13">
        <v>16634</v>
      </c>
      <c r="C7" s="14" t="s">
        <v>15</v>
      </c>
      <c r="D7" s="14" t="s">
        <v>16</v>
      </c>
      <c r="E7" s="14" t="s">
        <v>17</v>
      </c>
      <c r="F7" s="14" t="s">
        <v>18</v>
      </c>
      <c r="G7" s="31">
        <f>19.6/36.6</f>
        <v>0.53551912568306015</v>
      </c>
      <c r="H7" s="31">
        <f>33.5/36.6</f>
        <v>0.91530054644808745</v>
      </c>
    </row>
    <row r="8" spans="1:8" ht="19.95" customHeight="1" thickBot="1">
      <c r="A8" s="12" t="s">
        <v>19</v>
      </c>
      <c r="B8" s="13">
        <v>7471</v>
      </c>
      <c r="C8" s="14" t="s">
        <v>20</v>
      </c>
      <c r="D8" s="14" t="s">
        <v>21</v>
      </c>
      <c r="E8" s="14" t="s">
        <v>22</v>
      </c>
      <c r="F8" s="14" t="s">
        <v>23</v>
      </c>
      <c r="G8" s="31">
        <f>8.8/15.4</f>
        <v>0.57142857142857151</v>
      </c>
      <c r="H8" s="31">
        <f>14.6/15.4</f>
        <v>0.94805194805194803</v>
      </c>
    </row>
    <row r="9" spans="1:8" ht="19.95" customHeight="1" thickBot="1">
      <c r="A9" s="15" t="s">
        <v>24</v>
      </c>
      <c r="B9" s="16">
        <v>4378</v>
      </c>
      <c r="C9" s="17" t="s">
        <v>25</v>
      </c>
      <c r="D9" s="17" t="s">
        <v>26</v>
      </c>
      <c r="E9" s="17" t="s">
        <v>27</v>
      </c>
      <c r="F9" s="14" t="s">
        <v>28</v>
      </c>
      <c r="G9" s="31">
        <f>5.2/6</f>
        <v>0.8666666666666667</v>
      </c>
      <c r="H9" s="31">
        <f>10/6</f>
        <v>1.6666666666666667</v>
      </c>
    </row>
    <row r="10" spans="1:8" ht="19.95" customHeight="1" thickBot="1">
      <c r="A10" s="12" t="s">
        <v>29</v>
      </c>
      <c r="B10" s="13">
        <v>645</v>
      </c>
      <c r="C10" s="14" t="s">
        <v>30</v>
      </c>
      <c r="D10" s="14" t="s">
        <v>31</v>
      </c>
      <c r="E10" s="14" t="s">
        <v>32</v>
      </c>
      <c r="F10" s="14" t="s">
        <v>33</v>
      </c>
      <c r="G10" s="31">
        <f>0.8/2.2</f>
        <v>0.36363636363636365</v>
      </c>
      <c r="H10" s="31">
        <f>0.6/2.2</f>
        <v>0.27272727272727271</v>
      </c>
    </row>
    <row r="11" spans="1:8" ht="19.95" customHeight="1" thickBot="1">
      <c r="A11" s="12" t="s">
        <v>34</v>
      </c>
      <c r="B11" s="13" t="s">
        <v>35</v>
      </c>
      <c r="C11" s="14" t="s">
        <v>36</v>
      </c>
      <c r="D11" s="14" t="s">
        <v>37</v>
      </c>
      <c r="E11" s="14" t="s">
        <v>38</v>
      </c>
      <c r="F11" s="14" t="s">
        <v>39</v>
      </c>
      <c r="G11" s="31">
        <f>0.2/0.5</f>
        <v>0.4</v>
      </c>
      <c r="H11" s="31">
        <f>0.3/0.5</f>
        <v>0.6</v>
      </c>
    </row>
    <row r="12" spans="1:8" ht="19.95" customHeight="1" thickBot="1">
      <c r="A12" s="12" t="s">
        <v>40</v>
      </c>
      <c r="B12" s="13" t="s">
        <v>41</v>
      </c>
      <c r="C12" s="14" t="s">
        <v>30</v>
      </c>
      <c r="D12" s="14" t="s">
        <v>42</v>
      </c>
      <c r="E12" s="14" t="s">
        <v>30</v>
      </c>
      <c r="F12" s="14" t="s">
        <v>38</v>
      </c>
      <c r="G12" s="31">
        <f>0.8/0.3</f>
        <v>2.666666666666667</v>
      </c>
      <c r="H12" s="31">
        <f>0.8/0.3</f>
        <v>2.666666666666667</v>
      </c>
    </row>
    <row r="13" spans="1:8" ht="19.95" customHeight="1" thickBot="1">
      <c r="A13" s="12" t="s">
        <v>43</v>
      </c>
      <c r="B13" s="13">
        <v>8902</v>
      </c>
      <c r="C13" s="14">
        <v>10.5</v>
      </c>
      <c r="D13" s="14" t="s">
        <v>42</v>
      </c>
      <c r="E13" s="14" t="s">
        <v>30</v>
      </c>
      <c r="F13" s="14" t="s">
        <v>44</v>
      </c>
      <c r="G13" s="31"/>
      <c r="H13" s="31"/>
    </row>
    <row r="14" spans="1:8" ht="19.95" customHeight="1" thickBot="1">
      <c r="A14" s="12" t="s">
        <v>45</v>
      </c>
      <c r="B14" s="13" t="s">
        <v>46</v>
      </c>
      <c r="C14" s="14" t="s">
        <v>47</v>
      </c>
      <c r="D14" s="14" t="s">
        <v>48</v>
      </c>
      <c r="E14" s="14" t="s">
        <v>47</v>
      </c>
      <c r="F14" s="14">
        <v>100</v>
      </c>
      <c r="G14" s="31"/>
      <c r="H14" s="31"/>
    </row>
    <row r="15" spans="1:8" ht="19.95" customHeight="1">
      <c r="A15" s="32" t="s">
        <v>49</v>
      </c>
      <c r="C15" s="7"/>
      <c r="D15" s="7"/>
      <c r="E15" s="7"/>
      <c r="F15" s="7"/>
    </row>
    <row r="16" spans="1:8" ht="19.95" customHeight="1">
      <c r="A16" s="32" t="s">
        <v>50</v>
      </c>
      <c r="C16" s="7"/>
      <c r="D16" s="7"/>
      <c r="E16" s="7"/>
      <c r="F16" s="7"/>
    </row>
    <row r="17" spans="1:8" ht="19.95" customHeight="1">
      <c r="A17" s="32" t="s">
        <v>51</v>
      </c>
      <c r="C17" s="7"/>
      <c r="D17" s="7"/>
      <c r="E17" s="7"/>
      <c r="F17" s="7"/>
    </row>
    <row r="18" spans="1:8" ht="19.95" customHeight="1">
      <c r="A18" s="32" t="s">
        <v>52</v>
      </c>
      <c r="C18" s="7"/>
      <c r="D18" s="7"/>
      <c r="E18" s="7"/>
      <c r="F18" s="7"/>
    </row>
    <row r="19" spans="1:8" ht="19.95" customHeight="1">
      <c r="A19" s="11"/>
      <c r="C19" s="7"/>
      <c r="D19" s="7"/>
      <c r="E19" s="7"/>
      <c r="F19" s="7"/>
    </row>
    <row r="20" spans="1:8" ht="19.95" customHeight="1" thickBot="1">
      <c r="A20" s="4" t="s">
        <v>53</v>
      </c>
      <c r="C20" s="7"/>
      <c r="D20" s="7"/>
      <c r="E20" s="7"/>
      <c r="F20" s="7"/>
    </row>
    <row r="21" spans="1:8" ht="19.95" customHeight="1" thickBot="1">
      <c r="A21" s="8" t="s">
        <v>54</v>
      </c>
      <c r="B21" s="9" t="s">
        <v>3</v>
      </c>
      <c r="C21" s="18" t="s">
        <v>4</v>
      </c>
      <c r="D21" s="18" t="s">
        <v>55</v>
      </c>
      <c r="E21" s="18" t="s">
        <v>6</v>
      </c>
      <c r="F21" s="18" t="s">
        <v>7</v>
      </c>
      <c r="G21" s="10" t="s">
        <v>221</v>
      </c>
      <c r="H21" s="10" t="s">
        <v>222</v>
      </c>
    </row>
    <row r="22" spans="1:8" ht="19.95" customHeight="1" thickBot="1">
      <c r="A22" s="19" t="s">
        <v>8</v>
      </c>
      <c r="B22" s="20">
        <v>42472</v>
      </c>
      <c r="C22" s="21" t="s">
        <v>56</v>
      </c>
      <c r="D22" s="21" t="s">
        <v>11</v>
      </c>
      <c r="E22" s="21" t="s">
        <v>12</v>
      </c>
      <c r="F22" s="21" t="s">
        <v>57</v>
      </c>
      <c r="G22" s="31">
        <f>53.3/36.3</f>
        <v>1.4683195592286502</v>
      </c>
      <c r="H22" s="31">
        <f>39.4/36.3</f>
        <v>1.0853994490358128</v>
      </c>
    </row>
    <row r="23" spans="1:8" ht="19.95" customHeight="1" thickBot="1">
      <c r="A23" s="19" t="s">
        <v>14</v>
      </c>
      <c r="B23" s="20">
        <v>16204</v>
      </c>
      <c r="C23" s="21" t="s">
        <v>58</v>
      </c>
      <c r="D23" s="21" t="s">
        <v>16</v>
      </c>
      <c r="E23" s="21" t="s">
        <v>17</v>
      </c>
      <c r="F23" s="21" t="s">
        <v>59</v>
      </c>
      <c r="G23" s="31">
        <f>30.4/38.8</f>
        <v>0.78350515463917525</v>
      </c>
      <c r="H23" s="31">
        <f>33.5/38.8</f>
        <v>0.86340206185567014</v>
      </c>
    </row>
    <row r="24" spans="1:8" ht="19.95" customHeight="1" thickBot="1">
      <c r="A24" s="19" t="s">
        <v>19</v>
      </c>
      <c r="B24" s="20" t="s">
        <v>60</v>
      </c>
      <c r="C24" s="21" t="s">
        <v>61</v>
      </c>
      <c r="D24" s="21" t="s">
        <v>21</v>
      </c>
      <c r="E24" s="21" t="s">
        <v>22</v>
      </c>
      <c r="F24" s="21" t="s">
        <v>62</v>
      </c>
      <c r="G24" s="31">
        <f>9.2/16.2</f>
        <v>0.5679012345679012</v>
      </c>
      <c r="H24" s="31">
        <f>14.6/16.2</f>
        <v>0.90123456790123457</v>
      </c>
    </row>
    <row r="25" spans="1:8" ht="19.95" customHeight="1" thickBot="1">
      <c r="A25" s="19" t="s">
        <v>63</v>
      </c>
      <c r="B25" s="20" t="s">
        <v>64</v>
      </c>
      <c r="C25" s="21" t="s">
        <v>65</v>
      </c>
      <c r="D25" s="21" t="s">
        <v>26</v>
      </c>
      <c r="E25" s="21" t="s">
        <v>27</v>
      </c>
      <c r="F25" s="21" t="s">
        <v>66</v>
      </c>
      <c r="G25" s="31">
        <f>5.4/6.1</f>
        <v>0.88524590163934436</v>
      </c>
      <c r="H25" s="31">
        <f>10/6.1</f>
        <v>1.639344262295082</v>
      </c>
    </row>
    <row r="26" spans="1:8" ht="19.95" customHeight="1" thickBot="1">
      <c r="A26" s="19" t="s">
        <v>29</v>
      </c>
      <c r="B26" s="20" t="s">
        <v>67</v>
      </c>
      <c r="C26" s="21" t="s">
        <v>30</v>
      </c>
      <c r="D26" s="21" t="s">
        <v>31</v>
      </c>
      <c r="E26" s="21" t="s">
        <v>32</v>
      </c>
      <c r="F26" s="21" t="s">
        <v>68</v>
      </c>
      <c r="G26" s="31">
        <f>0.8/1.7</f>
        <v>0.4705882352941177</v>
      </c>
      <c r="H26" s="31">
        <f>0.6/1.7</f>
        <v>0.35294117647058826</v>
      </c>
    </row>
    <row r="27" spans="1:8" ht="19.95" customHeight="1" thickBot="1">
      <c r="A27" s="19" t="s">
        <v>34</v>
      </c>
      <c r="B27" s="20" t="s">
        <v>69</v>
      </c>
      <c r="C27" s="21" t="s">
        <v>36</v>
      </c>
      <c r="D27" s="21" t="s">
        <v>37</v>
      </c>
      <c r="E27" s="21" t="s">
        <v>38</v>
      </c>
      <c r="F27" s="21" t="s">
        <v>39</v>
      </c>
      <c r="G27" s="31">
        <f>0.2/0.5</f>
        <v>0.4</v>
      </c>
      <c r="H27" s="31">
        <f>0.3/0.5</f>
        <v>0.6</v>
      </c>
    </row>
    <row r="28" spans="1:8" ht="19.95" customHeight="1" thickBot="1">
      <c r="A28" s="19" t="s">
        <v>70</v>
      </c>
      <c r="B28" s="20" t="s">
        <v>71</v>
      </c>
      <c r="C28" s="21" t="s">
        <v>30</v>
      </c>
      <c r="D28" s="21" t="s">
        <v>42</v>
      </c>
      <c r="E28" s="21" t="s">
        <v>30</v>
      </c>
      <c r="F28" s="21" t="s">
        <v>38</v>
      </c>
      <c r="G28" s="31">
        <f>0.8/0.3</f>
        <v>2.666666666666667</v>
      </c>
      <c r="H28" s="31">
        <f>0.8/0.3</f>
        <v>2.666666666666667</v>
      </c>
    </row>
    <row r="29" spans="1:8" ht="19.95" customHeight="1" thickBot="1">
      <c r="A29" s="19" t="s">
        <v>43</v>
      </c>
      <c r="B29" s="20" t="s">
        <v>72</v>
      </c>
      <c r="C29" s="21" t="s">
        <v>73</v>
      </c>
      <c r="D29" s="21" t="s">
        <v>42</v>
      </c>
      <c r="E29" s="21" t="s">
        <v>30</v>
      </c>
      <c r="F29" s="21" t="s">
        <v>44</v>
      </c>
      <c r="G29" s="31"/>
      <c r="H29" s="31"/>
    </row>
    <row r="30" spans="1:8" ht="19.95" customHeight="1" thickBot="1">
      <c r="A30" s="19" t="s">
        <v>45</v>
      </c>
      <c r="B30" s="20" t="s">
        <v>74</v>
      </c>
      <c r="C30" s="21" t="s">
        <v>47</v>
      </c>
      <c r="D30" s="21" t="s">
        <v>48</v>
      </c>
      <c r="E30" s="21" t="s">
        <v>47</v>
      </c>
      <c r="F30" s="21" t="s">
        <v>47</v>
      </c>
      <c r="G30" s="31"/>
      <c r="H30" s="31"/>
    </row>
    <row r="31" spans="1:8" ht="19.95" customHeight="1">
      <c r="A31" s="33" t="s">
        <v>75</v>
      </c>
      <c r="C31" s="7"/>
      <c r="D31" s="7"/>
      <c r="E31" s="7"/>
      <c r="F31" s="7"/>
    </row>
    <row r="32" spans="1:8" ht="19.95" customHeight="1">
      <c r="A32" s="33" t="s">
        <v>50</v>
      </c>
      <c r="C32" s="7"/>
      <c r="D32" s="7"/>
      <c r="E32" s="7"/>
      <c r="F32" s="7"/>
    </row>
    <row r="33" spans="1:8" ht="19.95" customHeight="1">
      <c r="A33" s="33" t="s">
        <v>76</v>
      </c>
      <c r="C33" s="7"/>
      <c r="D33" s="7"/>
      <c r="E33" s="7"/>
      <c r="F33" s="7"/>
    </row>
    <row r="34" spans="1:8" ht="19.95" customHeight="1">
      <c r="A34" s="11"/>
      <c r="C34" s="7"/>
      <c r="D34" s="7"/>
      <c r="E34" s="7"/>
      <c r="F34" s="7"/>
    </row>
    <row r="35" spans="1:8" ht="19.95" customHeight="1" thickBot="1">
      <c r="A35" s="4" t="s">
        <v>77</v>
      </c>
      <c r="C35" s="7"/>
      <c r="D35" s="7"/>
      <c r="E35" s="7"/>
      <c r="F35" s="7"/>
    </row>
    <row r="36" spans="1:8" ht="19.95" customHeight="1" thickBot="1">
      <c r="A36" s="8" t="s">
        <v>78</v>
      </c>
      <c r="B36" s="9" t="s">
        <v>3</v>
      </c>
      <c r="C36" s="18" t="s">
        <v>4</v>
      </c>
      <c r="D36" s="18" t="s">
        <v>5</v>
      </c>
      <c r="E36" s="18" t="s">
        <v>6</v>
      </c>
      <c r="F36" s="18" t="s">
        <v>7</v>
      </c>
      <c r="G36" s="10" t="s">
        <v>221</v>
      </c>
      <c r="H36" s="10" t="s">
        <v>222</v>
      </c>
    </row>
    <row r="37" spans="1:8" ht="19.95" customHeight="1" thickBot="1">
      <c r="A37" s="22" t="s">
        <v>79</v>
      </c>
      <c r="B37" s="13">
        <v>3465</v>
      </c>
      <c r="C37" s="14">
        <v>69</v>
      </c>
      <c r="D37" s="14" t="s">
        <v>80</v>
      </c>
      <c r="E37" s="14" t="s">
        <v>80</v>
      </c>
      <c r="F37" s="14" t="s">
        <v>81</v>
      </c>
      <c r="G37" s="31">
        <f>69/47.9</f>
        <v>1.4405010438413361</v>
      </c>
      <c r="H37" s="31"/>
    </row>
    <row r="38" spans="1:8" ht="19.95" customHeight="1" thickBot="1">
      <c r="A38" s="12" t="s">
        <v>14</v>
      </c>
      <c r="B38" s="13" t="s">
        <v>82</v>
      </c>
      <c r="C38" s="14" t="s">
        <v>83</v>
      </c>
      <c r="D38" s="14" t="s">
        <v>44</v>
      </c>
      <c r="E38" s="14" t="s">
        <v>44</v>
      </c>
      <c r="F38" s="14" t="s">
        <v>84</v>
      </c>
      <c r="G38" s="31">
        <f>8.2/29.2</f>
        <v>0.28082191780821913</v>
      </c>
      <c r="H38" s="31"/>
    </row>
    <row r="39" spans="1:8" ht="19.95" customHeight="1" thickBot="1">
      <c r="A39" s="12" t="s">
        <v>19</v>
      </c>
      <c r="B39" s="13" t="s">
        <v>85</v>
      </c>
      <c r="C39" s="14" t="s">
        <v>86</v>
      </c>
      <c r="D39" s="14" t="s">
        <v>44</v>
      </c>
      <c r="E39" s="14" t="s">
        <v>44</v>
      </c>
      <c r="F39" s="14" t="s">
        <v>87</v>
      </c>
      <c r="G39" s="31">
        <f>3.1/12.7</f>
        <v>0.24409448818897639</v>
      </c>
      <c r="H39" s="31"/>
    </row>
    <row r="40" spans="1:8" ht="19.95" customHeight="1" thickBot="1">
      <c r="A40" s="12" t="s">
        <v>24</v>
      </c>
      <c r="B40" s="13" t="s">
        <v>88</v>
      </c>
      <c r="C40" s="14" t="s">
        <v>68</v>
      </c>
      <c r="D40" s="14" t="s">
        <v>44</v>
      </c>
      <c r="E40" s="14" t="s">
        <v>44</v>
      </c>
      <c r="F40" s="14" t="s">
        <v>65</v>
      </c>
      <c r="G40" s="31">
        <f>1.7/5.4</f>
        <v>0.31481481481481477</v>
      </c>
      <c r="H40" s="31"/>
    </row>
    <row r="41" spans="1:8" ht="19.95" customHeight="1" thickBot="1">
      <c r="A41" s="12" t="s">
        <v>29</v>
      </c>
      <c r="B41" s="13" t="s">
        <v>89</v>
      </c>
      <c r="C41" s="14" t="s">
        <v>32</v>
      </c>
      <c r="D41" s="14" t="s">
        <v>44</v>
      </c>
      <c r="E41" s="14" t="s">
        <v>44</v>
      </c>
      <c r="F41" s="14" t="s">
        <v>90</v>
      </c>
      <c r="G41" s="31">
        <f>0.6/4</f>
        <v>0.15</v>
      </c>
      <c r="H41" s="31"/>
    </row>
    <row r="42" spans="1:8" ht="19.95" customHeight="1" thickBot="1">
      <c r="A42" s="12" t="s">
        <v>34</v>
      </c>
      <c r="B42" s="13" t="s">
        <v>91</v>
      </c>
      <c r="C42" s="14" t="s">
        <v>36</v>
      </c>
      <c r="D42" s="14" t="s">
        <v>44</v>
      </c>
      <c r="E42" s="14" t="s">
        <v>44</v>
      </c>
      <c r="F42" s="14" t="s">
        <v>92</v>
      </c>
      <c r="G42" s="31">
        <f>0.2/0.4</f>
        <v>0.5</v>
      </c>
      <c r="H42" s="31"/>
    </row>
    <row r="43" spans="1:8" ht="19.95" customHeight="1" thickBot="1">
      <c r="A43" s="12" t="s">
        <v>93</v>
      </c>
      <c r="B43" s="13" t="s">
        <v>94</v>
      </c>
      <c r="C43" s="14" t="s">
        <v>38</v>
      </c>
      <c r="D43" s="14" t="s">
        <v>44</v>
      </c>
      <c r="E43" s="14" t="s">
        <v>44</v>
      </c>
      <c r="F43" s="14" t="s">
        <v>38</v>
      </c>
      <c r="G43" s="31">
        <f>-0.3/0.3</f>
        <v>-1</v>
      </c>
      <c r="H43" s="31"/>
    </row>
    <row r="44" spans="1:8" ht="19.95" customHeight="1" thickBot="1">
      <c r="A44" s="12" t="s">
        <v>43</v>
      </c>
      <c r="B44" s="13">
        <v>851</v>
      </c>
      <c r="C44" s="14" t="s">
        <v>95</v>
      </c>
      <c r="D44" s="14" t="s">
        <v>44</v>
      </c>
      <c r="E44" s="14" t="s">
        <v>44</v>
      </c>
      <c r="F44" s="14" t="s">
        <v>44</v>
      </c>
      <c r="G44" s="31"/>
      <c r="H44" s="31"/>
    </row>
    <row r="45" spans="1:8" ht="19.95" customHeight="1" thickBot="1">
      <c r="A45" s="12" t="s">
        <v>96</v>
      </c>
      <c r="B45" s="13">
        <v>5020</v>
      </c>
      <c r="C45" s="14" t="s">
        <v>47</v>
      </c>
      <c r="D45" s="14" t="s">
        <v>44</v>
      </c>
      <c r="E45" s="14" t="s">
        <v>44</v>
      </c>
      <c r="F45" s="14" t="s">
        <v>47</v>
      </c>
      <c r="G45" s="31"/>
      <c r="H45" s="31"/>
    </row>
    <row r="46" spans="1:8" ht="19.95" customHeight="1">
      <c r="A46" s="32" t="s">
        <v>97</v>
      </c>
      <c r="C46" s="7"/>
      <c r="D46" s="7"/>
      <c r="E46" s="7"/>
      <c r="F46" s="7"/>
    </row>
    <row r="47" spans="1:8" ht="19.95" customHeight="1">
      <c r="A47" s="32" t="s">
        <v>98</v>
      </c>
      <c r="C47" s="7"/>
      <c r="D47" s="7"/>
      <c r="E47" s="7"/>
      <c r="F47" s="7"/>
    </row>
    <row r="48" spans="1:8" ht="19.95" customHeight="1">
      <c r="A48" s="32" t="s">
        <v>76</v>
      </c>
      <c r="C48" s="7"/>
      <c r="D48" s="7"/>
      <c r="E48" s="7"/>
      <c r="F48" s="7"/>
    </row>
    <row r="49" spans="1:8" ht="19.95" customHeight="1">
      <c r="A49" s="32"/>
      <c r="C49" s="7"/>
      <c r="D49" s="7"/>
      <c r="E49" s="7"/>
      <c r="F49" s="7"/>
    </row>
    <row r="50" spans="1:8" ht="19.95" customHeight="1" thickBot="1">
      <c r="A50" s="4" t="s">
        <v>99</v>
      </c>
      <c r="C50" s="7"/>
      <c r="D50" s="7"/>
      <c r="E50" s="7"/>
      <c r="F50" s="7"/>
    </row>
    <row r="51" spans="1:8" ht="19.95" customHeight="1" thickBot="1">
      <c r="A51" s="8" t="s">
        <v>78</v>
      </c>
      <c r="B51" s="9" t="s">
        <v>3</v>
      </c>
      <c r="C51" s="18" t="s">
        <v>4</v>
      </c>
      <c r="D51" s="18" t="s">
        <v>5</v>
      </c>
      <c r="E51" s="18" t="s">
        <v>6</v>
      </c>
      <c r="F51" s="18" t="s">
        <v>7</v>
      </c>
      <c r="G51" s="10" t="s">
        <v>221</v>
      </c>
      <c r="H51" s="10" t="s">
        <v>222</v>
      </c>
    </row>
    <row r="52" spans="1:8" ht="19.95" customHeight="1" thickBot="1">
      <c r="A52" s="23" t="s">
        <v>79</v>
      </c>
      <c r="B52" s="24">
        <v>14135</v>
      </c>
      <c r="C52" s="25">
        <v>61.1</v>
      </c>
      <c r="D52" s="25">
        <v>31</v>
      </c>
      <c r="E52" s="25">
        <v>67.400000000000006</v>
      </c>
      <c r="F52" s="25">
        <v>45</v>
      </c>
      <c r="G52" s="31">
        <f>61.1/45</f>
        <v>1.3577777777777778</v>
      </c>
      <c r="H52" s="31">
        <f>67.4/45</f>
        <v>1.4977777777777779</v>
      </c>
    </row>
    <row r="53" spans="1:8" ht="19.95" customHeight="1" thickBot="1">
      <c r="A53" s="26" t="s">
        <v>14</v>
      </c>
      <c r="B53" s="24" t="s">
        <v>100</v>
      </c>
      <c r="C53" s="25" t="s">
        <v>101</v>
      </c>
      <c r="D53" s="25" t="s">
        <v>28</v>
      </c>
      <c r="E53" s="25" t="s">
        <v>37</v>
      </c>
      <c r="F53" s="25" t="s">
        <v>102</v>
      </c>
      <c r="G53" s="31">
        <f>14.2/30.2</f>
        <v>0.47019867549668876</v>
      </c>
      <c r="H53" s="31">
        <f>13/30.2</f>
        <v>0.43046357615894043</v>
      </c>
    </row>
    <row r="54" spans="1:8" ht="19.95" customHeight="1" thickBot="1">
      <c r="A54" s="26" t="s">
        <v>19</v>
      </c>
      <c r="B54" s="24" t="s">
        <v>103</v>
      </c>
      <c r="C54" s="25">
        <v>6.8</v>
      </c>
      <c r="D54" s="25" t="s">
        <v>104</v>
      </c>
      <c r="E54" s="25">
        <v>6.5</v>
      </c>
      <c r="F54" s="25" t="s">
        <v>105</v>
      </c>
      <c r="G54" s="31">
        <f>6.8/14.7</f>
        <v>0.46258503401360546</v>
      </c>
      <c r="H54" s="31">
        <f>6.5/14.7</f>
        <v>0.44217687074829937</v>
      </c>
    </row>
    <row r="55" spans="1:8" ht="19.95" customHeight="1" thickBot="1">
      <c r="A55" s="26" t="s">
        <v>106</v>
      </c>
      <c r="B55" s="24" t="s">
        <v>107</v>
      </c>
      <c r="C55" s="25" t="s">
        <v>108</v>
      </c>
      <c r="D55" s="25" t="s">
        <v>90</v>
      </c>
      <c r="E55" s="25">
        <v>8.6999999999999993</v>
      </c>
      <c r="F55" s="25" t="s">
        <v>109</v>
      </c>
      <c r="G55" s="31">
        <f>4.1/6.5</f>
        <v>0.63076923076923075</v>
      </c>
      <c r="H55" s="31">
        <f>8.7/6.5</f>
        <v>1.3384615384615384</v>
      </c>
    </row>
    <row r="56" spans="1:8" ht="19.95" customHeight="1" thickBot="1">
      <c r="A56" s="26" t="s">
        <v>29</v>
      </c>
      <c r="B56" s="24" t="s">
        <v>110</v>
      </c>
      <c r="C56" s="25" t="s">
        <v>30</v>
      </c>
      <c r="D56" s="25" t="s">
        <v>111</v>
      </c>
      <c r="E56" s="25" t="s">
        <v>112</v>
      </c>
      <c r="F56" s="25" t="s">
        <v>113</v>
      </c>
      <c r="G56" s="31">
        <f>0.8/2.6</f>
        <v>0.30769230769230771</v>
      </c>
      <c r="H56" s="31">
        <f>4.3/2.6</f>
        <v>1.6538461538461537</v>
      </c>
    </row>
    <row r="57" spans="1:8" ht="19.95" customHeight="1" thickBot="1">
      <c r="A57" s="27" t="s">
        <v>34</v>
      </c>
      <c r="B57" s="28" t="s">
        <v>114</v>
      </c>
      <c r="C57" s="29" t="s">
        <v>36</v>
      </c>
      <c r="D57" s="29" t="s">
        <v>44</v>
      </c>
      <c r="E57" s="29" t="s">
        <v>44</v>
      </c>
      <c r="F57" s="29" t="s">
        <v>32</v>
      </c>
      <c r="G57" s="31">
        <f>0.2/0.6</f>
        <v>0.33333333333333337</v>
      </c>
      <c r="H57" s="31">
        <v>0</v>
      </c>
    </row>
    <row r="58" spans="1:8" ht="19.95" customHeight="1" thickBot="1">
      <c r="A58" s="26" t="s">
        <v>93</v>
      </c>
      <c r="B58" s="24" t="s">
        <v>115</v>
      </c>
      <c r="C58" s="25" t="s">
        <v>32</v>
      </c>
      <c r="D58" s="25" t="s">
        <v>44</v>
      </c>
      <c r="E58" s="25" t="s">
        <v>44</v>
      </c>
      <c r="F58" s="25" t="s">
        <v>92</v>
      </c>
      <c r="G58" s="31">
        <f>0.6/0.4</f>
        <v>1.4999999999999998</v>
      </c>
      <c r="H58" s="31">
        <v>0</v>
      </c>
    </row>
    <row r="59" spans="1:8" ht="19.95" customHeight="1" thickBot="1">
      <c r="A59" s="26" t="s">
        <v>43</v>
      </c>
      <c r="B59" s="24" t="s">
        <v>116</v>
      </c>
      <c r="C59" s="25">
        <v>12.2</v>
      </c>
      <c r="D59" s="25" t="s">
        <v>44</v>
      </c>
      <c r="E59" s="25" t="s">
        <v>44</v>
      </c>
      <c r="F59" s="25" t="s">
        <v>44</v>
      </c>
      <c r="G59" s="31"/>
      <c r="H59" s="31"/>
    </row>
    <row r="60" spans="1:8" ht="19.95" customHeight="1" thickBot="1">
      <c r="A60" s="26" t="s">
        <v>96</v>
      </c>
      <c r="B60" s="24" t="s">
        <v>117</v>
      </c>
      <c r="C60" s="25" t="s">
        <v>47</v>
      </c>
      <c r="D60" s="25" t="s">
        <v>118</v>
      </c>
      <c r="E60" s="25" t="s">
        <v>47</v>
      </c>
      <c r="F60" s="25" t="s">
        <v>47</v>
      </c>
      <c r="G60" s="31"/>
      <c r="H60" s="31"/>
    </row>
    <row r="61" spans="1:8" ht="19.95" customHeight="1">
      <c r="A61" s="32" t="s">
        <v>119</v>
      </c>
      <c r="C61" s="7"/>
      <c r="D61" s="7"/>
      <c r="E61" s="7"/>
      <c r="F61" s="7"/>
    </row>
    <row r="62" spans="1:8" ht="19.95" customHeight="1">
      <c r="A62" s="32" t="s">
        <v>120</v>
      </c>
      <c r="C62" s="7"/>
      <c r="D62" s="7"/>
      <c r="E62" s="7"/>
      <c r="F62" s="7"/>
    </row>
    <row r="63" spans="1:8" ht="19.95" customHeight="1">
      <c r="A63" s="32" t="s">
        <v>76</v>
      </c>
      <c r="C63" s="7"/>
      <c r="D63" s="7"/>
      <c r="E63" s="7"/>
      <c r="F63" s="7"/>
    </row>
    <row r="64" spans="1:8" ht="19.95" customHeight="1">
      <c r="A64" s="32"/>
      <c r="C64" s="7"/>
      <c r="D64" s="7"/>
      <c r="E64" s="7"/>
      <c r="F64" s="7"/>
    </row>
    <row r="65" spans="1:8" ht="19.95" customHeight="1" thickBot="1">
      <c r="A65" s="4" t="s">
        <v>121</v>
      </c>
      <c r="C65" s="7"/>
      <c r="D65" s="7"/>
      <c r="E65" s="7"/>
      <c r="F65" s="7"/>
    </row>
    <row r="66" spans="1:8" ht="19.95" customHeight="1" thickBot="1">
      <c r="A66" s="8" t="s">
        <v>54</v>
      </c>
      <c r="B66" s="9" t="s">
        <v>3</v>
      </c>
      <c r="C66" s="18" t="s">
        <v>4</v>
      </c>
      <c r="D66" s="18" t="s">
        <v>5</v>
      </c>
      <c r="E66" s="18" t="s">
        <v>6</v>
      </c>
      <c r="F66" s="18" t="s">
        <v>7</v>
      </c>
      <c r="G66" s="10" t="s">
        <v>221</v>
      </c>
      <c r="H66" s="10" t="s">
        <v>222</v>
      </c>
    </row>
    <row r="67" spans="1:8" ht="19.95" customHeight="1" thickBot="1">
      <c r="A67" s="26" t="s">
        <v>79</v>
      </c>
      <c r="B67" s="24" t="s">
        <v>122</v>
      </c>
      <c r="C67" s="25" t="s">
        <v>123</v>
      </c>
      <c r="D67" s="25" t="s">
        <v>124</v>
      </c>
      <c r="E67" s="25" t="s">
        <v>125</v>
      </c>
      <c r="F67" s="25" t="s">
        <v>126</v>
      </c>
      <c r="G67" s="31">
        <f>59.1/41.5</f>
        <v>1.4240963855421687</v>
      </c>
      <c r="H67" s="31">
        <f>74.2/41.5</f>
        <v>1.7879518072289158</v>
      </c>
    </row>
    <row r="68" spans="1:8" ht="19.95" customHeight="1" thickBot="1">
      <c r="A68" s="26" t="s">
        <v>127</v>
      </c>
      <c r="B68" s="24" t="s">
        <v>128</v>
      </c>
      <c r="C68" s="25" t="s">
        <v>129</v>
      </c>
      <c r="D68" s="25" t="s">
        <v>130</v>
      </c>
      <c r="E68" s="25" t="s">
        <v>131</v>
      </c>
      <c r="F68" s="25" t="s">
        <v>132</v>
      </c>
      <c r="G68" s="31">
        <f>15.3/32.5</f>
        <v>0.47076923076923077</v>
      </c>
      <c r="H68" s="31">
        <f>7.1/32.5</f>
        <v>0.21846153846153846</v>
      </c>
    </row>
    <row r="69" spans="1:8" ht="19.95" customHeight="1" thickBot="1">
      <c r="A69" s="26" t="s">
        <v>133</v>
      </c>
      <c r="B69" s="24" t="s">
        <v>134</v>
      </c>
      <c r="C69" s="25" t="s">
        <v>135</v>
      </c>
      <c r="D69" s="25" t="s">
        <v>94</v>
      </c>
      <c r="E69" s="25" t="s">
        <v>136</v>
      </c>
      <c r="F69" s="25" t="s">
        <v>137</v>
      </c>
      <c r="G69" s="31">
        <f>8.6/7.6</f>
        <v>1.131578947368421</v>
      </c>
      <c r="H69" s="31">
        <f>7.6/17.5</f>
        <v>0.43428571428571427</v>
      </c>
    </row>
    <row r="70" spans="1:8" ht="19.95" customHeight="1" thickBot="1">
      <c r="A70" s="26" t="s">
        <v>106</v>
      </c>
      <c r="B70" s="24">
        <v>938</v>
      </c>
      <c r="C70" s="25" t="s">
        <v>138</v>
      </c>
      <c r="D70" s="25" t="s">
        <v>95</v>
      </c>
      <c r="E70" s="25">
        <v>8.6</v>
      </c>
      <c r="F70" s="25" t="s">
        <v>139</v>
      </c>
      <c r="G70" s="31">
        <f>4.4/5.9</f>
        <v>0.74576271186440679</v>
      </c>
      <c r="H70" s="31">
        <f>8.6/5.9</f>
        <v>1.4576271186440677</v>
      </c>
    </row>
    <row r="71" spans="1:8" ht="19.95" customHeight="1" thickBot="1">
      <c r="A71" s="26" t="s">
        <v>29</v>
      </c>
      <c r="B71" s="24" t="s">
        <v>140</v>
      </c>
      <c r="C71" s="25" t="s">
        <v>30</v>
      </c>
      <c r="D71" s="25" t="s">
        <v>141</v>
      </c>
      <c r="E71" s="25" t="s">
        <v>39</v>
      </c>
      <c r="F71" s="25" t="s">
        <v>142</v>
      </c>
      <c r="G71" s="31">
        <f>1/1.6</f>
        <v>0.625</v>
      </c>
      <c r="H71" s="31">
        <f>0.5/1.6</f>
        <v>0.3125</v>
      </c>
    </row>
    <row r="72" spans="1:8" ht="19.95" customHeight="1" thickBot="1">
      <c r="A72" s="26" t="s">
        <v>143</v>
      </c>
      <c r="B72" s="24" t="s">
        <v>144</v>
      </c>
      <c r="C72" s="25" t="s">
        <v>36</v>
      </c>
      <c r="D72" s="25">
        <v>1</v>
      </c>
      <c r="E72" s="25" t="s">
        <v>39</v>
      </c>
      <c r="F72" s="25" t="s">
        <v>39</v>
      </c>
      <c r="G72" s="31">
        <f>0.2/0.5</f>
        <v>0.4</v>
      </c>
      <c r="H72" s="31">
        <f>0.5/0.5</f>
        <v>1</v>
      </c>
    </row>
    <row r="73" spans="1:8" ht="19.95" customHeight="1" thickBot="1">
      <c r="A73" s="26" t="s">
        <v>70</v>
      </c>
      <c r="B73" s="24">
        <v>200</v>
      </c>
      <c r="C73" s="25" t="s">
        <v>145</v>
      </c>
      <c r="D73" s="25" t="s">
        <v>111</v>
      </c>
      <c r="E73" s="25" t="s">
        <v>141</v>
      </c>
      <c r="F73" s="25" t="s">
        <v>92</v>
      </c>
      <c r="G73" s="31">
        <f>0.9/0.4</f>
        <v>2.25</v>
      </c>
      <c r="H73" s="31">
        <f>1/0.4</f>
        <v>2.5</v>
      </c>
    </row>
    <row r="74" spans="1:8" ht="19.95" customHeight="1" thickBot="1">
      <c r="A74" s="26" t="s">
        <v>43</v>
      </c>
      <c r="B74" s="24" t="s">
        <v>146</v>
      </c>
      <c r="C74" s="25" t="s">
        <v>147</v>
      </c>
      <c r="D74" s="25" t="s">
        <v>141</v>
      </c>
      <c r="E74" s="25" t="s">
        <v>39</v>
      </c>
      <c r="F74" s="25" t="s">
        <v>44</v>
      </c>
      <c r="G74" s="31"/>
      <c r="H74" s="31"/>
    </row>
    <row r="75" spans="1:8" ht="19.95" customHeight="1" thickBot="1">
      <c r="A75" s="26" t="s">
        <v>148</v>
      </c>
      <c r="B75" s="24" t="s">
        <v>149</v>
      </c>
      <c r="C75" s="25" t="s">
        <v>47</v>
      </c>
      <c r="D75" s="25" t="s">
        <v>150</v>
      </c>
      <c r="E75" s="25" t="s">
        <v>47</v>
      </c>
      <c r="F75" s="25" t="s">
        <v>47</v>
      </c>
      <c r="G75" s="31"/>
      <c r="H75" s="31"/>
    </row>
    <row r="76" spans="1:8" ht="19.95" customHeight="1">
      <c r="A76" s="32" t="s">
        <v>151</v>
      </c>
      <c r="C76" s="7"/>
      <c r="D76" s="7"/>
      <c r="E76" s="7"/>
      <c r="F76" s="7"/>
    </row>
    <row r="77" spans="1:8" ht="19.95" customHeight="1">
      <c r="A77" s="32" t="s">
        <v>152</v>
      </c>
      <c r="C77" s="7"/>
      <c r="D77" s="7"/>
      <c r="E77" s="7"/>
      <c r="F77" s="7"/>
    </row>
    <row r="78" spans="1:8" ht="19.95" customHeight="1">
      <c r="A78" s="32" t="s">
        <v>76</v>
      </c>
      <c r="C78" s="7"/>
      <c r="D78" s="7"/>
      <c r="E78" s="7"/>
      <c r="F78" s="7"/>
    </row>
    <row r="79" spans="1:8" ht="19.95" customHeight="1">
      <c r="A79" s="32"/>
      <c r="C79" s="7"/>
      <c r="D79" s="7"/>
      <c r="E79" s="7"/>
      <c r="F79" s="7"/>
    </row>
    <row r="80" spans="1:8" ht="19.95" customHeight="1" thickBot="1">
      <c r="A80" s="4" t="s">
        <v>153</v>
      </c>
      <c r="C80" s="7"/>
      <c r="D80" s="7"/>
      <c r="E80" s="7"/>
      <c r="F80" s="7"/>
    </row>
    <row r="81" spans="1:8" ht="19.95" customHeight="1" thickBot="1">
      <c r="A81" s="8" t="s">
        <v>78</v>
      </c>
      <c r="B81" s="9" t="s">
        <v>3</v>
      </c>
      <c r="C81" s="18" t="s">
        <v>4</v>
      </c>
      <c r="D81" s="18" t="s">
        <v>5</v>
      </c>
      <c r="E81" s="18" t="s">
        <v>6</v>
      </c>
      <c r="F81" s="18" t="s">
        <v>7</v>
      </c>
      <c r="G81" s="10" t="s">
        <v>221</v>
      </c>
      <c r="H81" s="10" t="s">
        <v>222</v>
      </c>
    </row>
    <row r="82" spans="1:8" ht="19.95" customHeight="1" thickBot="1">
      <c r="A82" s="23" t="s">
        <v>79</v>
      </c>
      <c r="B82" s="24">
        <v>10413</v>
      </c>
      <c r="C82" s="25">
        <v>51.9</v>
      </c>
      <c r="D82" s="25">
        <v>388</v>
      </c>
      <c r="E82" s="25">
        <v>58.9</v>
      </c>
      <c r="F82" s="25" t="s">
        <v>154</v>
      </c>
      <c r="G82" s="31">
        <f>51.9/32.2</f>
        <v>1.6118012422360246</v>
      </c>
      <c r="H82" s="31">
        <f>58.9/32.2</f>
        <v>1.8291925465838508</v>
      </c>
    </row>
    <row r="83" spans="1:8" ht="19.95" customHeight="1" thickBot="1">
      <c r="A83" s="26" t="s">
        <v>14</v>
      </c>
      <c r="B83" s="24" t="s">
        <v>155</v>
      </c>
      <c r="C83" s="25" t="s">
        <v>156</v>
      </c>
      <c r="D83" s="25">
        <v>127</v>
      </c>
      <c r="E83" s="25" t="s">
        <v>157</v>
      </c>
      <c r="F83" s="25" t="s">
        <v>158</v>
      </c>
      <c r="G83" s="31">
        <f>20.8/43</f>
        <v>0.48372093023255813</v>
      </c>
      <c r="H83" s="31">
        <f>19.3/43</f>
        <v>0.44883720930232562</v>
      </c>
    </row>
    <row r="84" spans="1:8" ht="19.95" customHeight="1" thickBot="1">
      <c r="A84" s="26" t="s">
        <v>19</v>
      </c>
      <c r="B84" s="24" t="s">
        <v>159</v>
      </c>
      <c r="C84" s="25" t="s">
        <v>160</v>
      </c>
      <c r="D84" s="25">
        <v>63</v>
      </c>
      <c r="E84" s="25" t="s">
        <v>161</v>
      </c>
      <c r="F84" s="25" t="s">
        <v>162</v>
      </c>
      <c r="G84" s="31">
        <f>9.9/16.3</f>
        <v>0.6073619631901841</v>
      </c>
      <c r="H84" s="31">
        <f>9.6/16.3</f>
        <v>0.58895705521472386</v>
      </c>
    </row>
    <row r="85" spans="1:8" ht="19.95" customHeight="1" thickBot="1">
      <c r="A85" s="26" t="s">
        <v>106</v>
      </c>
      <c r="B85" s="24" t="s">
        <v>163</v>
      </c>
      <c r="C85" s="25" t="s">
        <v>139</v>
      </c>
      <c r="D85" s="25" t="s">
        <v>164</v>
      </c>
      <c r="E85" s="25">
        <v>9.9</v>
      </c>
      <c r="F85" s="25" t="s">
        <v>165</v>
      </c>
      <c r="G85" s="31">
        <f>5.9/6.4</f>
        <v>0.921875</v>
      </c>
      <c r="H85" s="31">
        <f>9.9/6.4</f>
        <v>1.546875</v>
      </c>
    </row>
    <row r="86" spans="1:8" ht="19.95" customHeight="1" thickBot="1">
      <c r="A86" s="26" t="s">
        <v>29</v>
      </c>
      <c r="B86" s="24" t="s">
        <v>166</v>
      </c>
      <c r="C86" s="25" t="s">
        <v>30</v>
      </c>
      <c r="D86" s="25" t="s">
        <v>104</v>
      </c>
      <c r="E86" s="25" t="s">
        <v>39</v>
      </c>
      <c r="F86" s="25" t="s">
        <v>167</v>
      </c>
      <c r="G86" s="31">
        <f>0.8/1.2</f>
        <v>0.66666666666666674</v>
      </c>
      <c r="H86" s="31">
        <f>0.5/1.2</f>
        <v>0.41666666666666669</v>
      </c>
    </row>
    <row r="87" spans="1:8" ht="19.95" customHeight="1" thickBot="1">
      <c r="A87" s="26" t="s">
        <v>168</v>
      </c>
      <c r="B87" s="24" t="s">
        <v>169</v>
      </c>
      <c r="C87" s="25" t="s">
        <v>36</v>
      </c>
      <c r="D87" s="25" t="s">
        <v>111</v>
      </c>
      <c r="E87" s="25" t="s">
        <v>38</v>
      </c>
      <c r="F87" s="25" t="s">
        <v>39</v>
      </c>
      <c r="G87" s="31">
        <f>0.2/0.5</f>
        <v>0.4</v>
      </c>
      <c r="H87" s="31">
        <f>0.3/0.5</f>
        <v>0.6</v>
      </c>
    </row>
    <row r="88" spans="1:8" ht="19.95" customHeight="1" thickBot="1">
      <c r="A88" s="26" t="s">
        <v>170</v>
      </c>
      <c r="B88" s="24" t="s">
        <v>171</v>
      </c>
      <c r="C88" s="25" t="s">
        <v>141</v>
      </c>
      <c r="D88" s="25" t="s">
        <v>28</v>
      </c>
      <c r="E88" s="25" t="s">
        <v>145</v>
      </c>
      <c r="F88" s="25" t="s">
        <v>92</v>
      </c>
      <c r="G88" s="31">
        <f>1/0.4</f>
        <v>2.5</v>
      </c>
      <c r="H88" s="31">
        <f>0.9/0.4</f>
        <v>2.25</v>
      </c>
    </row>
    <row r="89" spans="1:8" ht="19.95" customHeight="1" thickBot="1">
      <c r="A89" s="26" t="s">
        <v>43</v>
      </c>
      <c r="B89" s="24" t="s">
        <v>172</v>
      </c>
      <c r="C89" s="25">
        <v>9.6</v>
      </c>
      <c r="D89" s="25" t="s">
        <v>173</v>
      </c>
      <c r="E89" s="25">
        <v>0.8</v>
      </c>
      <c r="F89" s="25" t="s">
        <v>44</v>
      </c>
      <c r="G89" s="31"/>
      <c r="H89" s="31"/>
    </row>
    <row r="90" spans="1:8" ht="19.95" customHeight="1" thickBot="1">
      <c r="A90" s="26" t="s">
        <v>96</v>
      </c>
      <c r="B90" s="24" t="s">
        <v>174</v>
      </c>
      <c r="C90" s="25" t="s">
        <v>47</v>
      </c>
      <c r="D90" s="25" t="s">
        <v>175</v>
      </c>
      <c r="E90" s="25" t="s">
        <v>47</v>
      </c>
      <c r="F90" s="25" t="s">
        <v>47</v>
      </c>
      <c r="G90" s="31"/>
      <c r="H90" s="31"/>
    </row>
    <row r="91" spans="1:8" ht="19.95" customHeight="1">
      <c r="A91" s="32" t="s">
        <v>176</v>
      </c>
      <c r="C91" s="7"/>
      <c r="D91" s="7"/>
      <c r="E91" s="7"/>
      <c r="F91" s="7"/>
    </row>
    <row r="92" spans="1:8" ht="19.95" customHeight="1">
      <c r="A92" s="32" t="s">
        <v>177</v>
      </c>
      <c r="C92" s="7"/>
      <c r="D92" s="7"/>
      <c r="E92" s="7"/>
      <c r="F92" s="7"/>
    </row>
    <row r="93" spans="1:8" ht="19.95" customHeight="1">
      <c r="A93" s="32" t="s">
        <v>76</v>
      </c>
      <c r="C93" s="7"/>
      <c r="D93" s="7"/>
      <c r="E93" s="7"/>
      <c r="F93" s="7"/>
    </row>
    <row r="94" spans="1:8" ht="19.95" customHeight="1">
      <c r="A94" s="32"/>
      <c r="C94" s="7"/>
      <c r="D94" s="7"/>
      <c r="E94" s="7"/>
      <c r="F94" s="7"/>
    </row>
    <row r="95" spans="1:8" ht="19.95" customHeight="1" thickBot="1">
      <c r="A95" s="4" t="s">
        <v>178</v>
      </c>
      <c r="C95" s="7"/>
      <c r="D95" s="7"/>
      <c r="E95" s="7"/>
      <c r="F95" s="7"/>
    </row>
    <row r="96" spans="1:8" ht="19.95" customHeight="1" thickBot="1">
      <c r="A96" s="8" t="s">
        <v>78</v>
      </c>
      <c r="B96" s="9" t="s">
        <v>3</v>
      </c>
      <c r="C96" s="18" t="s">
        <v>4</v>
      </c>
      <c r="D96" s="18" t="s">
        <v>5</v>
      </c>
      <c r="E96" s="18" t="s">
        <v>6</v>
      </c>
      <c r="F96" s="18" t="s">
        <v>7</v>
      </c>
      <c r="G96" s="10" t="s">
        <v>221</v>
      </c>
      <c r="H96" s="10" t="s">
        <v>222</v>
      </c>
    </row>
    <row r="97" spans="1:8" ht="19.95" customHeight="1" thickBot="1">
      <c r="A97" s="23" t="s">
        <v>79</v>
      </c>
      <c r="B97" s="24">
        <v>3782</v>
      </c>
      <c r="C97" s="25">
        <v>38.9</v>
      </c>
      <c r="D97" s="25">
        <v>572</v>
      </c>
      <c r="E97" s="25">
        <v>41.9</v>
      </c>
      <c r="F97" s="25">
        <v>21.8</v>
      </c>
      <c r="G97" s="31">
        <f>38.9/21.8</f>
        <v>1.7844036697247705</v>
      </c>
      <c r="H97" s="31">
        <f>41.9/21.8</f>
        <v>1.9220183486238531</v>
      </c>
    </row>
    <row r="98" spans="1:8" ht="19.95" customHeight="1" thickBot="1">
      <c r="A98" s="26" t="s">
        <v>14</v>
      </c>
      <c r="B98" s="24" t="s">
        <v>179</v>
      </c>
      <c r="C98" s="25" t="s">
        <v>180</v>
      </c>
      <c r="D98" s="25">
        <v>446</v>
      </c>
      <c r="E98" s="25" t="s">
        <v>181</v>
      </c>
      <c r="F98" s="25" t="s">
        <v>182</v>
      </c>
      <c r="G98" s="31">
        <f>33.2/54</f>
        <v>0.61481481481481481</v>
      </c>
      <c r="H98" s="31">
        <f>32.7/54</f>
        <v>0.60555555555555562</v>
      </c>
    </row>
    <row r="99" spans="1:8" ht="19.95" customHeight="1" thickBot="1">
      <c r="A99" s="26" t="s">
        <v>19</v>
      </c>
      <c r="B99" s="24">
        <v>1041</v>
      </c>
      <c r="C99" s="25" t="s">
        <v>147</v>
      </c>
      <c r="D99" s="25" t="s">
        <v>115</v>
      </c>
      <c r="E99" s="25" t="s">
        <v>147</v>
      </c>
      <c r="F99" s="25" t="s">
        <v>183</v>
      </c>
      <c r="G99" s="31">
        <f>10.7/16.9</f>
        <v>0.63313609467455623</v>
      </c>
      <c r="H99" s="31">
        <f>10.7/16.9</f>
        <v>0.63313609467455623</v>
      </c>
    </row>
    <row r="100" spans="1:8" ht="19.95" customHeight="1" thickBot="1">
      <c r="A100" s="26" t="s">
        <v>24</v>
      </c>
      <c r="B100" s="24">
        <v>785</v>
      </c>
      <c r="C100" s="25" t="s">
        <v>184</v>
      </c>
      <c r="D100" s="25" t="s">
        <v>185</v>
      </c>
      <c r="E100" s="25">
        <v>11.9</v>
      </c>
      <c r="F100" s="25" t="s">
        <v>186</v>
      </c>
      <c r="G100" s="31">
        <f>8.1/5.5</f>
        <v>1.4727272727272727</v>
      </c>
      <c r="H100" s="31">
        <f>11.9/5.5</f>
        <v>2.1636363636363636</v>
      </c>
    </row>
    <row r="101" spans="1:8" ht="19.95" customHeight="1" thickBot="1">
      <c r="A101" s="26" t="s">
        <v>29</v>
      </c>
      <c r="B101" s="24" t="s">
        <v>187</v>
      </c>
      <c r="C101" s="25" t="s">
        <v>188</v>
      </c>
      <c r="D101" s="25" t="s">
        <v>91</v>
      </c>
      <c r="E101" s="25" t="s">
        <v>32</v>
      </c>
      <c r="F101" s="25" t="s">
        <v>141</v>
      </c>
      <c r="G101" s="31">
        <f>0.7/1</f>
        <v>0.7</v>
      </c>
      <c r="H101" s="31">
        <f>0.6/1</f>
        <v>0.6</v>
      </c>
    </row>
    <row r="102" spans="1:8" ht="19.95" customHeight="1" thickBot="1">
      <c r="A102" s="26" t="s">
        <v>168</v>
      </c>
      <c r="B102" s="24" t="s">
        <v>189</v>
      </c>
      <c r="C102" s="25" t="s">
        <v>36</v>
      </c>
      <c r="D102" s="25" t="s">
        <v>90</v>
      </c>
      <c r="E102" s="25" t="s">
        <v>38</v>
      </c>
      <c r="F102" s="25" t="s">
        <v>39</v>
      </c>
      <c r="G102" s="31">
        <f>0.2/0.5</f>
        <v>0.4</v>
      </c>
      <c r="H102" s="31">
        <f>0.3/0.5</f>
        <v>0.6</v>
      </c>
    </row>
    <row r="103" spans="1:8" ht="19.95" customHeight="1" thickBot="1">
      <c r="A103" s="26" t="s">
        <v>93</v>
      </c>
      <c r="B103" s="24" t="s">
        <v>190</v>
      </c>
      <c r="C103" s="25" t="s">
        <v>145</v>
      </c>
      <c r="D103" s="25">
        <v>12</v>
      </c>
      <c r="E103" s="25" t="s">
        <v>145</v>
      </c>
      <c r="F103" s="25" t="s">
        <v>38</v>
      </c>
      <c r="G103" s="31">
        <f>0.9/0.3</f>
        <v>3</v>
      </c>
      <c r="H103" s="31">
        <f>0.9/0.3</f>
        <v>3</v>
      </c>
    </row>
    <row r="104" spans="1:8" ht="19.95" customHeight="1" thickBot="1">
      <c r="A104" s="26" t="s">
        <v>43</v>
      </c>
      <c r="B104" s="24" t="s">
        <v>191</v>
      </c>
      <c r="C104" s="25" t="s">
        <v>192</v>
      </c>
      <c r="D104" s="25" t="s">
        <v>130</v>
      </c>
      <c r="E104" s="25" t="s">
        <v>141</v>
      </c>
      <c r="F104" s="25" t="s">
        <v>44</v>
      </c>
      <c r="G104" s="31"/>
      <c r="H104" s="31"/>
    </row>
    <row r="105" spans="1:8" ht="19.95" customHeight="1" thickBot="1">
      <c r="A105" s="26" t="s">
        <v>96</v>
      </c>
      <c r="B105" s="24">
        <v>9731</v>
      </c>
      <c r="C105" s="25" t="s">
        <v>47</v>
      </c>
      <c r="D105" s="25" t="s">
        <v>193</v>
      </c>
      <c r="E105" s="25" t="s">
        <v>47</v>
      </c>
      <c r="F105" s="25" t="s">
        <v>47</v>
      </c>
      <c r="G105" s="31"/>
      <c r="H105" s="31"/>
    </row>
    <row r="106" spans="1:8" ht="19.95" customHeight="1">
      <c r="A106" s="32" t="s">
        <v>194</v>
      </c>
      <c r="C106" s="7"/>
      <c r="D106" s="7"/>
      <c r="E106" s="7"/>
      <c r="F106" s="7"/>
    </row>
    <row r="107" spans="1:8" ht="19.95" customHeight="1">
      <c r="A107" s="32" t="s">
        <v>195</v>
      </c>
      <c r="C107" s="7"/>
      <c r="D107" s="7"/>
      <c r="E107" s="7"/>
      <c r="F107" s="7"/>
    </row>
    <row r="108" spans="1:8" ht="19.95" customHeight="1">
      <c r="A108" s="32" t="s">
        <v>76</v>
      </c>
      <c r="C108" s="7"/>
      <c r="D108" s="7"/>
      <c r="E108" s="7"/>
      <c r="F108" s="7"/>
    </row>
    <row r="109" spans="1:8" ht="19.95" customHeight="1">
      <c r="A109" s="32"/>
      <c r="C109" s="7"/>
      <c r="D109" s="7"/>
      <c r="E109" s="7"/>
      <c r="F109" s="7"/>
    </row>
    <row r="110" spans="1:8" ht="19.95" customHeight="1" thickBot="1">
      <c r="A110" s="4" t="s">
        <v>196</v>
      </c>
      <c r="C110" s="7"/>
      <c r="D110" s="7"/>
      <c r="E110" s="7"/>
      <c r="F110" s="7"/>
    </row>
    <row r="111" spans="1:8" ht="19.95" customHeight="1" thickBot="1">
      <c r="A111" s="8" t="s">
        <v>54</v>
      </c>
      <c r="B111" s="9" t="s">
        <v>3</v>
      </c>
      <c r="C111" s="18" t="s">
        <v>4</v>
      </c>
      <c r="D111" s="18" t="s">
        <v>5</v>
      </c>
      <c r="E111" s="18" t="s">
        <v>6</v>
      </c>
      <c r="F111" s="18" t="s">
        <v>7</v>
      </c>
      <c r="G111" s="10" t="s">
        <v>221</v>
      </c>
      <c r="H111" s="10" t="s">
        <v>222</v>
      </c>
    </row>
    <row r="112" spans="1:8" ht="19.95" customHeight="1" thickBot="1">
      <c r="A112" s="22" t="s">
        <v>79</v>
      </c>
      <c r="B112" s="13" t="s">
        <v>197</v>
      </c>
      <c r="C112" s="14">
        <v>27.6</v>
      </c>
      <c r="D112" s="14">
        <v>527</v>
      </c>
      <c r="E112" s="14">
        <v>26.9</v>
      </c>
      <c r="F112" s="14" t="s">
        <v>198</v>
      </c>
      <c r="G112" s="31">
        <f>27.6/19.6</f>
        <v>1.4081632653061225</v>
      </c>
      <c r="H112" s="31">
        <f>26.9/19.6</f>
        <v>1.3724489795918366</v>
      </c>
    </row>
    <row r="113" spans="1:8" ht="19.95" customHeight="1" thickBot="1">
      <c r="A113" s="22" t="s">
        <v>127</v>
      </c>
      <c r="B113" s="13" t="s">
        <v>199</v>
      </c>
      <c r="C113" s="14" t="s">
        <v>200</v>
      </c>
      <c r="D113" s="14" t="s">
        <v>201</v>
      </c>
      <c r="E113" s="14" t="s">
        <v>202</v>
      </c>
      <c r="F113" s="14" t="s">
        <v>203</v>
      </c>
      <c r="G113" s="31">
        <f>41.6/57.2</f>
        <v>0.72727272727272729</v>
      </c>
      <c r="H113" s="31">
        <f>41.9/57.2</f>
        <v>0.7325174825174825</v>
      </c>
    </row>
    <row r="114" spans="1:8" ht="19.95" customHeight="1" thickBot="1">
      <c r="A114" s="22" t="s">
        <v>133</v>
      </c>
      <c r="B114" s="13" t="s">
        <v>204</v>
      </c>
      <c r="C114" s="14" t="s">
        <v>205</v>
      </c>
      <c r="D114" s="14" t="s">
        <v>206</v>
      </c>
      <c r="E114" s="14" t="s">
        <v>189</v>
      </c>
      <c r="F114" s="14" t="s">
        <v>95</v>
      </c>
      <c r="G114" s="31">
        <f>16/17</f>
        <v>0.94117647058823528</v>
      </c>
      <c r="H114" s="31">
        <f>20/17</f>
        <v>1.1764705882352942</v>
      </c>
    </row>
    <row r="115" spans="1:8" ht="19.95" customHeight="1" thickBot="1">
      <c r="A115" s="22" t="s">
        <v>207</v>
      </c>
      <c r="B115" s="13" t="s">
        <v>208</v>
      </c>
      <c r="C115" s="14" t="s">
        <v>209</v>
      </c>
      <c r="D115" s="14" t="s">
        <v>210</v>
      </c>
      <c r="E115" s="14">
        <v>8.9</v>
      </c>
      <c r="F115" s="14" t="s">
        <v>211</v>
      </c>
      <c r="G115" s="31">
        <f>8.3/4.8</f>
        <v>1.729166666666667</v>
      </c>
      <c r="H115" s="31">
        <f>8.9/4.8</f>
        <v>1.8541666666666667</v>
      </c>
    </row>
    <row r="116" spans="1:8" ht="19.95" customHeight="1" thickBot="1">
      <c r="A116" s="22" t="s">
        <v>212</v>
      </c>
      <c r="B116" s="13">
        <v>40</v>
      </c>
      <c r="C116" s="14" t="s">
        <v>188</v>
      </c>
      <c r="D116" s="14" t="s">
        <v>37</v>
      </c>
      <c r="E116" s="14" t="s">
        <v>188</v>
      </c>
      <c r="F116" s="14" t="s">
        <v>145</v>
      </c>
      <c r="G116" s="31">
        <f>0.7/0.9</f>
        <v>0.77777777777777768</v>
      </c>
      <c r="H116" s="31">
        <f>0.7/0.9</f>
        <v>0.77777777777777768</v>
      </c>
    </row>
    <row r="117" spans="1:8" ht="19.95" customHeight="1" thickBot="1">
      <c r="A117" s="22" t="s">
        <v>143</v>
      </c>
      <c r="B117" s="13">
        <v>12</v>
      </c>
      <c r="C117" s="14" t="s">
        <v>36</v>
      </c>
      <c r="D117" s="14" t="s">
        <v>28</v>
      </c>
      <c r="E117" s="14" t="s">
        <v>38</v>
      </c>
      <c r="F117" s="14" t="s">
        <v>92</v>
      </c>
      <c r="G117" s="31">
        <f>0.2/0.4</f>
        <v>0.5</v>
      </c>
      <c r="H117" s="31">
        <f>0.3/0.4</f>
        <v>0.74999999999999989</v>
      </c>
    </row>
    <row r="118" spans="1:8" ht="19.95" customHeight="1" thickBot="1">
      <c r="A118" s="22" t="s">
        <v>213</v>
      </c>
      <c r="B118" s="13">
        <v>24</v>
      </c>
      <c r="C118" s="14" t="s">
        <v>92</v>
      </c>
      <c r="D118" s="14" t="s">
        <v>37</v>
      </c>
      <c r="E118" s="14" t="s">
        <v>188</v>
      </c>
      <c r="F118" s="14" t="s">
        <v>36</v>
      </c>
      <c r="G118" s="31">
        <f>0.4/0.2</f>
        <v>2</v>
      </c>
      <c r="H118" s="31">
        <f>0.7/0.2</f>
        <v>3.4999999999999996</v>
      </c>
    </row>
    <row r="119" spans="1:8" ht="19.95" customHeight="1" thickBot="1">
      <c r="A119" s="22" t="s">
        <v>214</v>
      </c>
      <c r="B119" s="13" t="s">
        <v>215</v>
      </c>
      <c r="C119" s="14" t="s">
        <v>216</v>
      </c>
      <c r="D119" s="14" t="s">
        <v>37</v>
      </c>
      <c r="E119" s="14">
        <v>0.7</v>
      </c>
      <c r="F119" s="14" t="s">
        <v>44</v>
      </c>
      <c r="G119" s="31"/>
      <c r="H119" s="31"/>
    </row>
    <row r="120" spans="1:8" ht="19.95" customHeight="1" thickBot="1">
      <c r="A120" s="22" t="s">
        <v>96</v>
      </c>
      <c r="B120" s="13" t="s">
        <v>217</v>
      </c>
      <c r="C120" s="14" t="s">
        <v>47</v>
      </c>
      <c r="D120" s="14" t="s">
        <v>218</v>
      </c>
      <c r="E120" s="14" t="s">
        <v>47</v>
      </c>
      <c r="F120" s="14" t="s">
        <v>47</v>
      </c>
      <c r="G120" s="31"/>
      <c r="H120" s="31"/>
    </row>
    <row r="121" spans="1:8" ht="19.95" customHeight="1">
      <c r="A121" s="32" t="s">
        <v>219</v>
      </c>
    </row>
    <row r="122" spans="1:8" ht="19.95" customHeight="1">
      <c r="A122" s="32" t="s">
        <v>220</v>
      </c>
    </row>
    <row r="123" spans="1:8" ht="19.95" customHeight="1">
      <c r="A123" s="32" t="s">
        <v>76</v>
      </c>
    </row>
    <row r="124" spans="1:8" ht="19.95" customHeight="1"/>
    <row r="125" spans="1:8" ht="19.95" customHeight="1"/>
    <row r="126" spans="1:8" ht="19.95" customHeight="1"/>
    <row r="127" spans="1:8" ht="19.95" customHeight="1"/>
    <row r="128" spans="1: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Smith</dc:creator>
  <cp:lastModifiedBy>Doug Smith</cp:lastModifiedBy>
  <dcterms:created xsi:type="dcterms:W3CDTF">2020-06-05T19:23:56Z</dcterms:created>
  <dcterms:modified xsi:type="dcterms:W3CDTF">2020-06-05T20:22:03Z</dcterms:modified>
</cp:coreProperties>
</file>