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 way\Downloads\"/>
    </mc:Choice>
  </mc:AlternateContent>
  <bookViews>
    <workbookView xWindow="0" yWindow="0" windowWidth="23040" windowHeight="8904"/>
  </bookViews>
  <sheets>
    <sheet name="Forecast" sheetId="1" r:id="rId1"/>
  </sheets>
  <externalReferences>
    <externalReference r:id="rId2"/>
  </externalReferences>
  <definedNames>
    <definedName name="PalisadeReportWorkbookCreatedBy" hidden="1">"StatTools"</definedName>
    <definedName name="PalisadeReportWorksheetCreatedBy" localSheetId="0" hidden="1">"StatTools"</definedName>
    <definedName name="StatToolsHeader" localSheetId="0">Forecast!$1:$5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4" i="1" l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C331" i="1"/>
  <c r="C307" i="1"/>
  <c r="C291" i="1"/>
  <c r="C275" i="1"/>
  <c r="C259" i="1"/>
  <c r="C235" i="1"/>
  <c r="C219" i="1"/>
  <c r="C203" i="1"/>
  <c r="C187" i="1"/>
  <c r="C163" i="1"/>
  <c r="C147" i="1"/>
  <c r="C123" i="1"/>
  <c r="C99" i="1"/>
  <c r="C314" i="1"/>
  <c r="C282" i="1"/>
  <c r="C242" i="1"/>
  <c r="C218" i="1"/>
  <c r="C194" i="1"/>
  <c r="C178" i="1"/>
  <c r="C154" i="1"/>
  <c r="C138" i="1"/>
  <c r="C114" i="1"/>
  <c r="C153" i="1"/>
  <c r="C97" i="1"/>
  <c r="C330" i="1"/>
  <c r="C306" i="1"/>
  <c r="C290" i="1"/>
  <c r="C266" i="1"/>
  <c r="C250" i="1"/>
  <c r="C226" i="1"/>
  <c r="C202" i="1"/>
  <c r="C170" i="1"/>
  <c r="C146" i="1"/>
  <c r="C122" i="1"/>
  <c r="C98" i="1"/>
  <c r="C129" i="1"/>
  <c r="C329" i="1"/>
  <c r="C321" i="1"/>
  <c r="C313" i="1"/>
  <c r="C305" i="1"/>
  <c r="C297" i="1"/>
  <c r="C289" i="1"/>
  <c r="C281" i="1"/>
  <c r="C273" i="1"/>
  <c r="C265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45" i="1"/>
  <c r="C121" i="1"/>
  <c r="C113" i="1"/>
  <c r="C105" i="1"/>
  <c r="C328" i="1"/>
  <c r="C320" i="1"/>
  <c r="C312" i="1"/>
  <c r="C304" i="1"/>
  <c r="C296" i="1"/>
  <c r="C288" i="1"/>
  <c r="C280" i="1"/>
  <c r="C272" i="1"/>
  <c r="C264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327" i="1"/>
  <c r="C319" i="1"/>
  <c r="C303" i="1"/>
  <c r="C287" i="1"/>
  <c r="C279" i="1"/>
  <c r="C263" i="1"/>
  <c r="C247" i="1"/>
  <c r="C231" i="1"/>
  <c r="C215" i="1"/>
  <c r="C199" i="1"/>
  <c r="C183" i="1"/>
  <c r="C167" i="1"/>
  <c r="C159" i="1"/>
  <c r="C151" i="1"/>
  <c r="C143" i="1"/>
  <c r="C135" i="1"/>
  <c r="C127" i="1"/>
  <c r="C119" i="1"/>
  <c r="C111" i="1"/>
  <c r="C103" i="1"/>
  <c r="C95" i="1"/>
  <c r="C326" i="1"/>
  <c r="C270" i="1"/>
  <c r="C246" i="1"/>
  <c r="C222" i="1"/>
  <c r="C198" i="1"/>
  <c r="C174" i="1"/>
  <c r="C142" i="1"/>
  <c r="C118" i="1"/>
  <c r="C125" i="1"/>
  <c r="C335" i="1"/>
  <c r="C311" i="1"/>
  <c r="C295" i="1"/>
  <c r="C271" i="1"/>
  <c r="C255" i="1"/>
  <c r="C239" i="1"/>
  <c r="C223" i="1"/>
  <c r="C207" i="1"/>
  <c r="C191" i="1"/>
  <c r="C175" i="1"/>
  <c r="C310" i="1"/>
  <c r="C262" i="1"/>
  <c r="C238" i="1"/>
  <c r="C214" i="1"/>
  <c r="C190" i="1"/>
  <c r="C166" i="1"/>
  <c r="C150" i="1"/>
  <c r="C126" i="1"/>
  <c r="C102" i="1"/>
  <c r="C133" i="1"/>
  <c r="C334" i="1"/>
  <c r="C318" i="1"/>
  <c r="C302" i="1"/>
  <c r="C294" i="1"/>
  <c r="C286" i="1"/>
  <c r="C278" i="1"/>
  <c r="C254" i="1"/>
  <c r="C230" i="1"/>
  <c r="C206" i="1"/>
  <c r="C182" i="1"/>
  <c r="C158" i="1"/>
  <c r="C134" i="1"/>
  <c r="C110" i="1"/>
  <c r="C117" i="1"/>
  <c r="C333" i="1"/>
  <c r="C325" i="1"/>
  <c r="C317" i="1"/>
  <c r="C309" i="1"/>
  <c r="C301" i="1"/>
  <c r="C293" i="1"/>
  <c r="C285" i="1"/>
  <c r="C277" i="1"/>
  <c r="C269" i="1"/>
  <c r="C261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09" i="1"/>
  <c r="C101" i="1"/>
  <c r="C332" i="1"/>
  <c r="C324" i="1"/>
  <c r="C316" i="1"/>
  <c r="C308" i="1"/>
  <c r="C300" i="1"/>
  <c r="C292" i="1"/>
  <c r="C284" i="1"/>
  <c r="C276" i="1"/>
  <c r="C268" i="1"/>
  <c r="C260" i="1"/>
  <c r="C252" i="1"/>
  <c r="C244" i="1"/>
  <c r="C236" i="1"/>
  <c r="C228" i="1"/>
  <c r="C220" i="1"/>
  <c r="C212" i="1"/>
  <c r="C204" i="1"/>
  <c r="C196" i="1"/>
  <c r="C188" i="1"/>
  <c r="C180" i="1"/>
  <c r="C172" i="1"/>
  <c r="C164" i="1"/>
  <c r="C156" i="1"/>
  <c r="C148" i="1"/>
  <c r="C140" i="1"/>
  <c r="C132" i="1"/>
  <c r="C124" i="1"/>
  <c r="C116" i="1"/>
  <c r="C108" i="1"/>
  <c r="C100" i="1"/>
  <c r="C323" i="1"/>
  <c r="C315" i="1"/>
  <c r="C299" i="1"/>
  <c r="C283" i="1"/>
  <c r="C267" i="1"/>
  <c r="C251" i="1"/>
  <c r="C243" i="1"/>
  <c r="C227" i="1"/>
  <c r="C211" i="1"/>
  <c r="C195" i="1"/>
  <c r="C179" i="1"/>
  <c r="C171" i="1"/>
  <c r="C155" i="1"/>
  <c r="C139" i="1"/>
  <c r="C131" i="1"/>
  <c r="C115" i="1"/>
  <c r="C107" i="1"/>
  <c r="C322" i="1"/>
  <c r="C298" i="1"/>
  <c r="C274" i="1"/>
  <c r="C258" i="1"/>
  <c r="C234" i="1"/>
  <c r="C210" i="1"/>
  <c r="C186" i="1"/>
  <c r="C162" i="1"/>
  <c r="C130" i="1"/>
  <c r="C106" i="1"/>
  <c r="C137" i="1"/>
  <c r="D100" i="1" l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99" i="1"/>
  <c r="D115" i="1"/>
  <c r="D131" i="1"/>
  <c r="D155" i="1"/>
  <c r="D171" i="1"/>
  <c r="D187" i="1"/>
  <c r="D259" i="1"/>
  <c r="D227" i="1"/>
  <c r="D107" i="1"/>
  <c r="D123" i="1"/>
  <c r="D139" i="1"/>
  <c r="D147" i="1"/>
  <c r="D163" i="1"/>
  <c r="D179" i="1"/>
  <c r="D195" i="1"/>
  <c r="D203" i="1"/>
  <c r="D267" i="1"/>
  <c r="D251" i="1"/>
  <c r="D219" i="1"/>
  <c r="D211" i="1"/>
  <c r="D235" i="1"/>
  <c r="D243" i="1"/>
  <c r="D275" i="1"/>
  <c r="D291" i="1"/>
  <c r="D307" i="1"/>
  <c r="D331" i="1"/>
  <c r="D109" i="1"/>
  <c r="D125" i="1"/>
  <c r="D141" i="1"/>
  <c r="D157" i="1"/>
  <c r="D173" i="1"/>
  <c r="D189" i="1"/>
  <c r="D205" i="1"/>
  <c r="D221" i="1"/>
  <c r="D237" i="1"/>
  <c r="D253" i="1"/>
  <c r="D269" i="1"/>
  <c r="D285" i="1"/>
  <c r="D301" i="1"/>
  <c r="D317" i="1"/>
  <c r="D325" i="1"/>
  <c r="D110" i="1"/>
  <c r="D126" i="1"/>
  <c r="D142" i="1"/>
  <c r="D158" i="1"/>
  <c r="D174" i="1"/>
  <c r="D182" i="1"/>
  <c r="D190" i="1"/>
  <c r="D198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10" i="1"/>
  <c r="D318" i="1"/>
  <c r="D326" i="1"/>
  <c r="D334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319" i="1"/>
  <c r="D327" i="1"/>
  <c r="D283" i="1"/>
  <c r="D299" i="1"/>
  <c r="D315" i="1"/>
  <c r="D323" i="1"/>
  <c r="D101" i="1"/>
  <c r="D117" i="1"/>
  <c r="D133" i="1"/>
  <c r="D149" i="1"/>
  <c r="D165" i="1"/>
  <c r="D181" i="1"/>
  <c r="D197" i="1"/>
  <c r="D213" i="1"/>
  <c r="D229" i="1"/>
  <c r="D245" i="1"/>
  <c r="D261" i="1"/>
  <c r="D277" i="1"/>
  <c r="D293" i="1"/>
  <c r="D309" i="1"/>
  <c r="D333" i="1"/>
  <c r="D102" i="1"/>
  <c r="D118" i="1"/>
  <c r="D134" i="1"/>
  <c r="D150" i="1"/>
  <c r="D166" i="1"/>
  <c r="D206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B14" i="1"/>
  <c r="B15" i="1" l="1"/>
  <c r="B13" i="1"/>
</calcChain>
</file>

<file path=xl/comments1.xml><?xml version="1.0" encoding="utf-8"?>
<comments xmlns="http://schemas.openxmlformats.org/spreadsheetml/2006/main">
  <authors>
    <author>1 way</author>
  </authors>
  <commentList>
    <comment ref="A9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number of observations included in each moving average forecast.</t>
        </r>
      </text>
    </comment>
    <comment ref="A13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average of absolute forecast errors.</t>
        </r>
      </text>
    </comment>
    <comment ref="A14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square root of the sum of squared forecast errors.</t>
        </r>
      </text>
    </comment>
    <comment ref="A15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average of the absolute percentage forecast errors.</t>
        </r>
      </text>
    </comment>
    <comment ref="B334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 future forecasting period begins here (below the line)</t>
        </r>
      </text>
    </comment>
  </commentList>
</comments>
</file>

<file path=xl/sharedStrings.xml><?xml version="1.0" encoding="utf-8"?>
<sst xmlns="http://schemas.openxmlformats.org/spreadsheetml/2006/main" count="20" uniqueCount="19">
  <si>
    <t>StatTools Report</t>
  </si>
  <si>
    <t>Analysis:</t>
  </si>
  <si>
    <t>Forecast</t>
  </si>
  <si>
    <t>Performed By:</t>
  </si>
  <si>
    <t>1 way</t>
  </si>
  <si>
    <t>Date:</t>
  </si>
  <si>
    <t>Wednesday, December 28, 2022</t>
  </si>
  <si>
    <t>Updating:</t>
  </si>
  <si>
    <t>Live/Unlinked</t>
  </si>
  <si>
    <t>Forecasting Constant</t>
  </si>
  <si>
    <t>Moving Averages Forecasts for Airline Index</t>
  </si>
  <si>
    <t>Moving Averages</t>
  </si>
  <si>
    <t>Forecasting Data</t>
  </si>
  <si>
    <t>Span</t>
  </si>
  <si>
    <t>Mean Abs Err</t>
  </si>
  <si>
    <t>Root Mean Sq Err</t>
  </si>
  <si>
    <t>Mean Abs Per% Err</t>
  </si>
  <si>
    <t>Airline Index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</si>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</sst>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0" borderId="2" xfId="0" applyNumberFormat="1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49" fontId="2" fillId="0" borderId="3" xfId="0" applyNumberFormat="1" applyFont="1" applyFill="1" applyBorder="1" applyAlignment="1">
      <alignment horizontal="left"/>
    </xf>
    <xf numFmtId="164" fontId="0" fillId="0" borderId="3" xfId="0" applyNumberFormat="1" applyFill="1" applyBorder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Forecast and Original Observations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Airline Index</c:v>
          </c:tx>
          <c:spPr>
            <a:ln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Ref>
              <c:f>Forecast!$A$83:$A$335</c:f>
              <c:numCache>
                <c:formatCode>@</c:formatCode>
                <c:ptCount val="2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</c:numCache>
            </c:numRef>
          </c:cat>
          <c:val>
            <c:numRef>
              <c:f>Forecast!$B$83:$B$335</c:f>
              <c:numCache>
                <c:formatCode>0.000</c:formatCode>
                <c:ptCount val="253"/>
                <c:pt idx="0">
                  <c:v>112.22</c:v>
                </c:pt>
                <c:pt idx="1">
                  <c:v>113.53</c:v>
                </c:pt>
                <c:pt idx="2">
                  <c:v>112.91</c:v>
                </c:pt>
                <c:pt idx="3">
                  <c:v>114.77</c:v>
                </c:pt>
                <c:pt idx="4">
                  <c:v>114.61</c:v>
                </c:pt>
                <c:pt idx="5">
                  <c:v>113.44</c:v>
                </c:pt>
                <c:pt idx="6">
                  <c:v>111.89</c:v>
                </c:pt>
                <c:pt idx="7">
                  <c:v>112.12</c:v>
                </c:pt>
                <c:pt idx="8">
                  <c:v>111.62</c:v>
                </c:pt>
                <c:pt idx="9">
                  <c:v>114.4</c:v>
                </c:pt>
                <c:pt idx="10">
                  <c:v>115.02</c:v>
                </c:pt>
                <c:pt idx="11">
                  <c:v>114.5</c:v>
                </c:pt>
                <c:pt idx="12">
                  <c:v>114.94</c:v>
                </c:pt>
                <c:pt idx="13">
                  <c:v>114</c:v>
                </c:pt>
                <c:pt idx="14">
                  <c:v>114.72</c:v>
                </c:pt>
                <c:pt idx="15">
                  <c:v>115.17</c:v>
                </c:pt>
                <c:pt idx="16">
                  <c:v>114.17</c:v>
                </c:pt>
                <c:pt idx="17">
                  <c:v>113.68</c:v>
                </c:pt>
                <c:pt idx="18">
                  <c:v>115.6</c:v>
                </c:pt>
                <c:pt idx="19">
                  <c:v>115.82</c:v>
                </c:pt>
                <c:pt idx="20">
                  <c:v>112.23</c:v>
                </c:pt>
                <c:pt idx="21">
                  <c:v>110.97</c:v>
                </c:pt>
                <c:pt idx="22">
                  <c:v>112.04</c:v>
                </c:pt>
                <c:pt idx="23">
                  <c:v>112.28</c:v>
                </c:pt>
                <c:pt idx="24">
                  <c:v>112.92</c:v>
                </c:pt>
                <c:pt idx="25">
                  <c:v>112.88</c:v>
                </c:pt>
                <c:pt idx="26">
                  <c:v>115.38</c:v>
                </c:pt>
                <c:pt idx="27">
                  <c:v>115.28</c:v>
                </c:pt>
                <c:pt idx="28">
                  <c:v>113.33</c:v>
                </c:pt>
                <c:pt idx="29">
                  <c:v>113.22</c:v>
                </c:pt>
                <c:pt idx="30">
                  <c:v>114.45</c:v>
                </c:pt>
                <c:pt idx="31">
                  <c:v>115.58</c:v>
                </c:pt>
                <c:pt idx="32">
                  <c:v>116.05</c:v>
                </c:pt>
                <c:pt idx="33">
                  <c:v>116.26</c:v>
                </c:pt>
                <c:pt idx="34">
                  <c:v>118.12</c:v>
                </c:pt>
                <c:pt idx="35">
                  <c:v>117.49</c:v>
                </c:pt>
                <c:pt idx="36">
                  <c:v>116.91</c:v>
                </c:pt>
                <c:pt idx="37">
                  <c:v>116.5</c:v>
                </c:pt>
                <c:pt idx="38">
                  <c:v>116.66</c:v>
                </c:pt>
                <c:pt idx="39">
                  <c:v>116.02</c:v>
                </c:pt>
                <c:pt idx="40">
                  <c:v>115.05</c:v>
                </c:pt>
                <c:pt idx="41">
                  <c:v>114.83</c:v>
                </c:pt>
                <c:pt idx="42">
                  <c:v>116.84</c:v>
                </c:pt>
                <c:pt idx="43">
                  <c:v>114.43</c:v>
                </c:pt>
                <c:pt idx="44">
                  <c:v>115.11</c:v>
                </c:pt>
                <c:pt idx="45">
                  <c:v>115.15</c:v>
                </c:pt>
                <c:pt idx="46">
                  <c:v>115.39</c:v>
                </c:pt>
                <c:pt idx="47">
                  <c:v>115.44</c:v>
                </c:pt>
                <c:pt idx="48">
                  <c:v>114.54</c:v>
                </c:pt>
                <c:pt idx="49">
                  <c:v>114.72</c:v>
                </c:pt>
                <c:pt idx="50">
                  <c:v>114.59</c:v>
                </c:pt>
                <c:pt idx="51">
                  <c:v>114.93</c:v>
                </c:pt>
                <c:pt idx="52">
                  <c:v>115.59</c:v>
                </c:pt>
                <c:pt idx="53">
                  <c:v>116.93</c:v>
                </c:pt>
                <c:pt idx="54">
                  <c:v>116.83</c:v>
                </c:pt>
                <c:pt idx="55">
                  <c:v>119.89</c:v>
                </c:pt>
                <c:pt idx="56">
                  <c:v>119.32</c:v>
                </c:pt>
                <c:pt idx="57">
                  <c:v>118.26</c:v>
                </c:pt>
                <c:pt idx="58">
                  <c:v>120.96</c:v>
                </c:pt>
                <c:pt idx="59">
                  <c:v>120.85</c:v>
                </c:pt>
                <c:pt idx="60">
                  <c:v>120.96</c:v>
                </c:pt>
                <c:pt idx="61">
                  <c:v>121.73</c:v>
                </c:pt>
                <c:pt idx="62">
                  <c:v>120.32</c:v>
                </c:pt>
                <c:pt idx="63">
                  <c:v>119.63</c:v>
                </c:pt>
                <c:pt idx="64">
                  <c:v>118.47</c:v>
                </c:pt>
                <c:pt idx="65">
                  <c:v>117.64</c:v>
                </c:pt>
                <c:pt idx="66">
                  <c:v>116.11</c:v>
                </c:pt>
                <c:pt idx="67">
                  <c:v>115.67</c:v>
                </c:pt>
                <c:pt idx="68">
                  <c:v>115.07</c:v>
                </c:pt>
                <c:pt idx="69">
                  <c:v>111.16</c:v>
                </c:pt>
                <c:pt idx="70">
                  <c:v>111.66</c:v>
                </c:pt>
                <c:pt idx="71">
                  <c:v>110.43</c:v>
                </c:pt>
                <c:pt idx="72">
                  <c:v>111.46</c:v>
                </c:pt>
                <c:pt idx="73">
                  <c:v>111.29</c:v>
                </c:pt>
                <c:pt idx="74">
                  <c:v>111.28</c:v>
                </c:pt>
                <c:pt idx="75">
                  <c:v>111.9</c:v>
                </c:pt>
                <c:pt idx="76">
                  <c:v>111.45</c:v>
                </c:pt>
                <c:pt idx="77">
                  <c:v>110.78</c:v>
                </c:pt>
                <c:pt idx="78">
                  <c:v>110.24</c:v>
                </c:pt>
                <c:pt idx="79">
                  <c:v>108.86</c:v>
                </c:pt>
                <c:pt idx="80">
                  <c:v>108.44</c:v>
                </c:pt>
                <c:pt idx="81">
                  <c:v>109.96</c:v>
                </c:pt>
                <c:pt idx="82">
                  <c:v>110.18</c:v>
                </c:pt>
                <c:pt idx="83">
                  <c:v>110.25</c:v>
                </c:pt>
                <c:pt idx="84">
                  <c:v>106.71</c:v>
                </c:pt>
                <c:pt idx="85">
                  <c:v>106.84</c:v>
                </c:pt>
                <c:pt idx="86">
                  <c:v>107.17</c:v>
                </c:pt>
                <c:pt idx="87">
                  <c:v>106.1</c:v>
                </c:pt>
                <c:pt idx="88">
                  <c:v>103.89</c:v>
                </c:pt>
                <c:pt idx="89">
                  <c:v>102.81</c:v>
                </c:pt>
                <c:pt idx="90">
                  <c:v>106.11</c:v>
                </c:pt>
                <c:pt idx="91">
                  <c:v>105.29</c:v>
                </c:pt>
                <c:pt idx="92">
                  <c:v>105.67</c:v>
                </c:pt>
                <c:pt idx="93">
                  <c:v>105.13</c:v>
                </c:pt>
                <c:pt idx="94">
                  <c:v>105.6</c:v>
                </c:pt>
                <c:pt idx="95">
                  <c:v>106.52</c:v>
                </c:pt>
                <c:pt idx="96">
                  <c:v>105.06</c:v>
                </c:pt>
                <c:pt idx="97">
                  <c:v>105.97</c:v>
                </c:pt>
                <c:pt idx="98">
                  <c:v>105.61</c:v>
                </c:pt>
                <c:pt idx="99">
                  <c:v>105.62</c:v>
                </c:pt>
                <c:pt idx="100">
                  <c:v>107.69</c:v>
                </c:pt>
                <c:pt idx="101">
                  <c:v>108.58</c:v>
                </c:pt>
                <c:pt idx="102">
                  <c:v>109.21</c:v>
                </c:pt>
                <c:pt idx="103">
                  <c:v>108.75</c:v>
                </c:pt>
                <c:pt idx="104">
                  <c:v>108.28</c:v>
                </c:pt>
                <c:pt idx="105">
                  <c:v>106.6</c:v>
                </c:pt>
                <c:pt idx="106">
                  <c:v>106.15</c:v>
                </c:pt>
                <c:pt idx="107">
                  <c:v>107.04</c:v>
                </c:pt>
                <c:pt idx="108">
                  <c:v>107.6</c:v>
                </c:pt>
                <c:pt idx="109">
                  <c:v>108.01</c:v>
                </c:pt>
                <c:pt idx="110">
                  <c:v>107.97</c:v>
                </c:pt>
                <c:pt idx="111">
                  <c:v>107.43</c:v>
                </c:pt>
                <c:pt idx="112">
                  <c:v>107.57</c:v>
                </c:pt>
                <c:pt idx="113">
                  <c:v>107.22</c:v>
                </c:pt>
                <c:pt idx="114">
                  <c:v>107.58</c:v>
                </c:pt>
                <c:pt idx="115">
                  <c:v>108.25</c:v>
                </c:pt>
                <c:pt idx="116">
                  <c:v>112.69</c:v>
                </c:pt>
                <c:pt idx="117">
                  <c:v>112.43</c:v>
                </c:pt>
                <c:pt idx="118">
                  <c:v>111.93</c:v>
                </c:pt>
                <c:pt idx="119">
                  <c:v>112.1</c:v>
                </c:pt>
                <c:pt idx="120">
                  <c:v>111.18</c:v>
                </c:pt>
                <c:pt idx="121">
                  <c:v>112.91</c:v>
                </c:pt>
                <c:pt idx="122">
                  <c:v>113.29</c:v>
                </c:pt>
                <c:pt idx="123">
                  <c:v>112.71</c:v>
                </c:pt>
                <c:pt idx="124">
                  <c:v>112.9</c:v>
                </c:pt>
                <c:pt idx="125">
                  <c:v>112.12</c:v>
                </c:pt>
                <c:pt idx="126">
                  <c:v>112.07</c:v>
                </c:pt>
                <c:pt idx="127">
                  <c:v>112.43</c:v>
                </c:pt>
                <c:pt idx="128">
                  <c:v>110.6</c:v>
                </c:pt>
                <c:pt idx="129">
                  <c:v>111.44</c:v>
                </c:pt>
                <c:pt idx="130">
                  <c:v>109.56</c:v>
                </c:pt>
                <c:pt idx="131">
                  <c:v>110.24</c:v>
                </c:pt>
                <c:pt idx="132">
                  <c:v>108.74</c:v>
                </c:pt>
                <c:pt idx="133">
                  <c:v>107.08</c:v>
                </c:pt>
                <c:pt idx="134">
                  <c:v>106.82</c:v>
                </c:pt>
                <c:pt idx="135">
                  <c:v>106.41</c:v>
                </c:pt>
                <c:pt idx="136">
                  <c:v>106.42</c:v>
                </c:pt>
                <c:pt idx="137">
                  <c:v>106.75</c:v>
                </c:pt>
                <c:pt idx="138">
                  <c:v>105.84</c:v>
                </c:pt>
                <c:pt idx="139">
                  <c:v>105.72</c:v>
                </c:pt>
                <c:pt idx="140">
                  <c:v>106.3</c:v>
                </c:pt>
                <c:pt idx="141">
                  <c:v>104.22</c:v>
                </c:pt>
                <c:pt idx="142">
                  <c:v>104.16</c:v>
                </c:pt>
                <c:pt idx="143">
                  <c:v>103.72</c:v>
                </c:pt>
                <c:pt idx="144">
                  <c:v>104.41</c:v>
                </c:pt>
                <c:pt idx="145">
                  <c:v>104.13</c:v>
                </c:pt>
                <c:pt idx="146">
                  <c:v>104.98</c:v>
                </c:pt>
                <c:pt idx="147">
                  <c:v>106.76</c:v>
                </c:pt>
                <c:pt idx="148">
                  <c:v>109.25</c:v>
                </c:pt>
                <c:pt idx="149">
                  <c:v>109.81</c:v>
                </c:pt>
                <c:pt idx="150">
                  <c:v>109.44</c:v>
                </c:pt>
                <c:pt idx="151">
                  <c:v>110.99</c:v>
                </c:pt>
                <c:pt idx="152">
                  <c:v>110.61</c:v>
                </c:pt>
                <c:pt idx="153">
                  <c:v>110.3</c:v>
                </c:pt>
                <c:pt idx="154">
                  <c:v>109.52</c:v>
                </c:pt>
                <c:pt idx="155">
                  <c:v>111.72</c:v>
                </c:pt>
                <c:pt idx="156">
                  <c:v>114.45</c:v>
                </c:pt>
                <c:pt idx="157">
                  <c:v>115.19</c:v>
                </c:pt>
                <c:pt idx="158">
                  <c:v>113.53</c:v>
                </c:pt>
                <c:pt idx="159">
                  <c:v>115.53</c:v>
                </c:pt>
                <c:pt idx="160">
                  <c:v>113.91</c:v>
                </c:pt>
                <c:pt idx="161">
                  <c:v>113.65</c:v>
                </c:pt>
                <c:pt idx="162">
                  <c:v>115.29</c:v>
                </c:pt>
                <c:pt idx="163">
                  <c:v>115.6</c:v>
                </c:pt>
                <c:pt idx="164">
                  <c:v>115.64</c:v>
                </c:pt>
                <c:pt idx="165">
                  <c:v>114.71</c:v>
                </c:pt>
                <c:pt idx="166">
                  <c:v>114.68</c:v>
                </c:pt>
                <c:pt idx="167">
                  <c:v>114.56</c:v>
                </c:pt>
                <c:pt idx="168">
                  <c:v>115.07</c:v>
                </c:pt>
                <c:pt idx="169">
                  <c:v>117.14</c:v>
                </c:pt>
                <c:pt idx="170">
                  <c:v>116.74</c:v>
                </c:pt>
                <c:pt idx="171">
                  <c:v>117.27</c:v>
                </c:pt>
                <c:pt idx="172">
                  <c:v>118.16</c:v>
                </c:pt>
                <c:pt idx="173">
                  <c:v>117.9</c:v>
                </c:pt>
                <c:pt idx="174">
                  <c:v>118.04</c:v>
                </c:pt>
                <c:pt idx="175">
                  <c:v>117.52</c:v>
                </c:pt>
                <c:pt idx="176">
                  <c:v>117.63</c:v>
                </c:pt>
                <c:pt idx="177">
                  <c:v>116.72</c:v>
                </c:pt>
                <c:pt idx="178">
                  <c:v>118.51</c:v>
                </c:pt>
                <c:pt idx="179">
                  <c:v>116.85</c:v>
                </c:pt>
                <c:pt idx="180">
                  <c:v>116.76</c:v>
                </c:pt>
                <c:pt idx="181">
                  <c:v>116.61</c:v>
                </c:pt>
                <c:pt idx="182">
                  <c:v>115.48</c:v>
                </c:pt>
                <c:pt idx="183">
                  <c:v>115.04</c:v>
                </c:pt>
                <c:pt idx="184">
                  <c:v>116.97</c:v>
                </c:pt>
                <c:pt idx="185">
                  <c:v>121.53</c:v>
                </c:pt>
                <c:pt idx="186">
                  <c:v>123.62</c:v>
                </c:pt>
                <c:pt idx="187">
                  <c:v>122.81</c:v>
                </c:pt>
                <c:pt idx="188">
                  <c:v>122.53</c:v>
                </c:pt>
                <c:pt idx="189">
                  <c:v>122.61</c:v>
                </c:pt>
                <c:pt idx="190">
                  <c:v>122.69</c:v>
                </c:pt>
                <c:pt idx="191">
                  <c:v>122.25</c:v>
                </c:pt>
                <c:pt idx="192">
                  <c:v>123</c:v>
                </c:pt>
                <c:pt idx="193">
                  <c:v>119.34</c:v>
                </c:pt>
                <c:pt idx="194">
                  <c:v>116.53</c:v>
                </c:pt>
                <c:pt idx="195">
                  <c:v>118.06</c:v>
                </c:pt>
                <c:pt idx="196">
                  <c:v>118.17</c:v>
                </c:pt>
                <c:pt idx="197">
                  <c:v>117.95</c:v>
                </c:pt>
                <c:pt idx="198">
                  <c:v>119.06</c:v>
                </c:pt>
                <c:pt idx="199">
                  <c:v>119.62</c:v>
                </c:pt>
                <c:pt idx="200">
                  <c:v>116.48</c:v>
                </c:pt>
                <c:pt idx="201">
                  <c:v>112.29</c:v>
                </c:pt>
                <c:pt idx="202">
                  <c:v>114.09</c:v>
                </c:pt>
                <c:pt idx="203">
                  <c:v>114.92</c:v>
                </c:pt>
                <c:pt idx="204">
                  <c:v>111.8</c:v>
                </c:pt>
                <c:pt idx="205">
                  <c:v>111.8</c:v>
                </c:pt>
                <c:pt idx="206">
                  <c:v>114.18</c:v>
                </c:pt>
                <c:pt idx="207">
                  <c:v>115.48</c:v>
                </c:pt>
                <c:pt idx="208">
                  <c:v>116.42</c:v>
                </c:pt>
                <c:pt idx="209">
                  <c:v>117.59</c:v>
                </c:pt>
                <c:pt idx="210">
                  <c:v>117.37</c:v>
                </c:pt>
                <c:pt idx="211">
                  <c:v>117.88</c:v>
                </c:pt>
                <c:pt idx="212">
                  <c:v>118.77</c:v>
                </c:pt>
                <c:pt idx="213">
                  <c:v>118.45</c:v>
                </c:pt>
                <c:pt idx="214">
                  <c:v>119.43</c:v>
                </c:pt>
                <c:pt idx="215">
                  <c:v>121.65</c:v>
                </c:pt>
                <c:pt idx="216">
                  <c:v>119.05</c:v>
                </c:pt>
                <c:pt idx="217">
                  <c:v>118.68</c:v>
                </c:pt>
                <c:pt idx="218">
                  <c:v>117.96</c:v>
                </c:pt>
                <c:pt idx="219">
                  <c:v>116.8</c:v>
                </c:pt>
                <c:pt idx="220">
                  <c:v>116.71</c:v>
                </c:pt>
                <c:pt idx="221">
                  <c:v>117.05</c:v>
                </c:pt>
                <c:pt idx="222">
                  <c:v>117.37</c:v>
                </c:pt>
                <c:pt idx="223">
                  <c:v>118.92</c:v>
                </c:pt>
                <c:pt idx="224">
                  <c:v>120.5</c:v>
                </c:pt>
                <c:pt idx="225">
                  <c:v>121.49</c:v>
                </c:pt>
                <c:pt idx="226">
                  <c:v>123.64</c:v>
                </c:pt>
                <c:pt idx="227">
                  <c:v>121.58</c:v>
                </c:pt>
                <c:pt idx="228">
                  <c:v>120.85</c:v>
                </c:pt>
                <c:pt idx="229">
                  <c:v>122.31</c:v>
                </c:pt>
                <c:pt idx="230">
                  <c:v>121.4</c:v>
                </c:pt>
                <c:pt idx="231">
                  <c:v>121.28</c:v>
                </c:pt>
                <c:pt idx="232">
                  <c:v>119.97</c:v>
                </c:pt>
                <c:pt idx="233">
                  <c:v>117.29</c:v>
                </c:pt>
                <c:pt idx="234">
                  <c:v>115.48</c:v>
                </c:pt>
                <c:pt idx="235">
                  <c:v>115.97</c:v>
                </c:pt>
                <c:pt idx="236">
                  <c:v>114.6</c:v>
                </c:pt>
                <c:pt idx="237">
                  <c:v>114.48</c:v>
                </c:pt>
                <c:pt idx="238">
                  <c:v>116.07</c:v>
                </c:pt>
                <c:pt idx="239">
                  <c:v>112.27</c:v>
                </c:pt>
                <c:pt idx="240">
                  <c:v>115.65</c:v>
                </c:pt>
                <c:pt idx="241">
                  <c:v>116.98</c:v>
                </c:pt>
                <c:pt idx="242">
                  <c:v>118.16</c:v>
                </c:pt>
                <c:pt idx="243">
                  <c:v>115.5</c:v>
                </c:pt>
                <c:pt idx="244">
                  <c:v>114.73</c:v>
                </c:pt>
                <c:pt idx="245">
                  <c:v>113.39</c:v>
                </c:pt>
                <c:pt idx="246">
                  <c:v>111.98</c:v>
                </c:pt>
                <c:pt idx="247">
                  <c:v>114.36</c:v>
                </c:pt>
                <c:pt idx="248">
                  <c:v>113.9</c:v>
                </c:pt>
                <c:pt idx="249">
                  <c:v>114.42</c:v>
                </c:pt>
                <c:pt idx="250">
                  <c:v>113.6</c:v>
                </c:pt>
                <c:pt idx="251">
                  <c:v>116.36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8-4212-AC1E-17BF3B340E9F}"/>
            </c:ext>
          </c:extLst>
        </c:ser>
        <c:ser>
          <c:idx val="1"/>
          <c:order val="1"/>
          <c:tx>
            <c:v>Forecast</c:v>
          </c:tx>
          <c:spPr>
            <a:ln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Forecast!$A$83:$A$335</c:f>
              <c:numCache>
                <c:formatCode>@</c:formatCode>
                <c:ptCount val="2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</c:numCache>
            </c:numRef>
          </c:cat>
          <c:val>
            <c:numRef>
              <c:f>Forecast!$C$83:$C$335</c:f>
              <c:numCache>
                <c:formatCode>0.000</c:formatCode>
                <c:ptCount val="253"/>
                <c:pt idx="12">
                  <c:v>113.41916666666667</c:v>
                </c:pt>
                <c:pt idx="13">
                  <c:v>113.64583333333333</c:v>
                </c:pt>
                <c:pt idx="14">
                  <c:v>113.685</c:v>
                </c:pt>
                <c:pt idx="15">
                  <c:v>113.83583333333333</c:v>
                </c:pt>
                <c:pt idx="16">
                  <c:v>113.86916666666667</c:v>
                </c:pt>
                <c:pt idx="17">
                  <c:v>113.83250000000002</c:v>
                </c:pt>
                <c:pt idx="18">
                  <c:v>113.85250000000002</c:v>
                </c:pt>
                <c:pt idx="19">
                  <c:v>114.16166666666668</c:v>
                </c:pt>
                <c:pt idx="20">
                  <c:v>114.46999999999998</c:v>
                </c:pt>
                <c:pt idx="21">
                  <c:v>114.52083333333331</c:v>
                </c:pt>
                <c:pt idx="22">
                  <c:v>114.23499999999997</c:v>
                </c:pt>
                <c:pt idx="23">
                  <c:v>113.98666666666666</c:v>
                </c:pt>
                <c:pt idx="24">
                  <c:v>113.80166666666668</c:v>
                </c:pt>
                <c:pt idx="25">
                  <c:v>113.63333333333334</c:v>
                </c:pt>
                <c:pt idx="26">
                  <c:v>113.54</c:v>
                </c:pt>
                <c:pt idx="27">
                  <c:v>113.59500000000003</c:v>
                </c:pt>
                <c:pt idx="28">
                  <c:v>113.60416666666664</c:v>
                </c:pt>
                <c:pt idx="29">
                  <c:v>113.53416666666665</c:v>
                </c:pt>
                <c:pt idx="30">
                  <c:v>113.49583333333332</c:v>
                </c:pt>
                <c:pt idx="31">
                  <c:v>113.39999999999999</c:v>
                </c:pt>
                <c:pt idx="32">
                  <c:v>113.38</c:v>
                </c:pt>
                <c:pt idx="33">
                  <c:v>113.69833333333332</c:v>
                </c:pt>
                <c:pt idx="34">
                  <c:v>114.13916666666667</c:v>
                </c:pt>
                <c:pt idx="35">
                  <c:v>114.64583333333333</c:v>
                </c:pt>
                <c:pt idx="36">
                  <c:v>115.08000000000003</c:v>
                </c:pt>
                <c:pt idx="37">
                  <c:v>115.41250000000002</c:v>
                </c:pt>
                <c:pt idx="38">
                  <c:v>115.71416666666669</c:v>
                </c:pt>
                <c:pt idx="39">
                  <c:v>115.82083333333334</c:v>
                </c:pt>
                <c:pt idx="40">
                  <c:v>115.88250000000001</c:v>
                </c:pt>
                <c:pt idx="41">
                  <c:v>116.02583333333332</c:v>
                </c:pt>
                <c:pt idx="42">
                  <c:v>116.15999999999998</c:v>
                </c:pt>
                <c:pt idx="43">
                  <c:v>116.35916666666664</c:v>
                </c:pt>
                <c:pt idx="44">
                  <c:v>116.26333333333332</c:v>
                </c:pt>
                <c:pt idx="45">
                  <c:v>116.18499999999999</c:v>
                </c:pt>
                <c:pt idx="46">
                  <c:v>116.09249999999999</c:v>
                </c:pt>
                <c:pt idx="47">
                  <c:v>115.86500000000001</c:v>
                </c:pt>
                <c:pt idx="48">
                  <c:v>115.69416666666667</c:v>
                </c:pt>
                <c:pt idx="49">
                  <c:v>115.49666666666668</c:v>
                </c:pt>
                <c:pt idx="50">
                  <c:v>115.34833333333334</c:v>
                </c:pt>
                <c:pt idx="51">
                  <c:v>115.17583333333333</c:v>
                </c:pt>
                <c:pt idx="52">
                  <c:v>115.08499999999999</c:v>
                </c:pt>
                <c:pt idx="53">
                  <c:v>115.13</c:v>
                </c:pt>
                <c:pt idx="54">
                  <c:v>115.30499999999999</c:v>
                </c:pt>
                <c:pt idx="55">
                  <c:v>115.30416666666666</c:v>
                </c:pt>
                <c:pt idx="56">
                  <c:v>115.75916666666667</c:v>
                </c:pt>
                <c:pt idx="57">
                  <c:v>116.11</c:v>
                </c:pt>
                <c:pt idx="58">
                  <c:v>116.36916666666667</c:v>
                </c:pt>
                <c:pt idx="59">
                  <c:v>116.83333333333333</c:v>
                </c:pt>
                <c:pt idx="60">
                  <c:v>117.28416666666665</c:v>
                </c:pt>
                <c:pt idx="61">
                  <c:v>117.81916666666666</c:v>
                </c:pt>
                <c:pt idx="62">
                  <c:v>118.40333333333332</c:v>
                </c:pt>
                <c:pt idx="63">
                  <c:v>118.88083333333333</c:v>
                </c:pt>
                <c:pt idx="64">
                  <c:v>119.27249999999999</c:v>
                </c:pt>
                <c:pt idx="65">
                  <c:v>119.51249999999999</c:v>
                </c:pt>
                <c:pt idx="66">
                  <c:v>119.57166666666667</c:v>
                </c:pt>
                <c:pt idx="67">
                  <c:v>119.51166666666667</c:v>
                </c:pt>
                <c:pt idx="68">
                  <c:v>119.16000000000001</c:v>
                </c:pt>
                <c:pt idx="69">
                  <c:v>118.80583333333333</c:v>
                </c:pt>
                <c:pt idx="70">
                  <c:v>118.21416666666666</c:v>
                </c:pt>
                <c:pt idx="71">
                  <c:v>117.43916666666668</c:v>
                </c:pt>
                <c:pt idx="72">
                  <c:v>116.57083333333334</c:v>
                </c:pt>
                <c:pt idx="73">
                  <c:v>115.77916666666668</c:v>
                </c:pt>
                <c:pt idx="74">
                  <c:v>114.90916666666665</c:v>
                </c:pt>
                <c:pt idx="75">
                  <c:v>114.15583333333332</c:v>
                </c:pt>
                <c:pt idx="76">
                  <c:v>113.51166666666667</c:v>
                </c:pt>
                <c:pt idx="77">
                  <c:v>112.92666666666668</c:v>
                </c:pt>
                <c:pt idx="78">
                  <c:v>112.355</c:v>
                </c:pt>
                <c:pt idx="79">
                  <c:v>111.86583333333333</c:v>
                </c:pt>
                <c:pt idx="80">
                  <c:v>111.29833333333333</c:v>
                </c:pt>
                <c:pt idx="81">
                  <c:v>110.74583333333332</c:v>
                </c:pt>
                <c:pt idx="82">
                  <c:v>110.64583333333333</c:v>
                </c:pt>
                <c:pt idx="83">
                  <c:v>110.52250000000002</c:v>
                </c:pt>
                <c:pt idx="84">
                  <c:v>110.50750000000001</c:v>
                </c:pt>
                <c:pt idx="85">
                  <c:v>110.11166666666668</c:v>
                </c:pt>
                <c:pt idx="86">
                  <c:v>109.74083333333334</c:v>
                </c:pt>
                <c:pt idx="87">
                  <c:v>109.39833333333335</c:v>
                </c:pt>
                <c:pt idx="88">
                  <c:v>108.91500000000001</c:v>
                </c:pt>
                <c:pt idx="89">
                  <c:v>108.28500000000001</c:v>
                </c:pt>
                <c:pt idx="90">
                  <c:v>107.62083333333334</c:v>
                </c:pt>
                <c:pt idx="91">
                  <c:v>107.27666666666666</c:v>
                </c:pt>
                <c:pt idx="92">
                  <c:v>106.97916666666664</c:v>
                </c:pt>
                <c:pt idx="93">
                  <c:v>106.74833333333332</c:v>
                </c:pt>
                <c:pt idx="94">
                  <c:v>106.34583333333335</c:v>
                </c:pt>
                <c:pt idx="95">
                  <c:v>105.96416666666664</c:v>
                </c:pt>
                <c:pt idx="96">
                  <c:v>105.65333333333331</c:v>
                </c:pt>
                <c:pt idx="97">
                  <c:v>105.51583333333332</c:v>
                </c:pt>
                <c:pt idx="98">
                  <c:v>105.44333333333333</c:v>
                </c:pt>
                <c:pt idx="99">
                  <c:v>105.31333333333333</c:v>
                </c:pt>
                <c:pt idx="100">
                  <c:v>105.27333333333331</c:v>
                </c:pt>
                <c:pt idx="101">
                  <c:v>105.58999999999999</c:v>
                </c:pt>
                <c:pt idx="102">
                  <c:v>106.07083333333333</c:v>
                </c:pt>
                <c:pt idx="103">
                  <c:v>106.32916666666667</c:v>
                </c:pt>
                <c:pt idx="104">
                  <c:v>106.61750000000001</c:v>
                </c:pt>
                <c:pt idx="105">
                  <c:v>106.83499999999999</c:v>
                </c:pt>
                <c:pt idx="106">
                  <c:v>106.9575</c:v>
                </c:pt>
                <c:pt idx="107">
                  <c:v>107.00333333333334</c:v>
                </c:pt>
                <c:pt idx="108">
                  <c:v>107.04666666666668</c:v>
                </c:pt>
                <c:pt idx="109">
                  <c:v>107.25833333333333</c:v>
                </c:pt>
                <c:pt idx="110">
                  <c:v>107.42833333333333</c:v>
                </c:pt>
                <c:pt idx="111">
                  <c:v>107.62499999999999</c:v>
                </c:pt>
                <c:pt idx="112">
                  <c:v>107.77583333333335</c:v>
                </c:pt>
                <c:pt idx="113">
                  <c:v>107.76583333333332</c:v>
                </c:pt>
                <c:pt idx="114">
                  <c:v>107.65249999999999</c:v>
                </c:pt>
                <c:pt idx="115">
                  <c:v>107.51666666666665</c:v>
                </c:pt>
                <c:pt idx="116">
                  <c:v>107.47499999999998</c:v>
                </c:pt>
                <c:pt idx="117">
                  <c:v>107.84249999999999</c:v>
                </c:pt>
                <c:pt idx="118">
                  <c:v>108.32833333333336</c:v>
                </c:pt>
                <c:pt idx="119">
                  <c:v>108.81</c:v>
                </c:pt>
                <c:pt idx="120">
                  <c:v>109.23166666666668</c:v>
                </c:pt>
                <c:pt idx="121">
                  <c:v>109.53000000000002</c:v>
                </c:pt>
                <c:pt idx="122">
                  <c:v>109.93833333333335</c:v>
                </c:pt>
                <c:pt idx="123">
                  <c:v>110.38166666666667</c:v>
                </c:pt>
                <c:pt idx="124">
                  <c:v>110.82166666666667</c:v>
                </c:pt>
                <c:pt idx="125">
                  <c:v>111.26583333333336</c:v>
                </c:pt>
                <c:pt idx="126">
                  <c:v>111.67416666666668</c:v>
                </c:pt>
                <c:pt idx="127">
                  <c:v>112.0483333333333</c:v>
                </c:pt>
                <c:pt idx="128">
                  <c:v>112.39666666666665</c:v>
                </c:pt>
                <c:pt idx="129">
                  <c:v>112.22250000000001</c:v>
                </c:pt>
                <c:pt idx="130">
                  <c:v>112.14</c:v>
                </c:pt>
                <c:pt idx="131">
                  <c:v>111.9425</c:v>
                </c:pt>
                <c:pt idx="132">
                  <c:v>111.78750000000001</c:v>
                </c:pt>
                <c:pt idx="133">
                  <c:v>111.58416666666666</c:v>
                </c:pt>
                <c:pt idx="134">
                  <c:v>111.09833333333331</c:v>
                </c:pt>
                <c:pt idx="135">
                  <c:v>110.55916666666666</c:v>
                </c:pt>
                <c:pt idx="136">
                  <c:v>110.03416666666665</c:v>
                </c:pt>
                <c:pt idx="137">
                  <c:v>109.49416666666669</c:v>
                </c:pt>
                <c:pt idx="138">
                  <c:v>109.04666666666668</c:v>
                </c:pt>
                <c:pt idx="139">
                  <c:v>108.52749999999999</c:v>
                </c:pt>
                <c:pt idx="140">
                  <c:v>107.96833333333332</c:v>
                </c:pt>
                <c:pt idx="141">
                  <c:v>107.61</c:v>
                </c:pt>
                <c:pt idx="142">
                  <c:v>107.00833333333333</c:v>
                </c:pt>
                <c:pt idx="143">
                  <c:v>106.55833333333334</c:v>
                </c:pt>
                <c:pt idx="144">
                  <c:v>106.015</c:v>
                </c:pt>
                <c:pt idx="145">
                  <c:v>105.65416666666668</c:v>
                </c:pt>
                <c:pt idx="146">
                  <c:v>105.40833333333335</c:v>
                </c:pt>
                <c:pt idx="147">
                  <c:v>105.255</c:v>
                </c:pt>
                <c:pt idx="148">
                  <c:v>105.28416666666668</c:v>
                </c:pt>
                <c:pt idx="149">
                  <c:v>105.52</c:v>
                </c:pt>
                <c:pt idx="150">
                  <c:v>105.77499999999999</c:v>
                </c:pt>
                <c:pt idx="151">
                  <c:v>106.075</c:v>
                </c:pt>
                <c:pt idx="152">
                  <c:v>106.51416666666667</c:v>
                </c:pt>
                <c:pt idx="153">
                  <c:v>106.87333333333333</c:v>
                </c:pt>
                <c:pt idx="154">
                  <c:v>107.38</c:v>
                </c:pt>
                <c:pt idx="155">
                  <c:v>107.82666666666665</c:v>
                </c:pt>
                <c:pt idx="156">
                  <c:v>108.49333333333334</c:v>
                </c:pt>
                <c:pt idx="157">
                  <c:v>109.33000000000003</c:v>
                </c:pt>
                <c:pt idx="158">
                  <c:v>110.25166666666667</c:v>
                </c:pt>
                <c:pt idx="159">
                  <c:v>110.96416666666666</c:v>
                </c:pt>
                <c:pt idx="160">
                  <c:v>111.69499999999999</c:v>
                </c:pt>
                <c:pt idx="161">
                  <c:v>112.08333333333333</c:v>
                </c:pt>
                <c:pt idx="162">
                  <c:v>112.40333333333335</c:v>
                </c:pt>
                <c:pt idx="163">
                  <c:v>112.89083333333333</c:v>
                </c:pt>
                <c:pt idx="164">
                  <c:v>113.27499999999998</c:v>
                </c:pt>
                <c:pt idx="165">
                  <c:v>113.69416666666666</c:v>
                </c:pt>
                <c:pt idx="166">
                  <c:v>114.06166666666667</c:v>
                </c:pt>
                <c:pt idx="167">
                  <c:v>114.49166666666667</c:v>
                </c:pt>
                <c:pt idx="168">
                  <c:v>114.72833333333334</c:v>
                </c:pt>
                <c:pt idx="169">
                  <c:v>114.77999999999999</c:v>
                </c:pt>
                <c:pt idx="170">
                  <c:v>114.9425</c:v>
                </c:pt>
                <c:pt idx="171">
                  <c:v>115.21</c:v>
                </c:pt>
                <c:pt idx="172">
                  <c:v>115.355</c:v>
                </c:pt>
                <c:pt idx="173">
                  <c:v>115.70916666666666</c:v>
                </c:pt>
                <c:pt idx="174">
                  <c:v>116.06333333333333</c:v>
                </c:pt>
                <c:pt idx="175">
                  <c:v>116.29250000000002</c:v>
                </c:pt>
                <c:pt idx="176">
                  <c:v>116.4525</c:v>
                </c:pt>
                <c:pt idx="177">
                  <c:v>116.61833333333334</c:v>
                </c:pt>
                <c:pt idx="178">
                  <c:v>116.78583333333334</c:v>
                </c:pt>
                <c:pt idx="179">
                  <c:v>117.10499999999998</c:v>
                </c:pt>
                <c:pt idx="180">
                  <c:v>117.29583333333331</c:v>
                </c:pt>
                <c:pt idx="181">
                  <c:v>117.43666666666665</c:v>
                </c:pt>
                <c:pt idx="182">
                  <c:v>117.39249999999998</c:v>
                </c:pt>
                <c:pt idx="183">
                  <c:v>117.28750000000001</c:v>
                </c:pt>
                <c:pt idx="184">
                  <c:v>117.10166666666667</c:v>
                </c:pt>
                <c:pt idx="185">
                  <c:v>117.0025</c:v>
                </c:pt>
                <c:pt idx="186">
                  <c:v>117.30499999999999</c:v>
                </c:pt>
                <c:pt idx="187">
                  <c:v>117.77000000000002</c:v>
                </c:pt>
                <c:pt idx="188">
                  <c:v>118.21083333333331</c:v>
                </c:pt>
                <c:pt idx="189">
                  <c:v>118.61916666666667</c:v>
                </c:pt>
                <c:pt idx="190">
                  <c:v>119.10999999999997</c:v>
                </c:pt>
                <c:pt idx="191">
                  <c:v>119.45833333333333</c:v>
                </c:pt>
                <c:pt idx="192">
                  <c:v>119.90833333333332</c:v>
                </c:pt>
                <c:pt idx="193">
                  <c:v>120.42833333333333</c:v>
                </c:pt>
                <c:pt idx="194">
                  <c:v>120.65583333333332</c:v>
                </c:pt>
                <c:pt idx="195">
                  <c:v>120.74333333333333</c:v>
                </c:pt>
                <c:pt idx="196">
                  <c:v>120.99499999999999</c:v>
                </c:pt>
                <c:pt idx="197">
                  <c:v>121.09499999999998</c:v>
                </c:pt>
                <c:pt idx="198">
                  <c:v>120.79666666666668</c:v>
                </c:pt>
                <c:pt idx="199">
                  <c:v>120.41666666666667</c:v>
                </c:pt>
                <c:pt idx="200">
                  <c:v>120.15083333333332</c:v>
                </c:pt>
                <c:pt idx="201">
                  <c:v>119.64666666666665</c:v>
                </c:pt>
                <c:pt idx="202">
                  <c:v>118.78666666666668</c:v>
                </c:pt>
                <c:pt idx="203">
                  <c:v>118.07</c:v>
                </c:pt>
                <c:pt idx="204">
                  <c:v>117.45916666666666</c:v>
                </c:pt>
                <c:pt idx="205">
                  <c:v>116.52583333333335</c:v>
                </c:pt>
                <c:pt idx="206">
                  <c:v>115.89749999999999</c:v>
                </c:pt>
                <c:pt idx="207">
                  <c:v>115.70166666666667</c:v>
                </c:pt>
                <c:pt idx="208">
                  <c:v>115.48666666666666</c:v>
                </c:pt>
                <c:pt idx="209">
                  <c:v>115.34083333333335</c:v>
                </c:pt>
                <c:pt idx="210">
                  <c:v>115.31083333333333</c:v>
                </c:pt>
                <c:pt idx="211">
                  <c:v>115.17</c:v>
                </c:pt>
                <c:pt idx="212">
                  <c:v>115.02500000000002</c:v>
                </c:pt>
                <c:pt idx="213">
                  <c:v>115.21583333333335</c:v>
                </c:pt>
                <c:pt idx="214">
                  <c:v>115.72916666666669</c:v>
                </c:pt>
                <c:pt idx="215">
                  <c:v>116.17416666666668</c:v>
                </c:pt>
                <c:pt idx="216">
                  <c:v>116.73500000000001</c:v>
                </c:pt>
                <c:pt idx="217">
                  <c:v>117.33916666666669</c:v>
                </c:pt>
                <c:pt idx="218">
                  <c:v>117.91250000000002</c:v>
                </c:pt>
                <c:pt idx="219">
                  <c:v>118.22750000000002</c:v>
                </c:pt>
                <c:pt idx="220">
                  <c:v>118.33750000000002</c:v>
                </c:pt>
                <c:pt idx="221">
                  <c:v>118.36166666666666</c:v>
                </c:pt>
                <c:pt idx="222">
                  <c:v>118.31666666666666</c:v>
                </c:pt>
                <c:pt idx="223">
                  <c:v>118.31666666666665</c:v>
                </c:pt>
                <c:pt idx="224">
                  <c:v>118.40333333333335</c:v>
                </c:pt>
                <c:pt idx="225">
                  <c:v>118.54750000000001</c:v>
                </c:pt>
                <c:pt idx="226">
                  <c:v>118.80083333333333</c:v>
                </c:pt>
                <c:pt idx="227">
                  <c:v>119.15166666666669</c:v>
                </c:pt>
                <c:pt idx="228">
                  <c:v>119.14583333333333</c:v>
                </c:pt>
                <c:pt idx="229">
                  <c:v>119.29583333333331</c:v>
                </c:pt>
                <c:pt idx="230">
                  <c:v>119.59833333333331</c:v>
                </c:pt>
                <c:pt idx="231">
                  <c:v>119.88499999999999</c:v>
                </c:pt>
                <c:pt idx="232">
                  <c:v>120.25833333333333</c:v>
                </c:pt>
                <c:pt idx="233">
                  <c:v>120.53000000000002</c:v>
                </c:pt>
                <c:pt idx="234">
                  <c:v>120.55000000000001</c:v>
                </c:pt>
                <c:pt idx="235">
                  <c:v>120.3925</c:v>
                </c:pt>
                <c:pt idx="236">
                  <c:v>120.14666666666665</c:v>
                </c:pt>
                <c:pt idx="237">
                  <c:v>119.65499999999999</c:v>
                </c:pt>
                <c:pt idx="238">
                  <c:v>119.07083333333333</c:v>
                </c:pt>
                <c:pt idx="239">
                  <c:v>118.43999999999998</c:v>
                </c:pt>
                <c:pt idx="240">
                  <c:v>117.66416666666667</c:v>
                </c:pt>
                <c:pt idx="241">
                  <c:v>117.23083333333334</c:v>
                </c:pt>
                <c:pt idx="242">
                  <c:v>116.78666666666668</c:v>
                </c:pt>
                <c:pt idx="243">
                  <c:v>116.51666666666669</c:v>
                </c:pt>
                <c:pt idx="244">
                  <c:v>116.03500000000003</c:v>
                </c:pt>
                <c:pt idx="245">
                  <c:v>115.59833333333334</c:v>
                </c:pt>
                <c:pt idx="246">
                  <c:v>115.27333333333333</c:v>
                </c:pt>
                <c:pt idx="247">
                  <c:v>114.98166666666667</c:v>
                </c:pt>
                <c:pt idx="248">
                  <c:v>114.84749999999998</c:v>
                </c:pt>
                <c:pt idx="249">
                  <c:v>114.78916666666667</c:v>
                </c:pt>
                <c:pt idx="250">
                  <c:v>114.78416666666668</c:v>
                </c:pt>
                <c:pt idx="251">
                  <c:v>114.57833333333333</c:v>
                </c:pt>
                <c:pt idx="252">
                  <c:v>114.91916666666667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8-4212-AC1E-17BF3B34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975440"/>
        <c:axId val="660976752"/>
      </c:lineChart>
      <c:catAx>
        <c:axId val="66097544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660976752"/>
        <c:crosses val="autoZero"/>
        <c:auto val="1"/>
        <c:lblAlgn val="ctr"/>
        <c:lblOffset val="100"/>
        <c:noMultiLvlLbl val="0"/>
      </c:catAx>
      <c:valAx>
        <c:axId val="66097675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660975440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Original Observations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Airline Index</c:v>
          </c:tx>
          <c:spPr>
            <a:ln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Ref>
              <c:f>Forecast!$A$83:$A$334</c:f>
              <c:numCache>
                <c:formatCode>@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Forecast!$B$83:$B$334</c:f>
              <c:numCache>
                <c:formatCode>0.000</c:formatCode>
                <c:ptCount val="252"/>
                <c:pt idx="0">
                  <c:v>112.22</c:v>
                </c:pt>
                <c:pt idx="1">
                  <c:v>113.53</c:v>
                </c:pt>
                <c:pt idx="2">
                  <c:v>112.91</c:v>
                </c:pt>
                <c:pt idx="3">
                  <c:v>114.77</c:v>
                </c:pt>
                <c:pt idx="4">
                  <c:v>114.61</c:v>
                </c:pt>
                <c:pt idx="5">
                  <c:v>113.44</c:v>
                </c:pt>
                <c:pt idx="6">
                  <c:v>111.89</c:v>
                </c:pt>
                <c:pt idx="7">
                  <c:v>112.12</c:v>
                </c:pt>
                <c:pt idx="8">
                  <c:v>111.62</c:v>
                </c:pt>
                <c:pt idx="9">
                  <c:v>114.4</c:v>
                </c:pt>
                <c:pt idx="10">
                  <c:v>115.02</c:v>
                </c:pt>
                <c:pt idx="11">
                  <c:v>114.5</c:v>
                </c:pt>
                <c:pt idx="12">
                  <c:v>114.94</c:v>
                </c:pt>
                <c:pt idx="13">
                  <c:v>114</c:v>
                </c:pt>
                <c:pt idx="14">
                  <c:v>114.72</c:v>
                </c:pt>
                <c:pt idx="15">
                  <c:v>115.17</c:v>
                </c:pt>
                <c:pt idx="16">
                  <c:v>114.17</c:v>
                </c:pt>
                <c:pt idx="17">
                  <c:v>113.68</c:v>
                </c:pt>
                <c:pt idx="18">
                  <c:v>115.6</c:v>
                </c:pt>
                <c:pt idx="19">
                  <c:v>115.82</c:v>
                </c:pt>
                <c:pt idx="20">
                  <c:v>112.23</c:v>
                </c:pt>
                <c:pt idx="21">
                  <c:v>110.97</c:v>
                </c:pt>
                <c:pt idx="22">
                  <c:v>112.04</c:v>
                </c:pt>
                <c:pt idx="23">
                  <c:v>112.28</c:v>
                </c:pt>
                <c:pt idx="24">
                  <c:v>112.92</c:v>
                </c:pt>
                <c:pt idx="25">
                  <c:v>112.88</c:v>
                </c:pt>
                <c:pt idx="26">
                  <c:v>115.38</c:v>
                </c:pt>
                <c:pt idx="27">
                  <c:v>115.28</c:v>
                </c:pt>
                <c:pt idx="28">
                  <c:v>113.33</c:v>
                </c:pt>
                <c:pt idx="29">
                  <c:v>113.22</c:v>
                </c:pt>
                <c:pt idx="30">
                  <c:v>114.45</c:v>
                </c:pt>
                <c:pt idx="31">
                  <c:v>115.58</c:v>
                </c:pt>
                <c:pt idx="32">
                  <c:v>116.05</c:v>
                </c:pt>
                <c:pt idx="33">
                  <c:v>116.26</c:v>
                </c:pt>
                <c:pt idx="34">
                  <c:v>118.12</c:v>
                </c:pt>
                <c:pt idx="35">
                  <c:v>117.49</c:v>
                </c:pt>
                <c:pt idx="36">
                  <c:v>116.91</c:v>
                </c:pt>
                <c:pt idx="37">
                  <c:v>116.5</c:v>
                </c:pt>
                <c:pt idx="38">
                  <c:v>116.66</c:v>
                </c:pt>
                <c:pt idx="39">
                  <c:v>116.02</c:v>
                </c:pt>
                <c:pt idx="40">
                  <c:v>115.05</c:v>
                </c:pt>
                <c:pt idx="41">
                  <c:v>114.83</c:v>
                </c:pt>
                <c:pt idx="42">
                  <c:v>116.84</c:v>
                </c:pt>
                <c:pt idx="43">
                  <c:v>114.43</c:v>
                </c:pt>
                <c:pt idx="44">
                  <c:v>115.11</c:v>
                </c:pt>
                <c:pt idx="45">
                  <c:v>115.15</c:v>
                </c:pt>
                <c:pt idx="46">
                  <c:v>115.39</c:v>
                </c:pt>
                <c:pt idx="47">
                  <c:v>115.44</c:v>
                </c:pt>
                <c:pt idx="48">
                  <c:v>114.54</c:v>
                </c:pt>
                <c:pt idx="49">
                  <c:v>114.72</c:v>
                </c:pt>
                <c:pt idx="50">
                  <c:v>114.59</c:v>
                </c:pt>
                <c:pt idx="51">
                  <c:v>114.93</c:v>
                </c:pt>
                <c:pt idx="52">
                  <c:v>115.59</c:v>
                </c:pt>
                <c:pt idx="53">
                  <c:v>116.93</c:v>
                </c:pt>
                <c:pt idx="54">
                  <c:v>116.83</c:v>
                </c:pt>
                <c:pt idx="55">
                  <c:v>119.89</c:v>
                </c:pt>
                <c:pt idx="56">
                  <c:v>119.32</c:v>
                </c:pt>
                <c:pt idx="57">
                  <c:v>118.26</c:v>
                </c:pt>
                <c:pt idx="58">
                  <c:v>120.96</c:v>
                </c:pt>
                <c:pt idx="59">
                  <c:v>120.85</c:v>
                </c:pt>
                <c:pt idx="60">
                  <c:v>120.96</c:v>
                </c:pt>
                <c:pt idx="61">
                  <c:v>121.73</c:v>
                </c:pt>
                <c:pt idx="62">
                  <c:v>120.32</c:v>
                </c:pt>
                <c:pt idx="63">
                  <c:v>119.63</c:v>
                </c:pt>
                <c:pt idx="64">
                  <c:v>118.47</c:v>
                </c:pt>
                <c:pt idx="65">
                  <c:v>117.64</c:v>
                </c:pt>
                <c:pt idx="66">
                  <c:v>116.11</c:v>
                </c:pt>
                <c:pt idx="67">
                  <c:v>115.67</c:v>
                </c:pt>
                <c:pt idx="68">
                  <c:v>115.07</c:v>
                </c:pt>
                <c:pt idx="69">
                  <c:v>111.16</c:v>
                </c:pt>
                <c:pt idx="70">
                  <c:v>111.66</c:v>
                </c:pt>
                <c:pt idx="71">
                  <c:v>110.43</c:v>
                </c:pt>
                <c:pt idx="72">
                  <c:v>111.46</c:v>
                </c:pt>
                <c:pt idx="73">
                  <c:v>111.29</c:v>
                </c:pt>
                <c:pt idx="74">
                  <c:v>111.28</c:v>
                </c:pt>
                <c:pt idx="75">
                  <c:v>111.9</c:v>
                </c:pt>
                <c:pt idx="76">
                  <c:v>111.45</c:v>
                </c:pt>
                <c:pt idx="77">
                  <c:v>110.78</c:v>
                </c:pt>
                <c:pt idx="78">
                  <c:v>110.24</c:v>
                </c:pt>
                <c:pt idx="79">
                  <c:v>108.86</c:v>
                </c:pt>
                <c:pt idx="80">
                  <c:v>108.44</c:v>
                </c:pt>
                <c:pt idx="81">
                  <c:v>109.96</c:v>
                </c:pt>
                <c:pt idx="82">
                  <c:v>110.18</c:v>
                </c:pt>
                <c:pt idx="83">
                  <c:v>110.25</c:v>
                </c:pt>
                <c:pt idx="84">
                  <c:v>106.71</c:v>
                </c:pt>
                <c:pt idx="85">
                  <c:v>106.84</c:v>
                </c:pt>
                <c:pt idx="86">
                  <c:v>107.17</c:v>
                </c:pt>
                <c:pt idx="87">
                  <c:v>106.1</c:v>
                </c:pt>
                <c:pt idx="88">
                  <c:v>103.89</c:v>
                </c:pt>
                <c:pt idx="89">
                  <c:v>102.81</c:v>
                </c:pt>
                <c:pt idx="90">
                  <c:v>106.11</c:v>
                </c:pt>
                <c:pt idx="91">
                  <c:v>105.29</c:v>
                </c:pt>
                <c:pt idx="92">
                  <c:v>105.67</c:v>
                </c:pt>
                <c:pt idx="93">
                  <c:v>105.13</c:v>
                </c:pt>
                <c:pt idx="94">
                  <c:v>105.6</c:v>
                </c:pt>
                <c:pt idx="95">
                  <c:v>106.52</c:v>
                </c:pt>
                <c:pt idx="96">
                  <c:v>105.06</c:v>
                </c:pt>
                <c:pt idx="97">
                  <c:v>105.97</c:v>
                </c:pt>
                <c:pt idx="98">
                  <c:v>105.61</c:v>
                </c:pt>
                <c:pt idx="99">
                  <c:v>105.62</c:v>
                </c:pt>
                <c:pt idx="100">
                  <c:v>107.69</c:v>
                </c:pt>
                <c:pt idx="101">
                  <c:v>108.58</c:v>
                </c:pt>
                <c:pt idx="102">
                  <c:v>109.21</c:v>
                </c:pt>
                <c:pt idx="103">
                  <c:v>108.75</c:v>
                </c:pt>
                <c:pt idx="104">
                  <c:v>108.28</c:v>
                </c:pt>
                <c:pt idx="105">
                  <c:v>106.6</c:v>
                </c:pt>
                <c:pt idx="106">
                  <c:v>106.15</c:v>
                </c:pt>
                <c:pt idx="107">
                  <c:v>107.04</c:v>
                </c:pt>
                <c:pt idx="108">
                  <c:v>107.6</c:v>
                </c:pt>
                <c:pt idx="109">
                  <c:v>108.01</c:v>
                </c:pt>
                <c:pt idx="110">
                  <c:v>107.97</c:v>
                </c:pt>
                <c:pt idx="111">
                  <c:v>107.43</c:v>
                </c:pt>
                <c:pt idx="112">
                  <c:v>107.57</c:v>
                </c:pt>
                <c:pt idx="113">
                  <c:v>107.22</c:v>
                </c:pt>
                <c:pt idx="114">
                  <c:v>107.58</c:v>
                </c:pt>
                <c:pt idx="115">
                  <c:v>108.25</c:v>
                </c:pt>
                <c:pt idx="116">
                  <c:v>112.69</c:v>
                </c:pt>
                <c:pt idx="117">
                  <c:v>112.43</c:v>
                </c:pt>
                <c:pt idx="118">
                  <c:v>111.93</c:v>
                </c:pt>
                <c:pt idx="119">
                  <c:v>112.1</c:v>
                </c:pt>
                <c:pt idx="120">
                  <c:v>111.18</c:v>
                </c:pt>
                <c:pt idx="121">
                  <c:v>112.91</c:v>
                </c:pt>
                <c:pt idx="122">
                  <c:v>113.29</c:v>
                </c:pt>
                <c:pt idx="123">
                  <c:v>112.71</c:v>
                </c:pt>
                <c:pt idx="124">
                  <c:v>112.9</c:v>
                </c:pt>
                <c:pt idx="125">
                  <c:v>112.12</c:v>
                </c:pt>
                <c:pt idx="126">
                  <c:v>112.07</c:v>
                </c:pt>
                <c:pt idx="127">
                  <c:v>112.43</c:v>
                </c:pt>
                <c:pt idx="128">
                  <c:v>110.6</c:v>
                </c:pt>
                <c:pt idx="129">
                  <c:v>111.44</c:v>
                </c:pt>
                <c:pt idx="130">
                  <c:v>109.56</c:v>
                </c:pt>
                <c:pt idx="131">
                  <c:v>110.24</c:v>
                </c:pt>
                <c:pt idx="132">
                  <c:v>108.74</c:v>
                </c:pt>
                <c:pt idx="133">
                  <c:v>107.08</c:v>
                </c:pt>
                <c:pt idx="134">
                  <c:v>106.82</c:v>
                </c:pt>
                <c:pt idx="135">
                  <c:v>106.41</c:v>
                </c:pt>
                <c:pt idx="136">
                  <c:v>106.42</c:v>
                </c:pt>
                <c:pt idx="137">
                  <c:v>106.75</c:v>
                </c:pt>
                <c:pt idx="138">
                  <c:v>105.84</c:v>
                </c:pt>
                <c:pt idx="139">
                  <c:v>105.72</c:v>
                </c:pt>
                <c:pt idx="140">
                  <c:v>106.3</c:v>
                </c:pt>
                <c:pt idx="141">
                  <c:v>104.22</c:v>
                </c:pt>
                <c:pt idx="142">
                  <c:v>104.16</c:v>
                </c:pt>
                <c:pt idx="143">
                  <c:v>103.72</c:v>
                </c:pt>
                <c:pt idx="144">
                  <c:v>104.41</c:v>
                </c:pt>
                <c:pt idx="145">
                  <c:v>104.13</c:v>
                </c:pt>
                <c:pt idx="146">
                  <c:v>104.98</c:v>
                </c:pt>
                <c:pt idx="147">
                  <c:v>106.76</c:v>
                </c:pt>
                <c:pt idx="148">
                  <c:v>109.25</c:v>
                </c:pt>
                <c:pt idx="149">
                  <c:v>109.81</c:v>
                </c:pt>
                <c:pt idx="150">
                  <c:v>109.44</c:v>
                </c:pt>
                <c:pt idx="151">
                  <c:v>110.99</c:v>
                </c:pt>
                <c:pt idx="152">
                  <c:v>110.61</c:v>
                </c:pt>
                <c:pt idx="153">
                  <c:v>110.3</c:v>
                </c:pt>
                <c:pt idx="154">
                  <c:v>109.52</c:v>
                </c:pt>
                <c:pt idx="155">
                  <c:v>111.72</c:v>
                </c:pt>
                <c:pt idx="156">
                  <c:v>114.45</c:v>
                </c:pt>
                <c:pt idx="157">
                  <c:v>115.19</c:v>
                </c:pt>
                <c:pt idx="158">
                  <c:v>113.53</c:v>
                </c:pt>
                <c:pt idx="159">
                  <c:v>115.53</c:v>
                </c:pt>
                <c:pt idx="160">
                  <c:v>113.91</c:v>
                </c:pt>
                <c:pt idx="161">
                  <c:v>113.65</c:v>
                </c:pt>
                <c:pt idx="162">
                  <c:v>115.29</c:v>
                </c:pt>
                <c:pt idx="163">
                  <c:v>115.6</c:v>
                </c:pt>
                <c:pt idx="164">
                  <c:v>115.64</c:v>
                </c:pt>
                <c:pt idx="165">
                  <c:v>114.71</c:v>
                </c:pt>
                <c:pt idx="166">
                  <c:v>114.68</c:v>
                </c:pt>
                <c:pt idx="167">
                  <c:v>114.56</c:v>
                </c:pt>
                <c:pt idx="168">
                  <c:v>115.07</c:v>
                </c:pt>
                <c:pt idx="169">
                  <c:v>117.14</c:v>
                </c:pt>
                <c:pt idx="170">
                  <c:v>116.74</c:v>
                </c:pt>
                <c:pt idx="171">
                  <c:v>117.27</c:v>
                </c:pt>
                <c:pt idx="172">
                  <c:v>118.16</c:v>
                </c:pt>
                <c:pt idx="173">
                  <c:v>117.9</c:v>
                </c:pt>
                <c:pt idx="174">
                  <c:v>118.04</c:v>
                </c:pt>
                <c:pt idx="175">
                  <c:v>117.52</c:v>
                </c:pt>
                <c:pt idx="176">
                  <c:v>117.63</c:v>
                </c:pt>
                <c:pt idx="177">
                  <c:v>116.72</c:v>
                </c:pt>
                <c:pt idx="178">
                  <c:v>118.51</c:v>
                </c:pt>
                <c:pt idx="179">
                  <c:v>116.85</c:v>
                </c:pt>
                <c:pt idx="180">
                  <c:v>116.76</c:v>
                </c:pt>
                <c:pt idx="181">
                  <c:v>116.61</c:v>
                </c:pt>
                <c:pt idx="182">
                  <c:v>115.48</c:v>
                </c:pt>
                <c:pt idx="183">
                  <c:v>115.04</c:v>
                </c:pt>
                <c:pt idx="184">
                  <c:v>116.97</c:v>
                </c:pt>
                <c:pt idx="185">
                  <c:v>121.53</c:v>
                </c:pt>
                <c:pt idx="186">
                  <c:v>123.62</c:v>
                </c:pt>
                <c:pt idx="187">
                  <c:v>122.81</c:v>
                </c:pt>
                <c:pt idx="188">
                  <c:v>122.53</c:v>
                </c:pt>
                <c:pt idx="189">
                  <c:v>122.61</c:v>
                </c:pt>
                <c:pt idx="190">
                  <c:v>122.69</c:v>
                </c:pt>
                <c:pt idx="191">
                  <c:v>122.25</c:v>
                </c:pt>
                <c:pt idx="192">
                  <c:v>123</c:v>
                </c:pt>
                <c:pt idx="193">
                  <c:v>119.34</c:v>
                </c:pt>
                <c:pt idx="194">
                  <c:v>116.53</c:v>
                </c:pt>
                <c:pt idx="195">
                  <c:v>118.06</c:v>
                </c:pt>
                <c:pt idx="196">
                  <c:v>118.17</c:v>
                </c:pt>
                <c:pt idx="197">
                  <c:v>117.95</c:v>
                </c:pt>
                <c:pt idx="198">
                  <c:v>119.06</c:v>
                </c:pt>
                <c:pt idx="199">
                  <c:v>119.62</c:v>
                </c:pt>
                <c:pt idx="200">
                  <c:v>116.48</c:v>
                </c:pt>
                <c:pt idx="201">
                  <c:v>112.29</c:v>
                </c:pt>
                <c:pt idx="202">
                  <c:v>114.09</c:v>
                </c:pt>
                <c:pt idx="203">
                  <c:v>114.92</c:v>
                </c:pt>
                <c:pt idx="204">
                  <c:v>111.8</c:v>
                </c:pt>
                <c:pt idx="205">
                  <c:v>111.8</c:v>
                </c:pt>
                <c:pt idx="206">
                  <c:v>114.18</c:v>
                </c:pt>
                <c:pt idx="207">
                  <c:v>115.48</c:v>
                </c:pt>
                <c:pt idx="208">
                  <c:v>116.42</c:v>
                </c:pt>
                <c:pt idx="209">
                  <c:v>117.59</c:v>
                </c:pt>
                <c:pt idx="210">
                  <c:v>117.37</c:v>
                </c:pt>
                <c:pt idx="211">
                  <c:v>117.88</c:v>
                </c:pt>
                <c:pt idx="212">
                  <c:v>118.77</c:v>
                </c:pt>
                <c:pt idx="213">
                  <c:v>118.45</c:v>
                </c:pt>
                <c:pt idx="214">
                  <c:v>119.43</c:v>
                </c:pt>
                <c:pt idx="215">
                  <c:v>121.65</c:v>
                </c:pt>
                <c:pt idx="216">
                  <c:v>119.05</c:v>
                </c:pt>
                <c:pt idx="217">
                  <c:v>118.68</c:v>
                </c:pt>
                <c:pt idx="218">
                  <c:v>117.96</c:v>
                </c:pt>
                <c:pt idx="219">
                  <c:v>116.8</c:v>
                </c:pt>
                <c:pt idx="220">
                  <c:v>116.71</c:v>
                </c:pt>
                <c:pt idx="221">
                  <c:v>117.05</c:v>
                </c:pt>
                <c:pt idx="222">
                  <c:v>117.37</c:v>
                </c:pt>
                <c:pt idx="223">
                  <c:v>118.92</c:v>
                </c:pt>
                <c:pt idx="224">
                  <c:v>120.5</c:v>
                </c:pt>
                <c:pt idx="225">
                  <c:v>121.49</c:v>
                </c:pt>
                <c:pt idx="226">
                  <c:v>123.64</c:v>
                </c:pt>
                <c:pt idx="227">
                  <c:v>121.58</c:v>
                </c:pt>
                <c:pt idx="228">
                  <c:v>120.85</c:v>
                </c:pt>
                <c:pt idx="229">
                  <c:v>122.31</c:v>
                </c:pt>
                <c:pt idx="230">
                  <c:v>121.4</c:v>
                </c:pt>
                <c:pt idx="231">
                  <c:v>121.28</c:v>
                </c:pt>
                <c:pt idx="232">
                  <c:v>119.97</c:v>
                </c:pt>
                <c:pt idx="233">
                  <c:v>117.29</c:v>
                </c:pt>
                <c:pt idx="234">
                  <c:v>115.48</c:v>
                </c:pt>
                <c:pt idx="235">
                  <c:v>115.97</c:v>
                </c:pt>
                <c:pt idx="236">
                  <c:v>114.6</c:v>
                </c:pt>
                <c:pt idx="237">
                  <c:v>114.48</c:v>
                </c:pt>
                <c:pt idx="238">
                  <c:v>116.07</c:v>
                </c:pt>
                <c:pt idx="239">
                  <c:v>112.27</c:v>
                </c:pt>
                <c:pt idx="240">
                  <c:v>115.65</c:v>
                </c:pt>
                <c:pt idx="241">
                  <c:v>116.98</c:v>
                </c:pt>
                <c:pt idx="242">
                  <c:v>118.16</c:v>
                </c:pt>
                <c:pt idx="243">
                  <c:v>115.5</c:v>
                </c:pt>
                <c:pt idx="244">
                  <c:v>114.73</c:v>
                </c:pt>
                <c:pt idx="245">
                  <c:v>113.39</c:v>
                </c:pt>
                <c:pt idx="246">
                  <c:v>111.98</c:v>
                </c:pt>
                <c:pt idx="247">
                  <c:v>114.36</c:v>
                </c:pt>
                <c:pt idx="248">
                  <c:v>113.9</c:v>
                </c:pt>
                <c:pt idx="249">
                  <c:v>114.42</c:v>
                </c:pt>
                <c:pt idx="250">
                  <c:v>113.6</c:v>
                </c:pt>
                <c:pt idx="251">
                  <c:v>116.36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4616-8537-5CEC6F532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243904"/>
        <c:axId val="652245544"/>
      </c:lineChart>
      <c:catAx>
        <c:axId val="65224390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652245544"/>
        <c:crosses val="autoZero"/>
        <c:auto val="1"/>
        <c:lblAlgn val="ctr"/>
        <c:lblOffset val="100"/>
        <c:noMultiLvlLbl val="0"/>
      </c:catAx>
      <c:valAx>
        <c:axId val="65224554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652243904"/>
        <c:crosses val="autoZero"/>
        <c:crossBetween val="between"/>
      </c:valAx>
    </c:plotArea>
    <c:plotVisOnly val="1"/>
    <c:dispBlanksAs val="gap"/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Forecast Errors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Errors</c:v>
          </c:tx>
          <c:spPr>
            <a:ln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Ref>
              <c:f>Forecast!$A$83:$A$334</c:f>
              <c:numCache>
                <c:formatCode>@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Forecast!$D$95:$D$335</c:f>
              <c:numCache>
                <c:formatCode>0.000</c:formatCode>
                <c:ptCount val="241"/>
                <c:pt idx="0">
                  <c:v>1.5208333333333286</c:v>
                </c:pt>
                <c:pt idx="1">
                  <c:v>0.3541666666666714</c:v>
                </c:pt>
                <c:pt idx="2">
                  <c:v>1.0349999999999966</c:v>
                </c:pt>
                <c:pt idx="3">
                  <c:v>1.3341666666666754</c:v>
                </c:pt>
                <c:pt idx="4">
                  <c:v>0.30083333333332973</c:v>
                </c:pt>
                <c:pt idx="5">
                  <c:v>-0.15250000000001762</c:v>
                </c:pt>
                <c:pt idx="6">
                  <c:v>1.7474999999999739</c:v>
                </c:pt>
                <c:pt idx="7">
                  <c:v>1.6583333333333172</c:v>
                </c:pt>
                <c:pt idx="8">
                  <c:v>-2.2399999999999807</c:v>
                </c:pt>
                <c:pt idx="9">
                  <c:v>-3.5508333333333155</c:v>
                </c:pt>
                <c:pt idx="10">
                  <c:v>-2.1949999999999648</c:v>
                </c:pt>
                <c:pt idx="11">
                  <c:v>-1.7066666666666634</c:v>
                </c:pt>
                <c:pt idx="12">
                  <c:v>-0.88166666666667481</c:v>
                </c:pt>
                <c:pt idx="13">
                  <c:v>-0.75333333333334451</c:v>
                </c:pt>
                <c:pt idx="14">
                  <c:v>1.8399999999999892</c:v>
                </c:pt>
                <c:pt idx="15">
                  <c:v>1.6849999999999739</c:v>
                </c:pt>
                <c:pt idx="16">
                  <c:v>-0.27416666666664469</c:v>
                </c:pt>
                <c:pt idx="17">
                  <c:v>-0.31416666666665094</c:v>
                </c:pt>
                <c:pt idx="18">
                  <c:v>0.95416666666667993</c:v>
                </c:pt>
                <c:pt idx="19">
                  <c:v>2.1800000000000068</c:v>
                </c:pt>
                <c:pt idx="20">
                  <c:v>2.6700000000000017</c:v>
                </c:pt>
                <c:pt idx="21">
                  <c:v>2.5616666666666816</c:v>
                </c:pt>
                <c:pt idx="22">
                  <c:v>3.9808333333333366</c:v>
                </c:pt>
                <c:pt idx="23">
                  <c:v>2.8441666666666663</c:v>
                </c:pt>
                <c:pt idx="24">
                  <c:v>1.8299999999999699</c:v>
                </c:pt>
                <c:pt idx="25">
                  <c:v>1.0874999999999773</c:v>
                </c:pt>
                <c:pt idx="26">
                  <c:v>0.94583333333331154</c:v>
                </c:pt>
                <c:pt idx="27">
                  <c:v>0.19916666666665606</c:v>
                </c:pt>
                <c:pt idx="28">
                  <c:v>-0.83250000000001023</c:v>
                </c:pt>
                <c:pt idx="29">
                  <c:v>-1.1958333333333258</c:v>
                </c:pt>
                <c:pt idx="30">
                  <c:v>0.68000000000002103</c:v>
                </c:pt>
                <c:pt idx="31">
                  <c:v>-1.9291666666666316</c:v>
                </c:pt>
                <c:pt idx="32">
                  <c:v>-1.1533333333333218</c:v>
                </c:pt>
                <c:pt idx="33">
                  <c:v>-1.0349999999999824</c:v>
                </c:pt>
                <c:pt idx="34">
                  <c:v>-0.70249999999998636</c:v>
                </c:pt>
                <c:pt idx="35">
                  <c:v>-0.42500000000001137</c:v>
                </c:pt>
                <c:pt idx="36">
                  <c:v>-1.1541666666666686</c:v>
                </c:pt>
                <c:pt idx="37">
                  <c:v>-0.77666666666668505</c:v>
                </c:pt>
                <c:pt idx="38">
                  <c:v>-0.75833333333333997</c:v>
                </c:pt>
                <c:pt idx="39">
                  <c:v>-0.24583333333332291</c:v>
                </c:pt>
                <c:pt idx="40">
                  <c:v>0.50500000000000966</c:v>
                </c:pt>
                <c:pt idx="41">
                  <c:v>1.8000000000000114</c:v>
                </c:pt>
                <c:pt idx="42">
                  <c:v>1.5250000000000057</c:v>
                </c:pt>
                <c:pt idx="43">
                  <c:v>4.5858333333333405</c:v>
                </c:pt>
                <c:pt idx="44">
                  <c:v>3.5608333333333206</c:v>
                </c:pt>
                <c:pt idx="45">
                  <c:v>2.1500000000000057</c:v>
                </c:pt>
                <c:pt idx="46">
                  <c:v>4.5908333333333218</c:v>
                </c:pt>
                <c:pt idx="47">
                  <c:v>4.0166666666666657</c:v>
                </c:pt>
                <c:pt idx="48">
                  <c:v>3.6758333333333439</c:v>
                </c:pt>
                <c:pt idx="49">
                  <c:v>3.9108333333333434</c:v>
                </c:pt>
                <c:pt idx="50">
                  <c:v>1.9166666666666714</c:v>
                </c:pt>
                <c:pt idx="51">
                  <c:v>0.74916666666666742</c:v>
                </c:pt>
                <c:pt idx="52">
                  <c:v>-0.80249999999999488</c:v>
                </c:pt>
                <c:pt idx="53">
                  <c:v>-1.8724999999999881</c:v>
                </c:pt>
                <c:pt idx="54">
                  <c:v>-3.4616666666666731</c:v>
                </c:pt>
                <c:pt idx="55">
                  <c:v>-3.8416666666666686</c:v>
                </c:pt>
                <c:pt idx="56">
                  <c:v>-4.0900000000000176</c:v>
                </c:pt>
                <c:pt idx="57">
                  <c:v>-7.6458333333333286</c:v>
                </c:pt>
                <c:pt idx="58">
                  <c:v>-6.55416666666666</c:v>
                </c:pt>
                <c:pt idx="59">
                  <c:v>-7.0091666666666725</c:v>
                </c:pt>
                <c:pt idx="60">
                  <c:v>-5.1108333333333462</c:v>
                </c:pt>
                <c:pt idx="61">
                  <c:v>-4.4891666666666765</c:v>
                </c:pt>
                <c:pt idx="62">
                  <c:v>-3.6291666666666487</c:v>
                </c:pt>
                <c:pt idx="63">
                  <c:v>-2.2558333333333138</c:v>
                </c:pt>
                <c:pt idx="64">
                  <c:v>-2.0616666666666674</c:v>
                </c:pt>
                <c:pt idx="65">
                  <c:v>-2.1466666666666754</c:v>
                </c:pt>
                <c:pt idx="66">
                  <c:v>-2.1150000000000091</c:v>
                </c:pt>
                <c:pt idx="67">
                  <c:v>-3.005833333333328</c:v>
                </c:pt>
                <c:pt idx="68">
                  <c:v>-2.8583333333333343</c:v>
                </c:pt>
                <c:pt idx="69">
                  <c:v>-0.78583333333332916</c:v>
                </c:pt>
                <c:pt idx="70">
                  <c:v>-0.46583333333332178</c:v>
                </c:pt>
                <c:pt idx="71">
                  <c:v>-0.27250000000002217</c:v>
                </c:pt>
                <c:pt idx="72">
                  <c:v>-3.7975000000000136</c:v>
                </c:pt>
                <c:pt idx="73">
                  <c:v>-3.2716666666666754</c:v>
                </c:pt>
                <c:pt idx="74">
                  <c:v>-2.57083333333334</c:v>
                </c:pt>
                <c:pt idx="75">
                  <c:v>-3.2983333333333604</c:v>
                </c:pt>
                <c:pt idx="76">
                  <c:v>-5.0250000000000057</c:v>
                </c:pt>
                <c:pt idx="77">
                  <c:v>-5.4750000000000085</c:v>
                </c:pt>
                <c:pt idx="78">
                  <c:v>-1.5108333333333377</c:v>
                </c:pt>
                <c:pt idx="79">
                  <c:v>-1.9866666666666504</c:v>
                </c:pt>
                <c:pt idx="80">
                  <c:v>-1.3091666666666413</c:v>
                </c:pt>
                <c:pt idx="81">
                  <c:v>-1.6183333333333252</c:v>
                </c:pt>
                <c:pt idx="82">
                  <c:v>-0.74583333333335133</c:v>
                </c:pt>
                <c:pt idx="83">
                  <c:v>0.55583333333335361</c:v>
                </c:pt>
                <c:pt idx="84">
                  <c:v>-0.59333333333330529</c:v>
                </c:pt>
                <c:pt idx="85">
                  <c:v>0.45416666666667993</c:v>
                </c:pt>
                <c:pt idx="86">
                  <c:v>0.1666666666666714</c:v>
                </c:pt>
                <c:pt idx="87">
                  <c:v>0.30666666666667197</c:v>
                </c:pt>
                <c:pt idx="88">
                  <c:v>2.4166666666666856</c:v>
                </c:pt>
                <c:pt idx="89">
                  <c:v>2.9900000000000091</c:v>
                </c:pt>
                <c:pt idx="90">
                  <c:v>3.139166666666668</c:v>
                </c:pt>
                <c:pt idx="91">
                  <c:v>2.4208333333333343</c:v>
                </c:pt>
                <c:pt idx="92">
                  <c:v>1.6624999999999943</c:v>
                </c:pt>
                <c:pt idx="93">
                  <c:v>-0.23499999999999943</c:v>
                </c:pt>
                <c:pt idx="94">
                  <c:v>-0.80749999999999034</c:v>
                </c:pt>
                <c:pt idx="95">
                  <c:v>3.666666666666174E-2</c:v>
                </c:pt>
                <c:pt idx="96">
                  <c:v>0.55333333333331325</c:v>
                </c:pt>
                <c:pt idx="97">
                  <c:v>0.75166666666667936</c:v>
                </c:pt>
                <c:pt idx="98">
                  <c:v>0.5416666666666714</c:v>
                </c:pt>
                <c:pt idx="99">
                  <c:v>-0.19499999999997897</c:v>
                </c:pt>
                <c:pt idx="100">
                  <c:v>-0.20583333333335929</c:v>
                </c:pt>
                <c:pt idx="101">
                  <c:v>-0.54583333333332007</c:v>
                </c:pt>
                <c:pt idx="102">
                  <c:v>-7.2499999999990905E-2</c:v>
                </c:pt>
                <c:pt idx="103">
                  <c:v>0.73333333333334849</c:v>
                </c:pt>
                <c:pt idx="104">
                  <c:v>5.2150000000000176</c:v>
                </c:pt>
                <c:pt idx="105">
                  <c:v>4.5875000000000199</c:v>
                </c:pt>
                <c:pt idx="106">
                  <c:v>3.6016666666666453</c:v>
                </c:pt>
                <c:pt idx="107">
                  <c:v>3.289999999999992</c:v>
                </c:pt>
                <c:pt idx="108">
                  <c:v>1.9483333333333235</c:v>
                </c:pt>
                <c:pt idx="109">
                  <c:v>3.3799999999999812</c:v>
                </c:pt>
                <c:pt idx="110">
                  <c:v>3.3516666666666595</c:v>
                </c:pt>
                <c:pt idx="111">
                  <c:v>2.3283333333333189</c:v>
                </c:pt>
                <c:pt idx="112">
                  <c:v>2.0783333333333331</c:v>
                </c:pt>
                <c:pt idx="113">
                  <c:v>0.85416666666664298</c:v>
                </c:pt>
                <c:pt idx="114">
                  <c:v>0.39583333333331439</c:v>
                </c:pt>
                <c:pt idx="115">
                  <c:v>0.38166666666670324</c:v>
                </c:pt>
                <c:pt idx="116">
                  <c:v>-1.7966666666666526</c:v>
                </c:pt>
                <c:pt idx="117">
                  <c:v>-0.78250000000001307</c:v>
                </c:pt>
                <c:pt idx="118">
                  <c:v>-2.5799999999999983</c:v>
                </c:pt>
                <c:pt idx="119">
                  <c:v>-1.7025000000000006</c:v>
                </c:pt>
                <c:pt idx="120">
                  <c:v>-3.0475000000000136</c:v>
                </c:pt>
                <c:pt idx="121">
                  <c:v>-4.5041666666666629</c:v>
                </c:pt>
                <c:pt idx="122">
                  <c:v>-4.2783333333333218</c:v>
                </c:pt>
                <c:pt idx="123">
                  <c:v>-4.1491666666666589</c:v>
                </c:pt>
                <c:pt idx="124">
                  <c:v>-3.6141666666666481</c:v>
                </c:pt>
                <c:pt idx="125">
                  <c:v>-2.7441666666666862</c:v>
                </c:pt>
                <c:pt idx="126">
                  <c:v>-3.2066666666666777</c:v>
                </c:pt>
                <c:pt idx="127">
                  <c:v>-2.8074999999999903</c:v>
                </c:pt>
                <c:pt idx="128">
                  <c:v>-1.6683333333333223</c:v>
                </c:pt>
                <c:pt idx="129">
                  <c:v>-3.3900000000000006</c:v>
                </c:pt>
                <c:pt idx="130">
                  <c:v>-2.8483333333333292</c:v>
                </c:pt>
                <c:pt idx="131">
                  <c:v>-2.8383333333333383</c:v>
                </c:pt>
                <c:pt idx="132">
                  <c:v>-1.605000000000004</c:v>
                </c:pt>
                <c:pt idx="133">
                  <c:v>-1.5241666666666873</c:v>
                </c:pt>
                <c:pt idx="134">
                  <c:v>-0.42833333333334167</c:v>
                </c:pt>
                <c:pt idx="135">
                  <c:v>1.5050000000000097</c:v>
                </c:pt>
                <c:pt idx="136">
                  <c:v>3.9658333333333218</c:v>
                </c:pt>
                <c:pt idx="137">
                  <c:v>4.2900000000000063</c:v>
                </c:pt>
                <c:pt idx="138">
                  <c:v>3.6650000000000063</c:v>
                </c:pt>
                <c:pt idx="139">
                  <c:v>4.914999999999992</c:v>
                </c:pt>
                <c:pt idx="140">
                  <c:v>4.0958333333333314</c:v>
                </c:pt>
                <c:pt idx="141">
                  <c:v>3.4266666666666623</c:v>
                </c:pt>
                <c:pt idx="142">
                  <c:v>2.1400000000000006</c:v>
                </c:pt>
                <c:pt idx="143">
                  <c:v>3.8933333333333451</c:v>
                </c:pt>
                <c:pt idx="144">
                  <c:v>5.9566666666666634</c:v>
                </c:pt>
                <c:pt idx="145">
                  <c:v>5.859999999999971</c:v>
                </c:pt>
                <c:pt idx="146">
                  <c:v>3.278333333333336</c:v>
                </c:pt>
                <c:pt idx="147">
                  <c:v>4.5658333333333445</c:v>
                </c:pt>
                <c:pt idx="148">
                  <c:v>2.2150000000000034</c:v>
                </c:pt>
                <c:pt idx="149">
                  <c:v>1.5666666666666771</c:v>
                </c:pt>
                <c:pt idx="150">
                  <c:v>2.8866666666666561</c:v>
                </c:pt>
                <c:pt idx="151">
                  <c:v>2.7091666666666612</c:v>
                </c:pt>
                <c:pt idx="152">
                  <c:v>2.3650000000000233</c:v>
                </c:pt>
                <c:pt idx="153">
                  <c:v>1.0158333333333331</c:v>
                </c:pt>
                <c:pt idx="154">
                  <c:v>0.6183333333333394</c:v>
                </c:pt>
                <c:pt idx="155">
                  <c:v>6.8333333333328028E-2</c:v>
                </c:pt>
                <c:pt idx="156">
                  <c:v>0.34166666666665435</c:v>
                </c:pt>
                <c:pt idx="157">
                  <c:v>2.3600000000000136</c:v>
                </c:pt>
                <c:pt idx="158">
                  <c:v>1.7974999999999994</c:v>
                </c:pt>
                <c:pt idx="159">
                  <c:v>2.0600000000000023</c:v>
                </c:pt>
                <c:pt idx="160">
                  <c:v>2.8049999999999926</c:v>
                </c:pt>
                <c:pt idx="161">
                  <c:v>2.1908333333333445</c:v>
                </c:pt>
                <c:pt idx="162">
                  <c:v>1.9766666666666737</c:v>
                </c:pt>
                <c:pt idx="163">
                  <c:v>1.2274999999999778</c:v>
                </c:pt>
                <c:pt idx="164">
                  <c:v>1.1774999999999949</c:v>
                </c:pt>
                <c:pt idx="165">
                  <c:v>0.10166666666665947</c:v>
                </c:pt>
                <c:pt idx="166">
                  <c:v>1.7241666666666617</c:v>
                </c:pt>
                <c:pt idx="167">
                  <c:v>-0.25499999999998124</c:v>
                </c:pt>
                <c:pt idx="168">
                  <c:v>-0.53583333333330074</c:v>
                </c:pt>
                <c:pt idx="169">
                  <c:v>-0.82666666666665378</c:v>
                </c:pt>
                <c:pt idx="170">
                  <c:v>-1.9124999999999801</c:v>
                </c:pt>
                <c:pt idx="171">
                  <c:v>-2.2475000000000023</c:v>
                </c:pt>
                <c:pt idx="172">
                  <c:v>-0.13166666666667481</c:v>
                </c:pt>
                <c:pt idx="173">
                  <c:v>4.5275000000000034</c:v>
                </c:pt>
                <c:pt idx="174">
                  <c:v>6.3150000000000119</c:v>
                </c:pt>
                <c:pt idx="175">
                  <c:v>5.0399999999999778</c:v>
                </c:pt>
                <c:pt idx="176">
                  <c:v>4.319166666666689</c:v>
                </c:pt>
                <c:pt idx="177">
                  <c:v>3.9908333333333275</c:v>
                </c:pt>
                <c:pt idx="178">
                  <c:v>3.5800000000000267</c:v>
                </c:pt>
                <c:pt idx="179">
                  <c:v>2.7916666666666714</c:v>
                </c:pt>
                <c:pt idx="180">
                  <c:v>3.0916666666666828</c:v>
                </c:pt>
                <c:pt idx="181">
                  <c:v>-1.088333333333324</c:v>
                </c:pt>
                <c:pt idx="182">
                  <c:v>-4.1258333333333184</c:v>
                </c:pt>
                <c:pt idx="183">
                  <c:v>-2.6833333333333229</c:v>
                </c:pt>
                <c:pt idx="184">
                  <c:v>-2.8249999999999886</c:v>
                </c:pt>
                <c:pt idx="185">
                  <c:v>-3.1449999999999818</c:v>
                </c:pt>
                <c:pt idx="186">
                  <c:v>-1.7366666666666788</c:v>
                </c:pt>
                <c:pt idx="187">
                  <c:v>-0.79666666666666686</c:v>
                </c:pt>
                <c:pt idx="188">
                  <c:v>-3.6708333333333201</c:v>
                </c:pt>
                <c:pt idx="189">
                  <c:v>-7.3566666666666407</c:v>
                </c:pt>
                <c:pt idx="190">
                  <c:v>-4.6966666666666725</c:v>
                </c:pt>
                <c:pt idx="191">
                  <c:v>-3.1499999999999915</c:v>
                </c:pt>
                <c:pt idx="192">
                  <c:v>-5.659166666666664</c:v>
                </c:pt>
                <c:pt idx="193">
                  <c:v>-4.7258333333333553</c:v>
                </c:pt>
                <c:pt idx="194">
                  <c:v>-1.7174999999999869</c:v>
                </c:pt>
                <c:pt idx="195">
                  <c:v>-0.22166666666666401</c:v>
                </c:pt>
                <c:pt idx="196">
                  <c:v>0.93333333333333712</c:v>
                </c:pt>
                <c:pt idx="197">
                  <c:v>2.2491666666666532</c:v>
                </c:pt>
                <c:pt idx="198">
                  <c:v>2.0591666666666697</c:v>
                </c:pt>
                <c:pt idx="199">
                  <c:v>2.7099999999999937</c:v>
                </c:pt>
                <c:pt idx="200">
                  <c:v>3.7449999999999761</c:v>
                </c:pt>
                <c:pt idx="201">
                  <c:v>3.2341666666666526</c:v>
                </c:pt>
                <c:pt idx="202">
                  <c:v>3.7008333333333212</c:v>
                </c:pt>
                <c:pt idx="203">
                  <c:v>5.4758333333333269</c:v>
                </c:pt>
                <c:pt idx="204">
                  <c:v>2.3149999999999835</c:v>
                </c:pt>
                <c:pt idx="205">
                  <c:v>1.3408333333333218</c:v>
                </c:pt>
                <c:pt idx="206">
                  <c:v>4.749999999997101E-2</c:v>
                </c:pt>
                <c:pt idx="207">
                  <c:v>-1.4275000000000233</c:v>
                </c:pt>
                <c:pt idx="208">
                  <c:v>-1.6275000000000261</c:v>
                </c:pt>
                <c:pt idx="209">
                  <c:v>-1.3116666666666674</c:v>
                </c:pt>
                <c:pt idx="210">
                  <c:v>-0.94666666666665833</c:v>
                </c:pt>
                <c:pt idx="211">
                  <c:v>0.60333333333335304</c:v>
                </c:pt>
                <c:pt idx="212">
                  <c:v>2.0966666666666498</c:v>
                </c:pt>
                <c:pt idx="213">
                  <c:v>2.9424999999999812</c:v>
                </c:pt>
                <c:pt idx="214">
                  <c:v>4.8391666666666708</c:v>
                </c:pt>
                <c:pt idx="215">
                  <c:v>2.4283333333333132</c:v>
                </c:pt>
                <c:pt idx="216">
                  <c:v>1.7041666666666657</c:v>
                </c:pt>
                <c:pt idx="217">
                  <c:v>3.0141666666666964</c:v>
                </c:pt>
                <c:pt idx="218">
                  <c:v>1.8016666666666907</c:v>
                </c:pt>
                <c:pt idx="219">
                  <c:v>1.3950000000000102</c:v>
                </c:pt>
                <c:pt idx="220">
                  <c:v>-0.28833333333332689</c:v>
                </c:pt>
                <c:pt idx="221">
                  <c:v>-3.2400000000000091</c:v>
                </c:pt>
                <c:pt idx="222">
                  <c:v>-5.0700000000000074</c:v>
                </c:pt>
                <c:pt idx="223">
                  <c:v>-4.4224999999999994</c:v>
                </c:pt>
                <c:pt idx="224">
                  <c:v>-5.5466666666666526</c:v>
                </c:pt>
                <c:pt idx="225">
                  <c:v>-5.1749999999999829</c:v>
                </c:pt>
                <c:pt idx="226">
                  <c:v>-3.0008333333333326</c:v>
                </c:pt>
                <c:pt idx="227">
                  <c:v>-6.1699999999999875</c:v>
                </c:pt>
                <c:pt idx="228">
                  <c:v>-2.014166666666668</c:v>
                </c:pt>
                <c:pt idx="229">
                  <c:v>-0.25083333333333258</c:v>
                </c:pt>
                <c:pt idx="230">
                  <c:v>1.3733333333333206</c:v>
                </c:pt>
                <c:pt idx="231">
                  <c:v>-1.0166666666666941</c:v>
                </c:pt>
                <c:pt idx="232">
                  <c:v>-1.305000000000021</c:v>
                </c:pt>
                <c:pt idx="233">
                  <c:v>-2.2083333333333428</c:v>
                </c:pt>
                <c:pt idx="234">
                  <c:v>-3.2933333333333223</c:v>
                </c:pt>
                <c:pt idx="235">
                  <c:v>-0.6216666666666697</c:v>
                </c:pt>
                <c:pt idx="236">
                  <c:v>-0.94749999999997669</c:v>
                </c:pt>
                <c:pt idx="237">
                  <c:v>-0.36916666666667197</c:v>
                </c:pt>
                <c:pt idx="238">
                  <c:v>-1.1841666666666839</c:v>
                </c:pt>
                <c:pt idx="239">
                  <c:v>1.7816666666666663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E-4643-9D93-04DDC637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244232"/>
        <c:axId val="652243576"/>
      </c:lineChart>
      <c:catAx>
        <c:axId val="65224423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652243576"/>
        <c:crosses val="autoZero"/>
        <c:auto val="1"/>
        <c:lblAlgn val="ctr"/>
        <c:lblOffset val="100"/>
        <c:noMultiLvlLbl val="0"/>
      </c:catAx>
      <c:valAx>
        <c:axId val="6522435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652244232"/>
        <c:crosses val="autoZero"/>
        <c:crossBetween val="between"/>
      </c:valAx>
    </c:plotArea>
    <c:plotVisOnly val="1"/>
    <c:dispBlanksAs val="gap"/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16</xdr:row>
      <xdr:rowOff>0</xdr:rowOff>
    </xdr:from>
    <xdr:to>
      <xdr:col>4</xdr:col>
      <xdr:colOff>289560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12700</xdr:colOff>
      <xdr:row>37</xdr:row>
      <xdr:rowOff>0</xdr:rowOff>
    </xdr:from>
    <xdr:to>
      <xdr:col>4</xdr:col>
      <xdr:colOff>289560</xdr:colOff>
      <xdr:row>53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12700</xdr:colOff>
      <xdr:row>58</xdr:row>
      <xdr:rowOff>0</xdr:rowOff>
    </xdr:from>
    <xdr:to>
      <xdr:col>4</xdr:col>
      <xdr:colOff>289560</xdr:colOff>
      <xdr:row>74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2" name="gwm_31799 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3" name="gwm_31799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4" name="gwm_31799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5" name="gwm_31799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6" name="gwm_31799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7" name="gwm_31799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8" name="gwm_31799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9" name="gwm_31799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10" name="gwm_31799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11" name="gwm_31799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2" name="gwm_30412 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3" name="gwm_30412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4" name="gwm_30412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5" name="gwm_30412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6" name="gwm_30412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7" name="gwm_30412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8" name="gwm_30412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9" name="gwm_30412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10" name="gwm_30412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11" name="gwm_30412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[1]!WatermarkMsg_Trial" textlink="">
      <cdr:nvSpPr>
        <cdr:cNvPr id="2" name="gwm_8820  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[1]!WatermarkMsg_Trial" textlink="">
      <cdr:nvSpPr>
        <cdr:cNvPr id="3" name="gwm_8820 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[1]!WatermarkMsg_Trial" textlink="">
      <cdr:nvSpPr>
        <cdr:cNvPr id="4" name="gwm_8820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[1]!WatermarkMsg_Trial" textlink="">
      <cdr:nvSpPr>
        <cdr:cNvPr id="5" name="gwm_8820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[1]!WatermarkMsg_Trial" textlink="">
      <cdr:nvSpPr>
        <cdr:cNvPr id="6" name="gwm_8820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[1]!WatermarkMsg_Trial" textlink="">
      <cdr:nvSpPr>
        <cdr:cNvPr id="7" name="gwm_8820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[1]!WatermarkMsg_Trial" textlink="">
      <cdr:nvSpPr>
        <cdr:cNvPr id="8" name="gwm_8820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[1]!WatermarkMsg_Trial" textlink="">
      <cdr:nvSpPr>
        <cdr:cNvPr id="9" name="gwm_8820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[1]!WatermarkMsg_Trial" textlink="">
      <cdr:nvSpPr>
        <cdr:cNvPr id="10" name="gwm_8820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[1]!WatermarkMsg_Trial" textlink="">
      <cdr:nvSpPr>
        <cdr:cNvPr id="11" name="gwm_8820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alisade\StatTools8\StatTool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Tools"/>
    </sheetNames>
    <definedNames>
      <definedName name="WatermarkMsg_Trial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35"/>
  <sheetViews>
    <sheetView showGridLines="0" tabSelected="1" topLeftCell="A6" workbookViewId="0"/>
  </sheetViews>
  <sheetFormatPr defaultColWidth="12.77734375" defaultRowHeight="14.4" x14ac:dyDescent="0.3"/>
  <cols>
    <col min="1" max="1" width="28" bestFit="1" customWidth="1"/>
    <col min="2" max="4" width="12.77734375" customWidth="1"/>
  </cols>
  <sheetData>
    <row r="1" spans="1:2" s="1" customFormat="1" ht="18" x14ac:dyDescent="0.35">
      <c r="A1" s="7" t="s">
        <v>0</v>
      </c>
      <c r="B1" s="5"/>
    </row>
    <row r="2" spans="1:2" s="1" customFormat="1" ht="10.199999999999999" x14ac:dyDescent="0.2">
      <c r="A2" s="3" t="s">
        <v>1</v>
      </c>
      <c r="B2" s="5" t="s">
        <v>2</v>
      </c>
    </row>
    <row r="3" spans="1:2" s="1" customFormat="1" ht="10.199999999999999" x14ac:dyDescent="0.2">
      <c r="A3" s="3" t="s">
        <v>3</v>
      </c>
      <c r="B3" s="5" t="s">
        <v>4</v>
      </c>
    </row>
    <row r="4" spans="1:2" s="1" customFormat="1" ht="10.199999999999999" x14ac:dyDescent="0.2">
      <c r="A4" s="3" t="s">
        <v>5</v>
      </c>
      <c r="B4" s="5" t="s">
        <v>6</v>
      </c>
    </row>
    <row r="5" spans="1:2" s="2" customFormat="1" ht="10.199999999999999" x14ac:dyDescent="0.2">
      <c r="A5" s="4" t="s">
        <v>7</v>
      </c>
      <c r="B5" s="6" t="s">
        <v>8</v>
      </c>
    </row>
    <row r="7" spans="1:2" ht="15" customHeight="1" x14ac:dyDescent="0.3">
      <c r="A7" s="12" t="s">
        <v>10</v>
      </c>
      <c r="B7" s="9"/>
    </row>
    <row r="8" spans="1:2" ht="15" customHeight="1" thickBot="1" x14ac:dyDescent="0.35">
      <c r="A8" s="13" t="s">
        <v>9</v>
      </c>
      <c r="B8" s="10"/>
    </row>
    <row r="9" spans="1:2" ht="15" customHeight="1" thickTop="1" x14ac:dyDescent="0.3">
      <c r="A9" s="11" t="s">
        <v>13</v>
      </c>
      <c r="B9" s="8">
        <v>12</v>
      </c>
    </row>
    <row r="10" spans="1:2" ht="15" customHeight="1" x14ac:dyDescent="0.3"/>
    <row r="11" spans="1:2" ht="15" customHeight="1" x14ac:dyDescent="0.3">
      <c r="A11" s="12"/>
      <c r="B11" s="9"/>
    </row>
    <row r="12" spans="1:2" ht="15" customHeight="1" thickBot="1" x14ac:dyDescent="0.35">
      <c r="A12" s="13" t="s">
        <v>11</v>
      </c>
      <c r="B12" s="10"/>
    </row>
    <row r="13" spans="1:2" ht="15" customHeight="1" thickTop="1" x14ac:dyDescent="0.3">
      <c r="A13" s="11" t="s">
        <v>14</v>
      </c>
      <c r="B13" s="14">
        <f>_xll.StatMeanAbs(D95:D334)</f>
        <v>2.3134409722222191</v>
      </c>
    </row>
    <row r="14" spans="1:2" ht="15" customHeight="1" x14ac:dyDescent="0.3">
      <c r="A14" s="11" t="s">
        <v>15</v>
      </c>
      <c r="B14" s="14">
        <f>SQRT(SUMSQ(D95:D334)/_xll.StatCount(D95:D334))</f>
        <v>2.832884406326257</v>
      </c>
    </row>
    <row r="15" spans="1:2" ht="15" customHeight="1" x14ac:dyDescent="0.3">
      <c r="A15" s="11" t="s">
        <v>16</v>
      </c>
      <c r="B15" s="17">
        <f>_xll.StatPairMeanAbsQuotient(D95:D334,B95:B334)</f>
        <v>2.033773393553991E-2</v>
      </c>
    </row>
    <row r="16" spans="1:2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  <row r="29" ht="15" customHeight="1" x14ac:dyDescent="0.3"/>
    <row r="30" ht="15" customHeight="1" x14ac:dyDescent="0.3"/>
    <row r="31" ht="15" customHeight="1" x14ac:dyDescent="0.3"/>
    <row r="3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spans="1:4" ht="15" customHeight="1" x14ac:dyDescent="0.3">
      <c r="A81" s="12"/>
      <c r="B81" s="9"/>
      <c r="C81" s="9"/>
      <c r="D81" s="9"/>
    </row>
    <row r="82" spans="1:4" ht="15" customHeight="1" thickBot="1" x14ac:dyDescent="0.35">
      <c r="A82" s="13" t="s">
        <v>12</v>
      </c>
      <c r="B82" s="10" t="s">
        <v>17</v>
      </c>
      <c r="C82" s="10" t="s">
        <v>2</v>
      </c>
      <c r="D82" s="10" t="s">
        <v>18</v>
      </c>
    </row>
    <row r="83" spans="1:4" ht="15" customHeight="1" thickTop="1" x14ac:dyDescent="0.3">
      <c r="A83" s="11">
        <v>1</v>
      </c>
      <c r="B83" s="14">
        <f xml:space="preserve"> 112.22</f>
        <v>112.22</v>
      </c>
      <c r="C83" s="14"/>
      <c r="D83" s="14"/>
    </row>
    <row r="84" spans="1:4" ht="15" customHeight="1" x14ac:dyDescent="0.3">
      <c r="A84" s="11">
        <v>2</v>
      </c>
      <c r="B84" s="14">
        <f xml:space="preserve"> 113.53</f>
        <v>113.53</v>
      </c>
      <c r="C84" s="14"/>
      <c r="D84" s="14"/>
    </row>
    <row r="85" spans="1:4" ht="15" customHeight="1" x14ac:dyDescent="0.3">
      <c r="A85" s="11">
        <v>3</v>
      </c>
      <c r="B85" s="14">
        <f xml:space="preserve"> 112.91</f>
        <v>112.91</v>
      </c>
      <c r="C85" s="14"/>
      <c r="D85" s="14"/>
    </row>
    <row r="86" spans="1:4" ht="15" customHeight="1" x14ac:dyDescent="0.3">
      <c r="A86" s="11">
        <v>4</v>
      </c>
      <c r="B86" s="14">
        <f xml:space="preserve"> 114.77</f>
        <v>114.77</v>
      </c>
      <c r="C86" s="14"/>
      <c r="D86" s="14"/>
    </row>
    <row r="87" spans="1:4" ht="15" customHeight="1" x14ac:dyDescent="0.3">
      <c r="A87" s="11">
        <v>5</v>
      </c>
      <c r="B87" s="14">
        <f xml:space="preserve"> 114.61</f>
        <v>114.61</v>
      </c>
      <c r="C87" s="14"/>
      <c r="D87" s="14"/>
    </row>
    <row r="88" spans="1:4" ht="15" customHeight="1" x14ac:dyDescent="0.3">
      <c r="A88" s="11">
        <v>6</v>
      </c>
      <c r="B88" s="14">
        <f xml:space="preserve"> 113.44</f>
        <v>113.44</v>
      </c>
      <c r="C88" s="14"/>
      <c r="D88" s="14"/>
    </row>
    <row r="89" spans="1:4" ht="15" customHeight="1" x14ac:dyDescent="0.3">
      <c r="A89" s="11">
        <v>7</v>
      </c>
      <c r="B89" s="14">
        <f xml:space="preserve"> 111.89</f>
        <v>111.89</v>
      </c>
      <c r="C89" s="14"/>
      <c r="D89" s="14"/>
    </row>
    <row r="90" spans="1:4" ht="15" customHeight="1" x14ac:dyDescent="0.3">
      <c r="A90" s="11">
        <v>8</v>
      </c>
      <c r="B90" s="14">
        <f xml:space="preserve"> 112.12</f>
        <v>112.12</v>
      </c>
      <c r="C90" s="14"/>
      <c r="D90" s="14"/>
    </row>
    <row r="91" spans="1:4" ht="15" customHeight="1" x14ac:dyDescent="0.3">
      <c r="A91" s="11">
        <v>9</v>
      </c>
      <c r="B91" s="14">
        <f xml:space="preserve"> 111.62</f>
        <v>111.62</v>
      </c>
      <c r="C91" s="14"/>
      <c r="D91" s="14"/>
    </row>
    <row r="92" spans="1:4" ht="15" customHeight="1" x14ac:dyDescent="0.3">
      <c r="A92" s="11">
        <v>10</v>
      </c>
      <c r="B92" s="14">
        <f xml:space="preserve"> 114.4</f>
        <v>114.4</v>
      </c>
      <c r="C92" s="14"/>
      <c r="D92" s="14"/>
    </row>
    <row r="93" spans="1:4" ht="15" customHeight="1" x14ac:dyDescent="0.3">
      <c r="A93" s="11">
        <v>11</v>
      </c>
      <c r="B93" s="14">
        <f xml:space="preserve"> 115.02</f>
        <v>115.02</v>
      </c>
      <c r="C93" s="14"/>
      <c r="D93" s="14"/>
    </row>
    <row r="94" spans="1:4" ht="15" customHeight="1" x14ac:dyDescent="0.3">
      <c r="A94" s="11">
        <v>12</v>
      </c>
      <c r="B94" s="14">
        <f xml:space="preserve"> 114.5</f>
        <v>114.5</v>
      </c>
      <c r="C94" s="14"/>
      <c r="D94" s="14"/>
    </row>
    <row r="95" spans="1:4" ht="15" customHeight="1" x14ac:dyDescent="0.3">
      <c r="A95" s="11">
        <v>13</v>
      </c>
      <c r="B95" s="14">
        <f xml:space="preserve"> 114.94</f>
        <v>114.94</v>
      </c>
      <c r="C95" s="14">
        <f>_xll.StatMean(B83:B94)</f>
        <v>113.41916666666667</v>
      </c>
      <c r="D95" s="14">
        <f>B95-C95</f>
        <v>1.5208333333333286</v>
      </c>
    </row>
    <row r="96" spans="1:4" ht="15" customHeight="1" x14ac:dyDescent="0.3">
      <c r="A96" s="11">
        <v>14</v>
      </c>
      <c r="B96" s="14">
        <f xml:space="preserve"> 114</f>
        <v>114</v>
      </c>
      <c r="C96" s="14">
        <f>_xll.StatMean(B84:B95)</f>
        <v>113.64583333333333</v>
      </c>
      <c r="D96" s="14">
        <f t="shared" ref="D96:D159" si="0">B96-C96</f>
        <v>0.3541666666666714</v>
      </c>
    </row>
    <row r="97" spans="1:4" ht="15" customHeight="1" x14ac:dyDescent="0.3">
      <c r="A97" s="11">
        <v>15</v>
      </c>
      <c r="B97" s="14">
        <f xml:space="preserve"> 114.72</f>
        <v>114.72</v>
      </c>
      <c r="C97" s="14">
        <f>_xll.StatMean(B85:B96)</f>
        <v>113.685</v>
      </c>
      <c r="D97" s="14">
        <f t="shared" si="0"/>
        <v>1.0349999999999966</v>
      </c>
    </row>
    <row r="98" spans="1:4" ht="15" customHeight="1" x14ac:dyDescent="0.3">
      <c r="A98" s="11">
        <v>16</v>
      </c>
      <c r="B98" s="14">
        <f xml:space="preserve"> 115.17</f>
        <v>115.17</v>
      </c>
      <c r="C98" s="14">
        <f>_xll.StatMean(B86:B97)</f>
        <v>113.83583333333333</v>
      </c>
      <c r="D98" s="14">
        <f t="shared" si="0"/>
        <v>1.3341666666666754</v>
      </c>
    </row>
    <row r="99" spans="1:4" ht="15" customHeight="1" x14ac:dyDescent="0.3">
      <c r="A99" s="11">
        <v>17</v>
      </c>
      <c r="B99" s="14">
        <f xml:space="preserve"> 114.17</f>
        <v>114.17</v>
      </c>
      <c r="C99" s="14">
        <f>_xll.StatMean(B87:B98)</f>
        <v>113.86916666666667</v>
      </c>
      <c r="D99" s="14">
        <f t="shared" si="0"/>
        <v>0.30083333333332973</v>
      </c>
    </row>
    <row r="100" spans="1:4" ht="15" customHeight="1" x14ac:dyDescent="0.3">
      <c r="A100" s="11">
        <v>18</v>
      </c>
      <c r="B100" s="14">
        <f xml:space="preserve"> 113.68</f>
        <v>113.68</v>
      </c>
      <c r="C100" s="14">
        <f>_xll.StatMean(B88:B99)</f>
        <v>113.83250000000002</v>
      </c>
      <c r="D100" s="14">
        <f t="shared" si="0"/>
        <v>-0.15250000000001762</v>
      </c>
    </row>
    <row r="101" spans="1:4" ht="15" customHeight="1" x14ac:dyDescent="0.3">
      <c r="A101" s="11">
        <v>19</v>
      </c>
      <c r="B101" s="14">
        <f xml:space="preserve"> 115.6</f>
        <v>115.6</v>
      </c>
      <c r="C101" s="14">
        <f>_xll.StatMean(B89:B100)</f>
        <v>113.85250000000002</v>
      </c>
      <c r="D101" s="14">
        <f t="shared" si="0"/>
        <v>1.7474999999999739</v>
      </c>
    </row>
    <row r="102" spans="1:4" ht="15" customHeight="1" x14ac:dyDescent="0.3">
      <c r="A102" s="11">
        <v>20</v>
      </c>
      <c r="B102" s="14">
        <f xml:space="preserve"> 115.82</f>
        <v>115.82</v>
      </c>
      <c r="C102" s="14">
        <f>_xll.StatMean(B90:B101)</f>
        <v>114.16166666666668</v>
      </c>
      <c r="D102" s="14">
        <f t="shared" si="0"/>
        <v>1.6583333333333172</v>
      </c>
    </row>
    <row r="103" spans="1:4" ht="15" customHeight="1" x14ac:dyDescent="0.3">
      <c r="A103" s="11">
        <v>21</v>
      </c>
      <c r="B103" s="14">
        <f xml:space="preserve"> 112.23</f>
        <v>112.23</v>
      </c>
      <c r="C103" s="14">
        <f>_xll.StatMean(B91:B102)</f>
        <v>114.46999999999998</v>
      </c>
      <c r="D103" s="14">
        <f t="shared" si="0"/>
        <v>-2.2399999999999807</v>
      </c>
    </row>
    <row r="104" spans="1:4" ht="15" customHeight="1" x14ac:dyDescent="0.3">
      <c r="A104" s="11">
        <v>22</v>
      </c>
      <c r="B104" s="14">
        <f xml:space="preserve"> 110.97</f>
        <v>110.97</v>
      </c>
      <c r="C104" s="14">
        <f>_xll.StatMean(B92:B103)</f>
        <v>114.52083333333331</v>
      </c>
      <c r="D104" s="14">
        <f t="shared" si="0"/>
        <v>-3.5508333333333155</v>
      </c>
    </row>
    <row r="105" spans="1:4" ht="15" customHeight="1" x14ac:dyDescent="0.3">
      <c r="A105" s="11">
        <v>23</v>
      </c>
      <c r="B105" s="14">
        <f xml:space="preserve"> 112.04</f>
        <v>112.04</v>
      </c>
      <c r="C105" s="14">
        <f>_xll.StatMean(B93:B104)</f>
        <v>114.23499999999997</v>
      </c>
      <c r="D105" s="14">
        <f t="shared" si="0"/>
        <v>-2.1949999999999648</v>
      </c>
    </row>
    <row r="106" spans="1:4" ht="15" customHeight="1" x14ac:dyDescent="0.3">
      <c r="A106" s="11">
        <v>24</v>
      </c>
      <c r="B106" s="14">
        <f xml:space="preserve"> 112.28</f>
        <v>112.28</v>
      </c>
      <c r="C106" s="14">
        <f>_xll.StatMean(B94:B105)</f>
        <v>113.98666666666666</v>
      </c>
      <c r="D106" s="14">
        <f t="shared" si="0"/>
        <v>-1.7066666666666634</v>
      </c>
    </row>
    <row r="107" spans="1:4" ht="15" customHeight="1" x14ac:dyDescent="0.3">
      <c r="A107" s="11">
        <v>25</v>
      </c>
      <c r="B107" s="14">
        <f xml:space="preserve"> 112.92</f>
        <v>112.92</v>
      </c>
      <c r="C107" s="14">
        <f>_xll.StatMean(B95:B106)</f>
        <v>113.80166666666668</v>
      </c>
      <c r="D107" s="14">
        <f t="shared" si="0"/>
        <v>-0.88166666666667481</v>
      </c>
    </row>
    <row r="108" spans="1:4" ht="15" customHeight="1" x14ac:dyDescent="0.3">
      <c r="A108" s="11">
        <v>26</v>
      </c>
      <c r="B108" s="14">
        <f xml:space="preserve"> 112.88</f>
        <v>112.88</v>
      </c>
      <c r="C108" s="14">
        <f>_xll.StatMean(B96:B107)</f>
        <v>113.63333333333334</v>
      </c>
      <c r="D108" s="14">
        <f t="shared" si="0"/>
        <v>-0.75333333333334451</v>
      </c>
    </row>
    <row r="109" spans="1:4" ht="15" customHeight="1" x14ac:dyDescent="0.3">
      <c r="A109" s="11">
        <v>27</v>
      </c>
      <c r="B109" s="14">
        <f xml:space="preserve"> 115.38</f>
        <v>115.38</v>
      </c>
      <c r="C109" s="14">
        <f>_xll.StatMean(B97:B108)</f>
        <v>113.54</v>
      </c>
      <c r="D109" s="14">
        <f t="shared" si="0"/>
        <v>1.8399999999999892</v>
      </c>
    </row>
    <row r="110" spans="1:4" ht="15" customHeight="1" x14ac:dyDescent="0.3">
      <c r="A110" s="11">
        <v>28</v>
      </c>
      <c r="B110" s="14">
        <f xml:space="preserve"> 115.28</f>
        <v>115.28</v>
      </c>
      <c r="C110" s="14">
        <f>_xll.StatMean(B98:B109)</f>
        <v>113.59500000000003</v>
      </c>
      <c r="D110" s="14">
        <f t="shared" si="0"/>
        <v>1.6849999999999739</v>
      </c>
    </row>
    <row r="111" spans="1:4" ht="15" customHeight="1" x14ac:dyDescent="0.3">
      <c r="A111" s="11">
        <v>29</v>
      </c>
      <c r="B111" s="14">
        <f xml:space="preserve"> 113.33</f>
        <v>113.33</v>
      </c>
      <c r="C111" s="14">
        <f>_xll.StatMean(B99:B110)</f>
        <v>113.60416666666664</v>
      </c>
      <c r="D111" s="14">
        <f t="shared" si="0"/>
        <v>-0.27416666666664469</v>
      </c>
    </row>
    <row r="112" spans="1:4" ht="15" customHeight="1" x14ac:dyDescent="0.3">
      <c r="A112" s="11">
        <v>30</v>
      </c>
      <c r="B112" s="14">
        <f xml:space="preserve"> 113.22</f>
        <v>113.22</v>
      </c>
      <c r="C112" s="14">
        <f>_xll.StatMean(B100:B111)</f>
        <v>113.53416666666665</v>
      </c>
      <c r="D112" s="14">
        <f t="shared" si="0"/>
        <v>-0.31416666666665094</v>
      </c>
    </row>
    <row r="113" spans="1:4" ht="15" customHeight="1" x14ac:dyDescent="0.3">
      <c r="A113" s="11">
        <v>31</v>
      </c>
      <c r="B113" s="14">
        <f xml:space="preserve"> 114.45</f>
        <v>114.45</v>
      </c>
      <c r="C113" s="14">
        <f>_xll.StatMean(B101:B112)</f>
        <v>113.49583333333332</v>
      </c>
      <c r="D113" s="14">
        <f t="shared" si="0"/>
        <v>0.95416666666667993</v>
      </c>
    </row>
    <row r="114" spans="1:4" ht="15" customHeight="1" x14ac:dyDescent="0.3">
      <c r="A114" s="11">
        <v>32</v>
      </c>
      <c r="B114" s="14">
        <f xml:space="preserve"> 115.58</f>
        <v>115.58</v>
      </c>
      <c r="C114" s="14">
        <f>_xll.StatMean(B102:B113)</f>
        <v>113.39999999999999</v>
      </c>
      <c r="D114" s="14">
        <f t="shared" si="0"/>
        <v>2.1800000000000068</v>
      </c>
    </row>
    <row r="115" spans="1:4" ht="15" customHeight="1" x14ac:dyDescent="0.3">
      <c r="A115" s="11">
        <v>33</v>
      </c>
      <c r="B115" s="14">
        <f xml:space="preserve"> 116.05</f>
        <v>116.05</v>
      </c>
      <c r="C115" s="14">
        <f>_xll.StatMean(B103:B114)</f>
        <v>113.38</v>
      </c>
      <c r="D115" s="14">
        <f t="shared" si="0"/>
        <v>2.6700000000000017</v>
      </c>
    </row>
    <row r="116" spans="1:4" ht="15" customHeight="1" x14ac:dyDescent="0.3">
      <c r="A116" s="11">
        <v>34</v>
      </c>
      <c r="B116" s="14">
        <f xml:space="preserve"> 116.26</f>
        <v>116.26</v>
      </c>
      <c r="C116" s="14">
        <f>_xll.StatMean(B104:B115)</f>
        <v>113.69833333333332</v>
      </c>
      <c r="D116" s="14">
        <f t="shared" si="0"/>
        <v>2.5616666666666816</v>
      </c>
    </row>
    <row r="117" spans="1:4" ht="15" customHeight="1" x14ac:dyDescent="0.3">
      <c r="A117" s="11">
        <v>35</v>
      </c>
      <c r="B117" s="14">
        <f xml:space="preserve"> 118.12</f>
        <v>118.12</v>
      </c>
      <c r="C117" s="14">
        <f>_xll.StatMean(B105:B116)</f>
        <v>114.13916666666667</v>
      </c>
      <c r="D117" s="14">
        <f t="shared" si="0"/>
        <v>3.9808333333333366</v>
      </c>
    </row>
    <row r="118" spans="1:4" ht="15" customHeight="1" x14ac:dyDescent="0.3">
      <c r="A118" s="11">
        <v>36</v>
      </c>
      <c r="B118" s="14">
        <f xml:space="preserve"> 117.49</f>
        <v>117.49</v>
      </c>
      <c r="C118" s="14">
        <f>_xll.StatMean(B106:B117)</f>
        <v>114.64583333333333</v>
      </c>
      <c r="D118" s="14">
        <f t="shared" si="0"/>
        <v>2.8441666666666663</v>
      </c>
    </row>
    <row r="119" spans="1:4" ht="15" customHeight="1" x14ac:dyDescent="0.3">
      <c r="A119" s="11">
        <v>37</v>
      </c>
      <c r="B119" s="14">
        <f xml:space="preserve"> 116.91</f>
        <v>116.91</v>
      </c>
      <c r="C119" s="14">
        <f>_xll.StatMean(B107:B118)</f>
        <v>115.08000000000003</v>
      </c>
      <c r="D119" s="14">
        <f t="shared" si="0"/>
        <v>1.8299999999999699</v>
      </c>
    </row>
    <row r="120" spans="1:4" ht="15" customHeight="1" x14ac:dyDescent="0.3">
      <c r="A120" s="11">
        <v>38</v>
      </c>
      <c r="B120" s="14">
        <f xml:space="preserve"> 116.5</f>
        <v>116.5</v>
      </c>
      <c r="C120" s="14">
        <f>_xll.StatMean(B108:B119)</f>
        <v>115.41250000000002</v>
      </c>
      <c r="D120" s="14">
        <f t="shared" si="0"/>
        <v>1.0874999999999773</v>
      </c>
    </row>
    <row r="121" spans="1:4" ht="15" customHeight="1" x14ac:dyDescent="0.3">
      <c r="A121" s="11">
        <v>39</v>
      </c>
      <c r="B121" s="14">
        <f xml:space="preserve"> 116.66</f>
        <v>116.66</v>
      </c>
      <c r="C121" s="14">
        <f>_xll.StatMean(B109:B120)</f>
        <v>115.71416666666669</v>
      </c>
      <c r="D121" s="14">
        <f t="shared" si="0"/>
        <v>0.94583333333331154</v>
      </c>
    </row>
    <row r="122" spans="1:4" ht="15" customHeight="1" x14ac:dyDescent="0.3">
      <c r="A122" s="11">
        <v>40</v>
      </c>
      <c r="B122" s="14">
        <f xml:space="preserve"> 116.02</f>
        <v>116.02</v>
      </c>
      <c r="C122" s="14">
        <f>_xll.StatMean(B110:B121)</f>
        <v>115.82083333333334</v>
      </c>
      <c r="D122" s="14">
        <f t="shared" si="0"/>
        <v>0.19916666666665606</v>
      </c>
    </row>
    <row r="123" spans="1:4" ht="15" customHeight="1" x14ac:dyDescent="0.3">
      <c r="A123" s="11">
        <v>41</v>
      </c>
      <c r="B123" s="14">
        <f xml:space="preserve"> 115.05</f>
        <v>115.05</v>
      </c>
      <c r="C123" s="14">
        <f>_xll.StatMean(B111:B122)</f>
        <v>115.88250000000001</v>
      </c>
      <c r="D123" s="14">
        <f t="shared" si="0"/>
        <v>-0.83250000000001023</v>
      </c>
    </row>
    <row r="124" spans="1:4" ht="15" customHeight="1" x14ac:dyDescent="0.3">
      <c r="A124" s="11">
        <v>42</v>
      </c>
      <c r="B124" s="14">
        <f xml:space="preserve"> 114.83</f>
        <v>114.83</v>
      </c>
      <c r="C124" s="14">
        <f>_xll.StatMean(B112:B123)</f>
        <v>116.02583333333332</v>
      </c>
      <c r="D124" s="14">
        <f t="shared" si="0"/>
        <v>-1.1958333333333258</v>
      </c>
    </row>
    <row r="125" spans="1:4" ht="15" customHeight="1" x14ac:dyDescent="0.3">
      <c r="A125" s="11">
        <v>43</v>
      </c>
      <c r="B125" s="14">
        <f xml:space="preserve"> 116.84</f>
        <v>116.84</v>
      </c>
      <c r="C125" s="14">
        <f>_xll.StatMean(B113:B124)</f>
        <v>116.15999999999998</v>
      </c>
      <c r="D125" s="14">
        <f t="shared" si="0"/>
        <v>0.68000000000002103</v>
      </c>
    </row>
    <row r="126" spans="1:4" ht="15" customHeight="1" x14ac:dyDescent="0.3">
      <c r="A126" s="11">
        <v>44</v>
      </c>
      <c r="B126" s="14">
        <f xml:space="preserve"> 114.43</f>
        <v>114.43</v>
      </c>
      <c r="C126" s="14">
        <f>_xll.StatMean(B114:B125)</f>
        <v>116.35916666666664</v>
      </c>
      <c r="D126" s="14">
        <f t="shared" si="0"/>
        <v>-1.9291666666666316</v>
      </c>
    </row>
    <row r="127" spans="1:4" ht="15" customHeight="1" x14ac:dyDescent="0.3">
      <c r="A127" s="11">
        <v>45</v>
      </c>
      <c r="B127" s="14">
        <f xml:space="preserve"> 115.11</f>
        <v>115.11</v>
      </c>
      <c r="C127" s="14">
        <f>_xll.StatMean(B115:B126)</f>
        <v>116.26333333333332</v>
      </c>
      <c r="D127" s="14">
        <f t="shared" si="0"/>
        <v>-1.1533333333333218</v>
      </c>
    </row>
    <row r="128" spans="1:4" ht="15" customHeight="1" x14ac:dyDescent="0.3">
      <c r="A128" s="11">
        <v>46</v>
      </c>
      <c r="B128" s="14">
        <f xml:space="preserve"> 115.15</f>
        <v>115.15</v>
      </c>
      <c r="C128" s="14">
        <f>_xll.StatMean(B116:B127)</f>
        <v>116.18499999999999</v>
      </c>
      <c r="D128" s="14">
        <f t="shared" si="0"/>
        <v>-1.0349999999999824</v>
      </c>
    </row>
    <row r="129" spans="1:4" ht="15" customHeight="1" x14ac:dyDescent="0.3">
      <c r="A129" s="11">
        <v>47</v>
      </c>
      <c r="B129" s="14">
        <f xml:space="preserve"> 115.39</f>
        <v>115.39</v>
      </c>
      <c r="C129" s="14">
        <f>_xll.StatMean(B117:B128)</f>
        <v>116.09249999999999</v>
      </c>
      <c r="D129" s="14">
        <f t="shared" si="0"/>
        <v>-0.70249999999998636</v>
      </c>
    </row>
    <row r="130" spans="1:4" ht="15" customHeight="1" x14ac:dyDescent="0.3">
      <c r="A130" s="11">
        <v>48</v>
      </c>
      <c r="B130" s="14">
        <f xml:space="preserve"> 115.44</f>
        <v>115.44</v>
      </c>
      <c r="C130" s="14">
        <f>_xll.StatMean(B118:B129)</f>
        <v>115.86500000000001</v>
      </c>
      <c r="D130" s="14">
        <f t="shared" si="0"/>
        <v>-0.42500000000001137</v>
      </c>
    </row>
    <row r="131" spans="1:4" ht="15" customHeight="1" x14ac:dyDescent="0.3">
      <c r="A131" s="11">
        <v>49</v>
      </c>
      <c r="B131" s="14">
        <f xml:space="preserve"> 114.54</f>
        <v>114.54</v>
      </c>
      <c r="C131" s="14">
        <f>_xll.StatMean(B119:B130)</f>
        <v>115.69416666666667</v>
      </c>
      <c r="D131" s="14">
        <f t="shared" si="0"/>
        <v>-1.1541666666666686</v>
      </c>
    </row>
    <row r="132" spans="1:4" ht="15" customHeight="1" x14ac:dyDescent="0.3">
      <c r="A132" s="11">
        <v>50</v>
      </c>
      <c r="B132" s="14">
        <f xml:space="preserve"> 114.72</f>
        <v>114.72</v>
      </c>
      <c r="C132" s="14">
        <f>_xll.StatMean(B120:B131)</f>
        <v>115.49666666666668</v>
      </c>
      <c r="D132" s="14">
        <f t="shared" si="0"/>
        <v>-0.77666666666668505</v>
      </c>
    </row>
    <row r="133" spans="1:4" ht="15" customHeight="1" x14ac:dyDescent="0.3">
      <c r="A133" s="11">
        <v>51</v>
      </c>
      <c r="B133" s="14">
        <f xml:space="preserve"> 114.59</f>
        <v>114.59</v>
      </c>
      <c r="C133" s="14">
        <f>_xll.StatMean(B121:B132)</f>
        <v>115.34833333333334</v>
      </c>
      <c r="D133" s="14">
        <f t="shared" si="0"/>
        <v>-0.75833333333333997</v>
      </c>
    </row>
    <row r="134" spans="1:4" ht="15" customHeight="1" x14ac:dyDescent="0.3">
      <c r="A134" s="11">
        <v>52</v>
      </c>
      <c r="B134" s="14">
        <f xml:space="preserve"> 114.93</f>
        <v>114.93</v>
      </c>
      <c r="C134" s="14">
        <f>_xll.StatMean(B122:B133)</f>
        <v>115.17583333333333</v>
      </c>
      <c r="D134" s="14">
        <f t="shared" si="0"/>
        <v>-0.24583333333332291</v>
      </c>
    </row>
    <row r="135" spans="1:4" ht="15" customHeight="1" x14ac:dyDescent="0.3">
      <c r="A135" s="11">
        <v>53</v>
      </c>
      <c r="B135" s="14">
        <f xml:space="preserve"> 115.59</f>
        <v>115.59</v>
      </c>
      <c r="C135" s="14">
        <f>_xll.StatMean(B123:B134)</f>
        <v>115.08499999999999</v>
      </c>
      <c r="D135" s="14">
        <f t="shared" si="0"/>
        <v>0.50500000000000966</v>
      </c>
    </row>
    <row r="136" spans="1:4" ht="15" customHeight="1" x14ac:dyDescent="0.3">
      <c r="A136" s="11">
        <v>54</v>
      </c>
      <c r="B136" s="14">
        <f xml:space="preserve"> 116.93</f>
        <v>116.93</v>
      </c>
      <c r="C136" s="14">
        <f>_xll.StatMean(B124:B135)</f>
        <v>115.13</v>
      </c>
      <c r="D136" s="14">
        <f t="shared" si="0"/>
        <v>1.8000000000000114</v>
      </c>
    </row>
    <row r="137" spans="1:4" ht="15" customHeight="1" x14ac:dyDescent="0.3">
      <c r="A137" s="11">
        <v>55</v>
      </c>
      <c r="B137" s="14">
        <f xml:space="preserve"> 116.83</f>
        <v>116.83</v>
      </c>
      <c r="C137" s="14">
        <f>_xll.StatMean(B125:B136)</f>
        <v>115.30499999999999</v>
      </c>
      <c r="D137" s="14">
        <f t="shared" si="0"/>
        <v>1.5250000000000057</v>
      </c>
    </row>
    <row r="138" spans="1:4" ht="15" customHeight="1" x14ac:dyDescent="0.3">
      <c r="A138" s="11">
        <v>56</v>
      </c>
      <c r="B138" s="14">
        <f xml:space="preserve"> 119.89</f>
        <v>119.89</v>
      </c>
      <c r="C138" s="14">
        <f>_xll.StatMean(B126:B137)</f>
        <v>115.30416666666666</v>
      </c>
      <c r="D138" s="14">
        <f t="shared" si="0"/>
        <v>4.5858333333333405</v>
      </c>
    </row>
    <row r="139" spans="1:4" ht="15" customHeight="1" x14ac:dyDescent="0.3">
      <c r="A139" s="11">
        <v>57</v>
      </c>
      <c r="B139" s="14">
        <f xml:space="preserve"> 119.32</f>
        <v>119.32</v>
      </c>
      <c r="C139" s="14">
        <f>_xll.StatMean(B127:B138)</f>
        <v>115.75916666666667</v>
      </c>
      <c r="D139" s="14">
        <f t="shared" si="0"/>
        <v>3.5608333333333206</v>
      </c>
    </row>
    <row r="140" spans="1:4" ht="15" customHeight="1" x14ac:dyDescent="0.3">
      <c r="A140" s="11">
        <v>58</v>
      </c>
      <c r="B140" s="14">
        <f xml:space="preserve"> 118.26</f>
        <v>118.26</v>
      </c>
      <c r="C140" s="14">
        <f>_xll.StatMean(B128:B139)</f>
        <v>116.11</v>
      </c>
      <c r="D140" s="14">
        <f t="shared" si="0"/>
        <v>2.1500000000000057</v>
      </c>
    </row>
    <row r="141" spans="1:4" ht="15" customHeight="1" x14ac:dyDescent="0.3">
      <c r="A141" s="11">
        <v>59</v>
      </c>
      <c r="B141" s="14">
        <f xml:space="preserve"> 120.96</f>
        <v>120.96</v>
      </c>
      <c r="C141" s="14">
        <f>_xll.StatMean(B129:B140)</f>
        <v>116.36916666666667</v>
      </c>
      <c r="D141" s="14">
        <f t="shared" si="0"/>
        <v>4.5908333333333218</v>
      </c>
    </row>
    <row r="142" spans="1:4" ht="15" customHeight="1" x14ac:dyDescent="0.3">
      <c r="A142" s="11">
        <v>60</v>
      </c>
      <c r="B142" s="14">
        <f xml:space="preserve"> 120.85</f>
        <v>120.85</v>
      </c>
      <c r="C142" s="14">
        <f>_xll.StatMean(B130:B141)</f>
        <v>116.83333333333333</v>
      </c>
      <c r="D142" s="14">
        <f t="shared" si="0"/>
        <v>4.0166666666666657</v>
      </c>
    </row>
    <row r="143" spans="1:4" ht="15" customHeight="1" x14ac:dyDescent="0.3">
      <c r="A143" s="11">
        <v>61</v>
      </c>
      <c r="B143" s="14">
        <f xml:space="preserve"> 120.96</f>
        <v>120.96</v>
      </c>
      <c r="C143" s="14">
        <f>_xll.StatMean(B131:B142)</f>
        <v>117.28416666666665</v>
      </c>
      <c r="D143" s="14">
        <f t="shared" si="0"/>
        <v>3.6758333333333439</v>
      </c>
    </row>
    <row r="144" spans="1:4" ht="15" customHeight="1" x14ac:dyDescent="0.3">
      <c r="A144" s="11">
        <v>62</v>
      </c>
      <c r="B144" s="14">
        <f xml:space="preserve"> 121.73</f>
        <v>121.73</v>
      </c>
      <c r="C144" s="14">
        <f>_xll.StatMean(B132:B143)</f>
        <v>117.81916666666666</v>
      </c>
      <c r="D144" s="14">
        <f t="shared" si="0"/>
        <v>3.9108333333333434</v>
      </c>
    </row>
    <row r="145" spans="1:4" ht="15" customHeight="1" x14ac:dyDescent="0.3">
      <c r="A145" s="11">
        <v>63</v>
      </c>
      <c r="B145" s="14">
        <f xml:space="preserve"> 120.32</f>
        <v>120.32</v>
      </c>
      <c r="C145" s="14">
        <f>_xll.StatMean(B133:B144)</f>
        <v>118.40333333333332</v>
      </c>
      <c r="D145" s="14">
        <f t="shared" si="0"/>
        <v>1.9166666666666714</v>
      </c>
    </row>
    <row r="146" spans="1:4" ht="15" customHeight="1" x14ac:dyDescent="0.3">
      <c r="A146" s="11">
        <v>64</v>
      </c>
      <c r="B146" s="14">
        <f xml:space="preserve"> 119.63</f>
        <v>119.63</v>
      </c>
      <c r="C146" s="14">
        <f>_xll.StatMean(B134:B145)</f>
        <v>118.88083333333333</v>
      </c>
      <c r="D146" s="14">
        <f t="shared" si="0"/>
        <v>0.74916666666666742</v>
      </c>
    </row>
    <row r="147" spans="1:4" ht="15" customHeight="1" x14ac:dyDescent="0.3">
      <c r="A147" s="11">
        <v>65</v>
      </c>
      <c r="B147" s="14">
        <f xml:space="preserve"> 118.47</f>
        <v>118.47</v>
      </c>
      <c r="C147" s="14">
        <f>_xll.StatMean(B135:B146)</f>
        <v>119.27249999999999</v>
      </c>
      <c r="D147" s="14">
        <f t="shared" si="0"/>
        <v>-0.80249999999999488</v>
      </c>
    </row>
    <row r="148" spans="1:4" ht="15" customHeight="1" x14ac:dyDescent="0.3">
      <c r="A148" s="11">
        <v>66</v>
      </c>
      <c r="B148" s="14">
        <f xml:space="preserve"> 117.64</f>
        <v>117.64</v>
      </c>
      <c r="C148" s="14">
        <f>_xll.StatMean(B136:B147)</f>
        <v>119.51249999999999</v>
      </c>
      <c r="D148" s="14">
        <f t="shared" si="0"/>
        <v>-1.8724999999999881</v>
      </c>
    </row>
    <row r="149" spans="1:4" ht="15" customHeight="1" x14ac:dyDescent="0.3">
      <c r="A149" s="11">
        <v>67</v>
      </c>
      <c r="B149" s="14">
        <f xml:space="preserve"> 116.11</f>
        <v>116.11</v>
      </c>
      <c r="C149" s="14">
        <f>_xll.StatMean(B137:B148)</f>
        <v>119.57166666666667</v>
      </c>
      <c r="D149" s="14">
        <f t="shared" si="0"/>
        <v>-3.4616666666666731</v>
      </c>
    </row>
    <row r="150" spans="1:4" ht="15" customHeight="1" x14ac:dyDescent="0.3">
      <c r="A150" s="11">
        <v>68</v>
      </c>
      <c r="B150" s="14">
        <f xml:space="preserve"> 115.67</f>
        <v>115.67</v>
      </c>
      <c r="C150" s="14">
        <f>_xll.StatMean(B138:B149)</f>
        <v>119.51166666666667</v>
      </c>
      <c r="D150" s="14">
        <f t="shared" si="0"/>
        <v>-3.8416666666666686</v>
      </c>
    </row>
    <row r="151" spans="1:4" ht="15" customHeight="1" x14ac:dyDescent="0.3">
      <c r="A151" s="11">
        <v>69</v>
      </c>
      <c r="B151" s="14">
        <f xml:space="preserve"> 115.07</f>
        <v>115.07</v>
      </c>
      <c r="C151" s="14">
        <f>_xll.StatMean(B139:B150)</f>
        <v>119.16000000000001</v>
      </c>
      <c r="D151" s="14">
        <f t="shared" si="0"/>
        <v>-4.0900000000000176</v>
      </c>
    </row>
    <row r="152" spans="1:4" ht="15" customHeight="1" x14ac:dyDescent="0.3">
      <c r="A152" s="11">
        <v>70</v>
      </c>
      <c r="B152" s="14">
        <f xml:space="preserve"> 111.16</f>
        <v>111.16</v>
      </c>
      <c r="C152" s="14">
        <f>_xll.StatMean(B140:B151)</f>
        <v>118.80583333333333</v>
      </c>
      <c r="D152" s="14">
        <f t="shared" si="0"/>
        <v>-7.6458333333333286</v>
      </c>
    </row>
    <row r="153" spans="1:4" ht="15" customHeight="1" x14ac:dyDescent="0.3">
      <c r="A153" s="11">
        <v>71</v>
      </c>
      <c r="B153" s="14">
        <f xml:space="preserve"> 111.66</f>
        <v>111.66</v>
      </c>
      <c r="C153" s="14">
        <f>_xll.StatMean(B141:B152)</f>
        <v>118.21416666666666</v>
      </c>
      <c r="D153" s="14">
        <f t="shared" si="0"/>
        <v>-6.55416666666666</v>
      </c>
    </row>
    <row r="154" spans="1:4" ht="15" customHeight="1" x14ac:dyDescent="0.3">
      <c r="A154" s="11">
        <v>72</v>
      </c>
      <c r="B154" s="14">
        <f xml:space="preserve"> 110.43</f>
        <v>110.43</v>
      </c>
      <c r="C154" s="14">
        <f>_xll.StatMean(B142:B153)</f>
        <v>117.43916666666668</v>
      </c>
      <c r="D154" s="14">
        <f t="shared" si="0"/>
        <v>-7.0091666666666725</v>
      </c>
    </row>
    <row r="155" spans="1:4" ht="15" customHeight="1" x14ac:dyDescent="0.3">
      <c r="A155" s="11">
        <v>73</v>
      </c>
      <c r="B155" s="14">
        <f xml:space="preserve"> 111.46</f>
        <v>111.46</v>
      </c>
      <c r="C155" s="14">
        <f>_xll.StatMean(B143:B154)</f>
        <v>116.57083333333334</v>
      </c>
      <c r="D155" s="14">
        <f t="shared" si="0"/>
        <v>-5.1108333333333462</v>
      </c>
    </row>
    <row r="156" spans="1:4" ht="15" customHeight="1" x14ac:dyDescent="0.3">
      <c r="A156" s="11">
        <v>74</v>
      </c>
      <c r="B156" s="14">
        <f xml:space="preserve"> 111.29</f>
        <v>111.29</v>
      </c>
      <c r="C156" s="14">
        <f>_xll.StatMean(B144:B155)</f>
        <v>115.77916666666668</v>
      </c>
      <c r="D156" s="14">
        <f t="shared" si="0"/>
        <v>-4.4891666666666765</v>
      </c>
    </row>
    <row r="157" spans="1:4" ht="15" customHeight="1" x14ac:dyDescent="0.3">
      <c r="A157" s="11">
        <v>75</v>
      </c>
      <c r="B157" s="14">
        <f xml:space="preserve"> 111.28</f>
        <v>111.28</v>
      </c>
      <c r="C157" s="14">
        <f>_xll.StatMean(B145:B156)</f>
        <v>114.90916666666665</v>
      </c>
      <c r="D157" s="14">
        <f t="shared" si="0"/>
        <v>-3.6291666666666487</v>
      </c>
    </row>
    <row r="158" spans="1:4" ht="15" customHeight="1" x14ac:dyDescent="0.3">
      <c r="A158" s="11">
        <v>76</v>
      </c>
      <c r="B158" s="14">
        <f xml:space="preserve"> 111.9</f>
        <v>111.9</v>
      </c>
      <c r="C158" s="14">
        <f>_xll.StatMean(B146:B157)</f>
        <v>114.15583333333332</v>
      </c>
      <c r="D158" s="14">
        <f t="shared" si="0"/>
        <v>-2.2558333333333138</v>
      </c>
    </row>
    <row r="159" spans="1:4" ht="15" customHeight="1" x14ac:dyDescent="0.3">
      <c r="A159" s="11">
        <v>77</v>
      </c>
      <c r="B159" s="14">
        <f xml:space="preserve"> 111.45</f>
        <v>111.45</v>
      </c>
      <c r="C159" s="14">
        <f>_xll.StatMean(B147:B158)</f>
        <v>113.51166666666667</v>
      </c>
      <c r="D159" s="14">
        <f t="shared" si="0"/>
        <v>-2.0616666666666674</v>
      </c>
    </row>
    <row r="160" spans="1:4" ht="15" customHeight="1" x14ac:dyDescent="0.3">
      <c r="A160" s="11">
        <v>78</v>
      </c>
      <c r="B160" s="14">
        <f xml:space="preserve"> 110.78</f>
        <v>110.78</v>
      </c>
      <c r="C160" s="14">
        <f>_xll.StatMean(B148:B159)</f>
        <v>112.92666666666668</v>
      </c>
      <c r="D160" s="14">
        <f t="shared" ref="D160:D223" si="1">B160-C160</f>
        <v>-2.1466666666666754</v>
      </c>
    </row>
    <row r="161" spans="1:4" ht="15" customHeight="1" x14ac:dyDescent="0.3">
      <c r="A161" s="11">
        <v>79</v>
      </c>
      <c r="B161" s="14">
        <f xml:space="preserve"> 110.24</f>
        <v>110.24</v>
      </c>
      <c r="C161" s="14">
        <f>_xll.StatMean(B149:B160)</f>
        <v>112.355</v>
      </c>
      <c r="D161" s="14">
        <f t="shared" si="1"/>
        <v>-2.1150000000000091</v>
      </c>
    </row>
    <row r="162" spans="1:4" ht="15" customHeight="1" x14ac:dyDescent="0.3">
      <c r="A162" s="11">
        <v>80</v>
      </c>
      <c r="B162" s="14">
        <f xml:space="preserve"> 108.86</f>
        <v>108.86</v>
      </c>
      <c r="C162" s="14">
        <f>_xll.StatMean(B150:B161)</f>
        <v>111.86583333333333</v>
      </c>
      <c r="D162" s="14">
        <f t="shared" si="1"/>
        <v>-3.005833333333328</v>
      </c>
    </row>
    <row r="163" spans="1:4" ht="15" customHeight="1" x14ac:dyDescent="0.3">
      <c r="A163" s="11">
        <v>81</v>
      </c>
      <c r="B163" s="14">
        <f xml:space="preserve"> 108.44</f>
        <v>108.44</v>
      </c>
      <c r="C163" s="14">
        <f>_xll.StatMean(B151:B162)</f>
        <v>111.29833333333333</v>
      </c>
      <c r="D163" s="14">
        <f t="shared" si="1"/>
        <v>-2.8583333333333343</v>
      </c>
    </row>
    <row r="164" spans="1:4" ht="15" customHeight="1" x14ac:dyDescent="0.3">
      <c r="A164" s="11">
        <v>82</v>
      </c>
      <c r="B164" s="14">
        <f xml:space="preserve"> 109.96</f>
        <v>109.96</v>
      </c>
      <c r="C164" s="14">
        <f>_xll.StatMean(B152:B163)</f>
        <v>110.74583333333332</v>
      </c>
      <c r="D164" s="14">
        <f t="shared" si="1"/>
        <v>-0.78583333333332916</v>
      </c>
    </row>
    <row r="165" spans="1:4" ht="15" customHeight="1" x14ac:dyDescent="0.3">
      <c r="A165" s="11">
        <v>83</v>
      </c>
      <c r="B165" s="14">
        <f xml:space="preserve"> 110.18</f>
        <v>110.18</v>
      </c>
      <c r="C165" s="14">
        <f>_xll.StatMean(B153:B164)</f>
        <v>110.64583333333333</v>
      </c>
      <c r="D165" s="14">
        <f t="shared" si="1"/>
        <v>-0.46583333333332178</v>
      </c>
    </row>
    <row r="166" spans="1:4" ht="15" customHeight="1" x14ac:dyDescent="0.3">
      <c r="A166" s="11">
        <v>84</v>
      </c>
      <c r="B166" s="14">
        <f xml:space="preserve"> 110.25</f>
        <v>110.25</v>
      </c>
      <c r="C166" s="14">
        <f>_xll.StatMean(B154:B165)</f>
        <v>110.52250000000002</v>
      </c>
      <c r="D166" s="14">
        <f t="shared" si="1"/>
        <v>-0.27250000000002217</v>
      </c>
    </row>
    <row r="167" spans="1:4" ht="15" customHeight="1" x14ac:dyDescent="0.3">
      <c r="A167" s="11">
        <v>85</v>
      </c>
      <c r="B167" s="14">
        <f xml:space="preserve"> 106.71</f>
        <v>106.71</v>
      </c>
      <c r="C167" s="14">
        <f>_xll.StatMean(B155:B166)</f>
        <v>110.50750000000001</v>
      </c>
      <c r="D167" s="14">
        <f t="shared" si="1"/>
        <v>-3.7975000000000136</v>
      </c>
    </row>
    <row r="168" spans="1:4" ht="15" customHeight="1" x14ac:dyDescent="0.3">
      <c r="A168" s="11">
        <v>86</v>
      </c>
      <c r="B168" s="14">
        <f xml:space="preserve"> 106.84</f>
        <v>106.84</v>
      </c>
      <c r="C168" s="14">
        <f>_xll.StatMean(B156:B167)</f>
        <v>110.11166666666668</v>
      </c>
      <c r="D168" s="14">
        <f t="shared" si="1"/>
        <v>-3.2716666666666754</v>
      </c>
    </row>
    <row r="169" spans="1:4" ht="15" customHeight="1" x14ac:dyDescent="0.3">
      <c r="A169" s="11">
        <v>87</v>
      </c>
      <c r="B169" s="14">
        <f xml:space="preserve"> 107.17</f>
        <v>107.17</v>
      </c>
      <c r="C169" s="14">
        <f>_xll.StatMean(B157:B168)</f>
        <v>109.74083333333334</v>
      </c>
      <c r="D169" s="14">
        <f t="shared" si="1"/>
        <v>-2.57083333333334</v>
      </c>
    </row>
    <row r="170" spans="1:4" ht="15" customHeight="1" x14ac:dyDescent="0.3">
      <c r="A170" s="11">
        <v>88</v>
      </c>
      <c r="B170" s="14">
        <f xml:space="preserve"> 106.1</f>
        <v>106.1</v>
      </c>
      <c r="C170" s="14">
        <f>_xll.StatMean(B158:B169)</f>
        <v>109.39833333333335</v>
      </c>
      <c r="D170" s="14">
        <f t="shared" si="1"/>
        <v>-3.2983333333333604</v>
      </c>
    </row>
    <row r="171" spans="1:4" ht="15" customHeight="1" x14ac:dyDescent="0.3">
      <c r="A171" s="11">
        <v>89</v>
      </c>
      <c r="B171" s="14">
        <f xml:space="preserve"> 103.89</f>
        <v>103.89</v>
      </c>
      <c r="C171" s="14">
        <f>_xll.StatMean(B159:B170)</f>
        <v>108.91500000000001</v>
      </c>
      <c r="D171" s="14">
        <f t="shared" si="1"/>
        <v>-5.0250000000000057</v>
      </c>
    </row>
    <row r="172" spans="1:4" ht="15" customHeight="1" x14ac:dyDescent="0.3">
      <c r="A172" s="11">
        <v>90</v>
      </c>
      <c r="B172" s="14">
        <f xml:space="preserve"> 102.81</f>
        <v>102.81</v>
      </c>
      <c r="C172" s="14">
        <f>_xll.StatMean(B160:B171)</f>
        <v>108.28500000000001</v>
      </c>
      <c r="D172" s="14">
        <f t="shared" si="1"/>
        <v>-5.4750000000000085</v>
      </c>
    </row>
    <row r="173" spans="1:4" ht="15" customHeight="1" x14ac:dyDescent="0.3">
      <c r="A173" s="11">
        <v>91</v>
      </c>
      <c r="B173" s="14">
        <f xml:space="preserve"> 106.11</f>
        <v>106.11</v>
      </c>
      <c r="C173" s="14">
        <f>_xll.StatMean(B161:B172)</f>
        <v>107.62083333333334</v>
      </c>
      <c r="D173" s="14">
        <f t="shared" si="1"/>
        <v>-1.5108333333333377</v>
      </c>
    </row>
    <row r="174" spans="1:4" ht="15" customHeight="1" x14ac:dyDescent="0.3">
      <c r="A174" s="11">
        <v>92</v>
      </c>
      <c r="B174" s="14">
        <f xml:space="preserve"> 105.29</f>
        <v>105.29</v>
      </c>
      <c r="C174" s="14">
        <f>_xll.StatMean(B162:B173)</f>
        <v>107.27666666666666</v>
      </c>
      <c r="D174" s="14">
        <f t="shared" si="1"/>
        <v>-1.9866666666666504</v>
      </c>
    </row>
    <row r="175" spans="1:4" ht="15" customHeight="1" x14ac:dyDescent="0.3">
      <c r="A175" s="11">
        <v>93</v>
      </c>
      <c r="B175" s="14">
        <f xml:space="preserve"> 105.67</f>
        <v>105.67</v>
      </c>
      <c r="C175" s="14">
        <f>_xll.StatMean(B163:B174)</f>
        <v>106.97916666666664</v>
      </c>
      <c r="D175" s="14">
        <f t="shared" si="1"/>
        <v>-1.3091666666666413</v>
      </c>
    </row>
    <row r="176" spans="1:4" ht="15" customHeight="1" x14ac:dyDescent="0.3">
      <c r="A176" s="11">
        <v>94</v>
      </c>
      <c r="B176" s="14">
        <f xml:space="preserve"> 105.13</f>
        <v>105.13</v>
      </c>
      <c r="C176" s="14">
        <f>_xll.StatMean(B164:B175)</f>
        <v>106.74833333333332</v>
      </c>
      <c r="D176" s="14">
        <f t="shared" si="1"/>
        <v>-1.6183333333333252</v>
      </c>
    </row>
    <row r="177" spans="1:4" ht="15" customHeight="1" x14ac:dyDescent="0.3">
      <c r="A177" s="11">
        <v>95</v>
      </c>
      <c r="B177" s="14">
        <f xml:space="preserve"> 105.6</f>
        <v>105.6</v>
      </c>
      <c r="C177" s="14">
        <f>_xll.StatMean(B165:B176)</f>
        <v>106.34583333333335</v>
      </c>
      <c r="D177" s="14">
        <f t="shared" si="1"/>
        <v>-0.74583333333335133</v>
      </c>
    </row>
    <row r="178" spans="1:4" ht="15" customHeight="1" x14ac:dyDescent="0.3">
      <c r="A178" s="11">
        <v>96</v>
      </c>
      <c r="B178" s="14">
        <f xml:space="preserve"> 106.52</f>
        <v>106.52</v>
      </c>
      <c r="C178" s="14">
        <f>_xll.StatMean(B166:B177)</f>
        <v>105.96416666666664</v>
      </c>
      <c r="D178" s="14">
        <f t="shared" si="1"/>
        <v>0.55583333333335361</v>
      </c>
    </row>
    <row r="179" spans="1:4" ht="15" customHeight="1" x14ac:dyDescent="0.3">
      <c r="A179" s="11">
        <v>97</v>
      </c>
      <c r="B179" s="14">
        <f xml:space="preserve"> 105.06</f>
        <v>105.06</v>
      </c>
      <c r="C179" s="14">
        <f>_xll.StatMean(B167:B178)</f>
        <v>105.65333333333331</v>
      </c>
      <c r="D179" s="14">
        <f t="shared" si="1"/>
        <v>-0.59333333333330529</v>
      </c>
    </row>
    <row r="180" spans="1:4" ht="15" customHeight="1" x14ac:dyDescent="0.3">
      <c r="A180" s="11">
        <v>98</v>
      </c>
      <c r="B180" s="14">
        <f xml:space="preserve"> 105.97</f>
        <v>105.97</v>
      </c>
      <c r="C180" s="14">
        <f>_xll.StatMean(B168:B179)</f>
        <v>105.51583333333332</v>
      </c>
      <c r="D180" s="14">
        <f t="shared" si="1"/>
        <v>0.45416666666667993</v>
      </c>
    </row>
    <row r="181" spans="1:4" ht="15" customHeight="1" x14ac:dyDescent="0.3">
      <c r="A181" s="11">
        <v>99</v>
      </c>
      <c r="B181" s="14">
        <f xml:space="preserve"> 105.61</f>
        <v>105.61</v>
      </c>
      <c r="C181" s="14">
        <f>_xll.StatMean(B169:B180)</f>
        <v>105.44333333333333</v>
      </c>
      <c r="D181" s="14">
        <f t="shared" si="1"/>
        <v>0.1666666666666714</v>
      </c>
    </row>
    <row r="182" spans="1:4" ht="15" customHeight="1" x14ac:dyDescent="0.3">
      <c r="A182" s="11">
        <v>100</v>
      </c>
      <c r="B182" s="14">
        <f xml:space="preserve"> 105.62</f>
        <v>105.62</v>
      </c>
      <c r="C182" s="14">
        <f>_xll.StatMean(B170:B181)</f>
        <v>105.31333333333333</v>
      </c>
      <c r="D182" s="14">
        <f t="shared" si="1"/>
        <v>0.30666666666667197</v>
      </c>
    </row>
    <row r="183" spans="1:4" ht="15" customHeight="1" x14ac:dyDescent="0.3">
      <c r="A183" s="11">
        <v>101</v>
      </c>
      <c r="B183" s="14">
        <f xml:space="preserve"> 107.69</f>
        <v>107.69</v>
      </c>
      <c r="C183" s="14">
        <f>_xll.StatMean(B171:B182)</f>
        <v>105.27333333333331</v>
      </c>
      <c r="D183" s="14">
        <f t="shared" si="1"/>
        <v>2.4166666666666856</v>
      </c>
    </row>
    <row r="184" spans="1:4" ht="15" customHeight="1" x14ac:dyDescent="0.3">
      <c r="A184" s="11">
        <v>102</v>
      </c>
      <c r="B184" s="14">
        <f xml:space="preserve"> 108.58</f>
        <v>108.58</v>
      </c>
      <c r="C184" s="14">
        <f>_xll.StatMean(B172:B183)</f>
        <v>105.58999999999999</v>
      </c>
      <c r="D184" s="14">
        <f t="shared" si="1"/>
        <v>2.9900000000000091</v>
      </c>
    </row>
    <row r="185" spans="1:4" ht="15" customHeight="1" x14ac:dyDescent="0.3">
      <c r="A185" s="11">
        <v>103</v>
      </c>
      <c r="B185" s="14">
        <f xml:space="preserve"> 109.21</f>
        <v>109.21</v>
      </c>
      <c r="C185" s="14">
        <f>_xll.StatMean(B173:B184)</f>
        <v>106.07083333333333</v>
      </c>
      <c r="D185" s="14">
        <f t="shared" si="1"/>
        <v>3.139166666666668</v>
      </c>
    </row>
    <row r="186" spans="1:4" ht="15" customHeight="1" x14ac:dyDescent="0.3">
      <c r="A186" s="11">
        <v>104</v>
      </c>
      <c r="B186" s="14">
        <f xml:space="preserve"> 108.75</f>
        <v>108.75</v>
      </c>
      <c r="C186" s="14">
        <f>_xll.StatMean(B174:B185)</f>
        <v>106.32916666666667</v>
      </c>
      <c r="D186" s="14">
        <f t="shared" si="1"/>
        <v>2.4208333333333343</v>
      </c>
    </row>
    <row r="187" spans="1:4" ht="15" customHeight="1" x14ac:dyDescent="0.3">
      <c r="A187" s="11">
        <v>105</v>
      </c>
      <c r="B187" s="14">
        <f xml:space="preserve"> 108.28</f>
        <v>108.28</v>
      </c>
      <c r="C187" s="14">
        <f>_xll.StatMean(B175:B186)</f>
        <v>106.61750000000001</v>
      </c>
      <c r="D187" s="14">
        <f t="shared" si="1"/>
        <v>1.6624999999999943</v>
      </c>
    </row>
    <row r="188" spans="1:4" ht="15" customHeight="1" x14ac:dyDescent="0.3">
      <c r="A188" s="11">
        <v>106</v>
      </c>
      <c r="B188" s="14">
        <f xml:space="preserve"> 106.6</f>
        <v>106.6</v>
      </c>
      <c r="C188" s="14">
        <f>_xll.StatMean(B176:B187)</f>
        <v>106.83499999999999</v>
      </c>
      <c r="D188" s="14">
        <f t="shared" si="1"/>
        <v>-0.23499999999999943</v>
      </c>
    </row>
    <row r="189" spans="1:4" ht="15" customHeight="1" x14ac:dyDescent="0.3">
      <c r="A189" s="11">
        <v>107</v>
      </c>
      <c r="B189" s="14">
        <f xml:space="preserve"> 106.15</f>
        <v>106.15</v>
      </c>
      <c r="C189" s="14">
        <f>_xll.StatMean(B177:B188)</f>
        <v>106.9575</v>
      </c>
      <c r="D189" s="14">
        <f t="shared" si="1"/>
        <v>-0.80749999999999034</v>
      </c>
    </row>
    <row r="190" spans="1:4" ht="15" customHeight="1" x14ac:dyDescent="0.3">
      <c r="A190" s="11">
        <v>108</v>
      </c>
      <c r="B190" s="14">
        <f xml:space="preserve"> 107.04</f>
        <v>107.04</v>
      </c>
      <c r="C190" s="14">
        <f>_xll.StatMean(B178:B189)</f>
        <v>107.00333333333334</v>
      </c>
      <c r="D190" s="14">
        <f t="shared" si="1"/>
        <v>3.666666666666174E-2</v>
      </c>
    </row>
    <row r="191" spans="1:4" ht="15" customHeight="1" x14ac:dyDescent="0.3">
      <c r="A191" s="11">
        <v>109</v>
      </c>
      <c r="B191" s="14">
        <f xml:space="preserve"> 107.6</f>
        <v>107.6</v>
      </c>
      <c r="C191" s="14">
        <f>_xll.StatMean(B179:B190)</f>
        <v>107.04666666666668</v>
      </c>
      <c r="D191" s="14">
        <f t="shared" si="1"/>
        <v>0.55333333333331325</v>
      </c>
    </row>
    <row r="192" spans="1:4" ht="15" customHeight="1" x14ac:dyDescent="0.3">
      <c r="A192" s="11">
        <v>110</v>
      </c>
      <c r="B192" s="14">
        <f xml:space="preserve"> 108.01</f>
        <v>108.01</v>
      </c>
      <c r="C192" s="14">
        <f>_xll.StatMean(B180:B191)</f>
        <v>107.25833333333333</v>
      </c>
      <c r="D192" s="14">
        <f t="shared" si="1"/>
        <v>0.75166666666667936</v>
      </c>
    </row>
    <row r="193" spans="1:4" ht="15" customHeight="1" x14ac:dyDescent="0.3">
      <c r="A193" s="11">
        <v>111</v>
      </c>
      <c r="B193" s="14">
        <f xml:space="preserve"> 107.97</f>
        <v>107.97</v>
      </c>
      <c r="C193" s="14">
        <f>_xll.StatMean(B181:B192)</f>
        <v>107.42833333333333</v>
      </c>
      <c r="D193" s="14">
        <f t="shared" si="1"/>
        <v>0.5416666666666714</v>
      </c>
    </row>
    <row r="194" spans="1:4" ht="15" customHeight="1" x14ac:dyDescent="0.3">
      <c r="A194" s="11">
        <v>112</v>
      </c>
      <c r="B194" s="14">
        <f xml:space="preserve"> 107.43</f>
        <v>107.43</v>
      </c>
      <c r="C194" s="14">
        <f>_xll.StatMean(B182:B193)</f>
        <v>107.62499999999999</v>
      </c>
      <c r="D194" s="14">
        <f t="shared" si="1"/>
        <v>-0.19499999999997897</v>
      </c>
    </row>
    <row r="195" spans="1:4" ht="15" customHeight="1" x14ac:dyDescent="0.3">
      <c r="A195" s="11">
        <v>113</v>
      </c>
      <c r="B195" s="14">
        <f xml:space="preserve"> 107.57</f>
        <v>107.57</v>
      </c>
      <c r="C195" s="14">
        <f>_xll.StatMean(B183:B194)</f>
        <v>107.77583333333335</v>
      </c>
      <c r="D195" s="14">
        <f t="shared" si="1"/>
        <v>-0.20583333333335929</v>
      </c>
    </row>
    <row r="196" spans="1:4" ht="15" customHeight="1" x14ac:dyDescent="0.3">
      <c r="A196" s="11">
        <v>114</v>
      </c>
      <c r="B196" s="14">
        <f xml:space="preserve"> 107.22</f>
        <v>107.22</v>
      </c>
      <c r="C196" s="14">
        <f>_xll.StatMean(B184:B195)</f>
        <v>107.76583333333332</v>
      </c>
      <c r="D196" s="14">
        <f t="shared" si="1"/>
        <v>-0.54583333333332007</v>
      </c>
    </row>
    <row r="197" spans="1:4" ht="15" customHeight="1" x14ac:dyDescent="0.3">
      <c r="A197" s="11">
        <v>115</v>
      </c>
      <c r="B197" s="14">
        <f xml:space="preserve"> 107.58</f>
        <v>107.58</v>
      </c>
      <c r="C197" s="14">
        <f>_xll.StatMean(B185:B196)</f>
        <v>107.65249999999999</v>
      </c>
      <c r="D197" s="14">
        <f t="shared" si="1"/>
        <v>-7.2499999999990905E-2</v>
      </c>
    </row>
    <row r="198" spans="1:4" ht="15" customHeight="1" x14ac:dyDescent="0.3">
      <c r="A198" s="11">
        <v>116</v>
      </c>
      <c r="B198" s="14">
        <f xml:space="preserve"> 108.25</f>
        <v>108.25</v>
      </c>
      <c r="C198" s="14">
        <f>_xll.StatMean(B186:B197)</f>
        <v>107.51666666666665</v>
      </c>
      <c r="D198" s="14">
        <f t="shared" si="1"/>
        <v>0.73333333333334849</v>
      </c>
    </row>
    <row r="199" spans="1:4" ht="15" customHeight="1" x14ac:dyDescent="0.3">
      <c r="A199" s="11">
        <v>117</v>
      </c>
      <c r="B199" s="14">
        <f xml:space="preserve"> 112.69</f>
        <v>112.69</v>
      </c>
      <c r="C199" s="14">
        <f>_xll.StatMean(B187:B198)</f>
        <v>107.47499999999998</v>
      </c>
      <c r="D199" s="14">
        <f t="shared" si="1"/>
        <v>5.2150000000000176</v>
      </c>
    </row>
    <row r="200" spans="1:4" ht="15" customHeight="1" x14ac:dyDescent="0.3">
      <c r="A200" s="11">
        <v>118</v>
      </c>
      <c r="B200" s="14">
        <f xml:space="preserve"> 112.43</f>
        <v>112.43</v>
      </c>
      <c r="C200" s="14">
        <f>_xll.StatMean(B188:B199)</f>
        <v>107.84249999999999</v>
      </c>
      <c r="D200" s="14">
        <f t="shared" si="1"/>
        <v>4.5875000000000199</v>
      </c>
    </row>
    <row r="201" spans="1:4" ht="15" customHeight="1" x14ac:dyDescent="0.3">
      <c r="A201" s="11">
        <v>119</v>
      </c>
      <c r="B201" s="14">
        <f xml:space="preserve"> 111.93</f>
        <v>111.93</v>
      </c>
      <c r="C201" s="14">
        <f>_xll.StatMean(B189:B200)</f>
        <v>108.32833333333336</v>
      </c>
      <c r="D201" s="14">
        <f t="shared" si="1"/>
        <v>3.6016666666666453</v>
      </c>
    </row>
    <row r="202" spans="1:4" ht="15" customHeight="1" x14ac:dyDescent="0.3">
      <c r="A202" s="11">
        <v>120</v>
      </c>
      <c r="B202" s="14">
        <f xml:space="preserve"> 112.1</f>
        <v>112.1</v>
      </c>
      <c r="C202" s="14">
        <f>_xll.StatMean(B190:B201)</f>
        <v>108.81</v>
      </c>
      <c r="D202" s="14">
        <f t="shared" si="1"/>
        <v>3.289999999999992</v>
      </c>
    </row>
    <row r="203" spans="1:4" ht="15" customHeight="1" x14ac:dyDescent="0.3">
      <c r="A203" s="11">
        <v>121</v>
      </c>
      <c r="B203" s="14">
        <f xml:space="preserve"> 111.18</f>
        <v>111.18</v>
      </c>
      <c r="C203" s="14">
        <f>_xll.StatMean(B191:B202)</f>
        <v>109.23166666666668</v>
      </c>
      <c r="D203" s="14">
        <f t="shared" si="1"/>
        <v>1.9483333333333235</v>
      </c>
    </row>
    <row r="204" spans="1:4" ht="15" customHeight="1" x14ac:dyDescent="0.3">
      <c r="A204" s="11">
        <v>122</v>
      </c>
      <c r="B204" s="14">
        <f xml:space="preserve"> 112.91</f>
        <v>112.91</v>
      </c>
      <c r="C204" s="14">
        <f>_xll.StatMean(B192:B203)</f>
        <v>109.53000000000002</v>
      </c>
      <c r="D204" s="14">
        <f t="shared" si="1"/>
        <v>3.3799999999999812</v>
      </c>
    </row>
    <row r="205" spans="1:4" ht="15" customHeight="1" x14ac:dyDescent="0.3">
      <c r="A205" s="11">
        <v>123</v>
      </c>
      <c r="B205" s="14">
        <f xml:space="preserve"> 113.29</f>
        <v>113.29</v>
      </c>
      <c r="C205" s="14">
        <f>_xll.StatMean(B193:B204)</f>
        <v>109.93833333333335</v>
      </c>
      <c r="D205" s="14">
        <f t="shared" si="1"/>
        <v>3.3516666666666595</v>
      </c>
    </row>
    <row r="206" spans="1:4" ht="15" customHeight="1" x14ac:dyDescent="0.3">
      <c r="A206" s="11">
        <v>124</v>
      </c>
      <c r="B206" s="14">
        <f xml:space="preserve"> 112.71</f>
        <v>112.71</v>
      </c>
      <c r="C206" s="14">
        <f>_xll.StatMean(B194:B205)</f>
        <v>110.38166666666667</v>
      </c>
      <c r="D206" s="14">
        <f t="shared" si="1"/>
        <v>2.3283333333333189</v>
      </c>
    </row>
    <row r="207" spans="1:4" ht="15" customHeight="1" x14ac:dyDescent="0.3">
      <c r="A207" s="11">
        <v>125</v>
      </c>
      <c r="B207" s="14">
        <f xml:space="preserve"> 112.9</f>
        <v>112.9</v>
      </c>
      <c r="C207" s="14">
        <f>_xll.StatMean(B195:B206)</f>
        <v>110.82166666666667</v>
      </c>
      <c r="D207" s="14">
        <f t="shared" si="1"/>
        <v>2.0783333333333331</v>
      </c>
    </row>
    <row r="208" spans="1:4" ht="15" customHeight="1" x14ac:dyDescent="0.3">
      <c r="A208" s="11">
        <v>126</v>
      </c>
      <c r="B208" s="14">
        <f xml:space="preserve"> 112.12</f>
        <v>112.12</v>
      </c>
      <c r="C208" s="14">
        <f>_xll.StatMean(B196:B207)</f>
        <v>111.26583333333336</v>
      </c>
      <c r="D208" s="14">
        <f t="shared" si="1"/>
        <v>0.85416666666664298</v>
      </c>
    </row>
    <row r="209" spans="1:4" ht="15" customHeight="1" x14ac:dyDescent="0.3">
      <c r="A209" s="11">
        <v>127</v>
      </c>
      <c r="B209" s="14">
        <f xml:space="preserve"> 112.07</f>
        <v>112.07</v>
      </c>
      <c r="C209" s="14">
        <f>_xll.StatMean(B197:B208)</f>
        <v>111.67416666666668</v>
      </c>
      <c r="D209" s="14">
        <f t="shared" si="1"/>
        <v>0.39583333333331439</v>
      </c>
    </row>
    <row r="210" spans="1:4" ht="15" customHeight="1" x14ac:dyDescent="0.3">
      <c r="A210" s="11">
        <v>128</v>
      </c>
      <c r="B210" s="14">
        <f xml:space="preserve"> 112.43</f>
        <v>112.43</v>
      </c>
      <c r="C210" s="14">
        <f>_xll.StatMean(B198:B209)</f>
        <v>112.0483333333333</v>
      </c>
      <c r="D210" s="14">
        <f t="shared" si="1"/>
        <v>0.38166666666670324</v>
      </c>
    </row>
    <row r="211" spans="1:4" ht="15" customHeight="1" x14ac:dyDescent="0.3">
      <c r="A211" s="11">
        <v>129</v>
      </c>
      <c r="B211" s="14">
        <f xml:space="preserve"> 110.6</f>
        <v>110.6</v>
      </c>
      <c r="C211" s="14">
        <f>_xll.StatMean(B199:B210)</f>
        <v>112.39666666666665</v>
      </c>
      <c r="D211" s="14">
        <f t="shared" si="1"/>
        <v>-1.7966666666666526</v>
      </c>
    </row>
    <row r="212" spans="1:4" ht="15" customHeight="1" x14ac:dyDescent="0.3">
      <c r="A212" s="11">
        <v>130</v>
      </c>
      <c r="B212" s="14">
        <f xml:space="preserve"> 111.44</f>
        <v>111.44</v>
      </c>
      <c r="C212" s="14">
        <f>_xll.StatMean(B200:B211)</f>
        <v>112.22250000000001</v>
      </c>
      <c r="D212" s="14">
        <f t="shared" si="1"/>
        <v>-0.78250000000001307</v>
      </c>
    </row>
    <row r="213" spans="1:4" ht="15" customHeight="1" x14ac:dyDescent="0.3">
      <c r="A213" s="11">
        <v>131</v>
      </c>
      <c r="B213" s="14">
        <f xml:space="preserve"> 109.56</f>
        <v>109.56</v>
      </c>
      <c r="C213" s="14">
        <f>_xll.StatMean(B201:B212)</f>
        <v>112.14</v>
      </c>
      <c r="D213" s="14">
        <f t="shared" si="1"/>
        <v>-2.5799999999999983</v>
      </c>
    </row>
    <row r="214" spans="1:4" ht="15" customHeight="1" x14ac:dyDescent="0.3">
      <c r="A214" s="11">
        <v>132</v>
      </c>
      <c r="B214" s="14">
        <f xml:space="preserve"> 110.24</f>
        <v>110.24</v>
      </c>
      <c r="C214" s="14">
        <f>_xll.StatMean(B202:B213)</f>
        <v>111.9425</v>
      </c>
      <c r="D214" s="14">
        <f t="shared" si="1"/>
        <v>-1.7025000000000006</v>
      </c>
    </row>
    <row r="215" spans="1:4" ht="15" customHeight="1" x14ac:dyDescent="0.3">
      <c r="A215" s="11">
        <v>133</v>
      </c>
      <c r="B215" s="14">
        <f xml:space="preserve"> 108.74</f>
        <v>108.74</v>
      </c>
      <c r="C215" s="14">
        <f>_xll.StatMean(B203:B214)</f>
        <v>111.78750000000001</v>
      </c>
      <c r="D215" s="14">
        <f t="shared" si="1"/>
        <v>-3.0475000000000136</v>
      </c>
    </row>
    <row r="216" spans="1:4" ht="15" customHeight="1" x14ac:dyDescent="0.3">
      <c r="A216" s="11">
        <v>134</v>
      </c>
      <c r="B216" s="14">
        <f xml:space="preserve"> 107.08</f>
        <v>107.08</v>
      </c>
      <c r="C216" s="14">
        <f>_xll.StatMean(B204:B215)</f>
        <v>111.58416666666666</v>
      </c>
      <c r="D216" s="14">
        <f t="shared" si="1"/>
        <v>-4.5041666666666629</v>
      </c>
    </row>
    <row r="217" spans="1:4" ht="15" customHeight="1" x14ac:dyDescent="0.3">
      <c r="A217" s="11">
        <v>135</v>
      </c>
      <c r="B217" s="14">
        <f xml:space="preserve"> 106.82</f>
        <v>106.82</v>
      </c>
      <c r="C217" s="14">
        <f>_xll.StatMean(B205:B216)</f>
        <v>111.09833333333331</v>
      </c>
      <c r="D217" s="14">
        <f t="shared" si="1"/>
        <v>-4.2783333333333218</v>
      </c>
    </row>
    <row r="218" spans="1:4" ht="15" customHeight="1" x14ac:dyDescent="0.3">
      <c r="A218" s="11">
        <v>136</v>
      </c>
      <c r="B218" s="14">
        <f xml:space="preserve"> 106.41</f>
        <v>106.41</v>
      </c>
      <c r="C218" s="14">
        <f>_xll.StatMean(B206:B217)</f>
        <v>110.55916666666666</v>
      </c>
      <c r="D218" s="14">
        <f t="shared" si="1"/>
        <v>-4.1491666666666589</v>
      </c>
    </row>
    <row r="219" spans="1:4" ht="15" customHeight="1" x14ac:dyDescent="0.3">
      <c r="A219" s="11">
        <v>137</v>
      </c>
      <c r="B219" s="14">
        <f xml:space="preserve"> 106.42</f>
        <v>106.42</v>
      </c>
      <c r="C219" s="14">
        <f>_xll.StatMean(B207:B218)</f>
        <v>110.03416666666665</v>
      </c>
      <c r="D219" s="14">
        <f t="shared" si="1"/>
        <v>-3.6141666666666481</v>
      </c>
    </row>
    <row r="220" spans="1:4" ht="15" customHeight="1" x14ac:dyDescent="0.3">
      <c r="A220" s="11">
        <v>138</v>
      </c>
      <c r="B220" s="14">
        <f xml:space="preserve"> 106.75</f>
        <v>106.75</v>
      </c>
      <c r="C220" s="14">
        <f>_xll.StatMean(B208:B219)</f>
        <v>109.49416666666669</v>
      </c>
      <c r="D220" s="14">
        <f t="shared" si="1"/>
        <v>-2.7441666666666862</v>
      </c>
    </row>
    <row r="221" spans="1:4" ht="15" customHeight="1" x14ac:dyDescent="0.3">
      <c r="A221" s="11">
        <v>139</v>
      </c>
      <c r="B221" s="14">
        <f xml:space="preserve"> 105.84</f>
        <v>105.84</v>
      </c>
      <c r="C221" s="14">
        <f>_xll.StatMean(B209:B220)</f>
        <v>109.04666666666668</v>
      </c>
      <c r="D221" s="14">
        <f t="shared" si="1"/>
        <v>-3.2066666666666777</v>
      </c>
    </row>
    <row r="222" spans="1:4" ht="15" customHeight="1" x14ac:dyDescent="0.3">
      <c r="A222" s="11">
        <v>140</v>
      </c>
      <c r="B222" s="14">
        <f xml:space="preserve"> 105.72</f>
        <v>105.72</v>
      </c>
      <c r="C222" s="14">
        <f>_xll.StatMean(B210:B221)</f>
        <v>108.52749999999999</v>
      </c>
      <c r="D222" s="14">
        <f t="shared" si="1"/>
        <v>-2.8074999999999903</v>
      </c>
    </row>
    <row r="223" spans="1:4" ht="15" customHeight="1" x14ac:dyDescent="0.3">
      <c r="A223" s="11">
        <v>141</v>
      </c>
      <c r="B223" s="14">
        <f xml:space="preserve"> 106.3</f>
        <v>106.3</v>
      </c>
      <c r="C223" s="14">
        <f>_xll.StatMean(B211:B222)</f>
        <v>107.96833333333332</v>
      </c>
      <c r="D223" s="14">
        <f t="shared" si="1"/>
        <v>-1.6683333333333223</v>
      </c>
    </row>
    <row r="224" spans="1:4" ht="15" customHeight="1" x14ac:dyDescent="0.3">
      <c r="A224" s="11">
        <v>142</v>
      </c>
      <c r="B224" s="14">
        <f xml:space="preserve"> 104.22</f>
        <v>104.22</v>
      </c>
      <c r="C224" s="14">
        <f>_xll.StatMean(B212:B223)</f>
        <v>107.61</v>
      </c>
      <c r="D224" s="14">
        <f t="shared" ref="D224:D287" si="2">B224-C224</f>
        <v>-3.3900000000000006</v>
      </c>
    </row>
    <row r="225" spans="1:4" ht="15" customHeight="1" x14ac:dyDescent="0.3">
      <c r="A225" s="11">
        <v>143</v>
      </c>
      <c r="B225" s="14">
        <f xml:space="preserve"> 104.16</f>
        <v>104.16</v>
      </c>
      <c r="C225" s="14">
        <f>_xll.StatMean(B213:B224)</f>
        <v>107.00833333333333</v>
      </c>
      <c r="D225" s="14">
        <f t="shared" si="2"/>
        <v>-2.8483333333333292</v>
      </c>
    </row>
    <row r="226" spans="1:4" ht="15" customHeight="1" x14ac:dyDescent="0.3">
      <c r="A226" s="11">
        <v>144</v>
      </c>
      <c r="B226" s="14">
        <f xml:space="preserve"> 103.72</f>
        <v>103.72</v>
      </c>
      <c r="C226" s="14">
        <f>_xll.StatMean(B214:B225)</f>
        <v>106.55833333333334</v>
      </c>
      <c r="D226" s="14">
        <f t="shared" si="2"/>
        <v>-2.8383333333333383</v>
      </c>
    </row>
    <row r="227" spans="1:4" ht="15" customHeight="1" x14ac:dyDescent="0.3">
      <c r="A227" s="11">
        <v>145</v>
      </c>
      <c r="B227" s="14">
        <f xml:space="preserve"> 104.41</f>
        <v>104.41</v>
      </c>
      <c r="C227" s="14">
        <f>_xll.StatMean(B215:B226)</f>
        <v>106.015</v>
      </c>
      <c r="D227" s="14">
        <f t="shared" si="2"/>
        <v>-1.605000000000004</v>
      </c>
    </row>
    <row r="228" spans="1:4" ht="15" customHeight="1" x14ac:dyDescent="0.3">
      <c r="A228" s="11">
        <v>146</v>
      </c>
      <c r="B228" s="14">
        <f xml:space="preserve"> 104.13</f>
        <v>104.13</v>
      </c>
      <c r="C228" s="14">
        <f>_xll.StatMean(B216:B227)</f>
        <v>105.65416666666668</v>
      </c>
      <c r="D228" s="14">
        <f t="shared" si="2"/>
        <v>-1.5241666666666873</v>
      </c>
    </row>
    <row r="229" spans="1:4" ht="15" customHeight="1" x14ac:dyDescent="0.3">
      <c r="A229" s="11">
        <v>147</v>
      </c>
      <c r="B229" s="14">
        <f xml:space="preserve"> 104.98</f>
        <v>104.98</v>
      </c>
      <c r="C229" s="14">
        <f>_xll.StatMean(B217:B228)</f>
        <v>105.40833333333335</v>
      </c>
      <c r="D229" s="14">
        <f t="shared" si="2"/>
        <v>-0.42833333333334167</v>
      </c>
    </row>
    <row r="230" spans="1:4" ht="15" customHeight="1" x14ac:dyDescent="0.3">
      <c r="A230" s="11">
        <v>148</v>
      </c>
      <c r="B230" s="14">
        <f xml:space="preserve"> 106.76</f>
        <v>106.76</v>
      </c>
      <c r="C230" s="14">
        <f>_xll.StatMean(B218:B229)</f>
        <v>105.255</v>
      </c>
      <c r="D230" s="14">
        <f t="shared" si="2"/>
        <v>1.5050000000000097</v>
      </c>
    </row>
    <row r="231" spans="1:4" ht="15" customHeight="1" x14ac:dyDescent="0.3">
      <c r="A231" s="11">
        <v>149</v>
      </c>
      <c r="B231" s="14">
        <f xml:space="preserve"> 109.25</f>
        <v>109.25</v>
      </c>
      <c r="C231" s="14">
        <f>_xll.StatMean(B219:B230)</f>
        <v>105.28416666666668</v>
      </c>
      <c r="D231" s="14">
        <f t="shared" si="2"/>
        <v>3.9658333333333218</v>
      </c>
    </row>
    <row r="232" spans="1:4" ht="15" customHeight="1" x14ac:dyDescent="0.3">
      <c r="A232" s="11">
        <v>150</v>
      </c>
      <c r="B232" s="14">
        <f xml:space="preserve"> 109.81</f>
        <v>109.81</v>
      </c>
      <c r="C232" s="14">
        <f>_xll.StatMean(B220:B231)</f>
        <v>105.52</v>
      </c>
      <c r="D232" s="14">
        <f t="shared" si="2"/>
        <v>4.2900000000000063</v>
      </c>
    </row>
    <row r="233" spans="1:4" ht="15" customHeight="1" x14ac:dyDescent="0.3">
      <c r="A233" s="11">
        <v>151</v>
      </c>
      <c r="B233" s="14">
        <f xml:space="preserve"> 109.44</f>
        <v>109.44</v>
      </c>
      <c r="C233" s="14">
        <f>_xll.StatMean(B221:B232)</f>
        <v>105.77499999999999</v>
      </c>
      <c r="D233" s="14">
        <f t="shared" si="2"/>
        <v>3.6650000000000063</v>
      </c>
    </row>
    <row r="234" spans="1:4" ht="15" customHeight="1" x14ac:dyDescent="0.3">
      <c r="A234" s="11">
        <v>152</v>
      </c>
      <c r="B234" s="14">
        <f xml:space="preserve"> 110.99</f>
        <v>110.99</v>
      </c>
      <c r="C234" s="14">
        <f>_xll.StatMean(B222:B233)</f>
        <v>106.075</v>
      </c>
      <c r="D234" s="14">
        <f t="shared" si="2"/>
        <v>4.914999999999992</v>
      </c>
    </row>
    <row r="235" spans="1:4" ht="15" customHeight="1" x14ac:dyDescent="0.3">
      <c r="A235" s="11">
        <v>153</v>
      </c>
      <c r="B235" s="14">
        <f xml:space="preserve"> 110.61</f>
        <v>110.61</v>
      </c>
      <c r="C235" s="14">
        <f>_xll.StatMean(B223:B234)</f>
        <v>106.51416666666667</v>
      </c>
      <c r="D235" s="14">
        <f t="shared" si="2"/>
        <v>4.0958333333333314</v>
      </c>
    </row>
    <row r="236" spans="1:4" ht="15" customHeight="1" x14ac:dyDescent="0.3">
      <c r="A236" s="11">
        <v>154</v>
      </c>
      <c r="B236" s="14">
        <f xml:space="preserve"> 110.3</f>
        <v>110.3</v>
      </c>
      <c r="C236" s="14">
        <f>_xll.StatMean(B224:B235)</f>
        <v>106.87333333333333</v>
      </c>
      <c r="D236" s="14">
        <f t="shared" si="2"/>
        <v>3.4266666666666623</v>
      </c>
    </row>
    <row r="237" spans="1:4" ht="15" customHeight="1" x14ac:dyDescent="0.3">
      <c r="A237" s="11">
        <v>155</v>
      </c>
      <c r="B237" s="14">
        <f xml:space="preserve"> 109.52</f>
        <v>109.52</v>
      </c>
      <c r="C237" s="14">
        <f>_xll.StatMean(B225:B236)</f>
        <v>107.38</v>
      </c>
      <c r="D237" s="14">
        <f t="shared" si="2"/>
        <v>2.1400000000000006</v>
      </c>
    </row>
    <row r="238" spans="1:4" ht="15" customHeight="1" x14ac:dyDescent="0.3">
      <c r="A238" s="11">
        <v>156</v>
      </c>
      <c r="B238" s="14">
        <f xml:space="preserve"> 111.72</f>
        <v>111.72</v>
      </c>
      <c r="C238" s="14">
        <f>_xll.StatMean(B226:B237)</f>
        <v>107.82666666666665</v>
      </c>
      <c r="D238" s="14">
        <f t="shared" si="2"/>
        <v>3.8933333333333451</v>
      </c>
    </row>
    <row r="239" spans="1:4" ht="15" customHeight="1" x14ac:dyDescent="0.3">
      <c r="A239" s="11">
        <v>157</v>
      </c>
      <c r="B239" s="14">
        <f xml:space="preserve"> 114.45</f>
        <v>114.45</v>
      </c>
      <c r="C239" s="14">
        <f>_xll.StatMean(B227:B238)</f>
        <v>108.49333333333334</v>
      </c>
      <c r="D239" s="14">
        <f t="shared" si="2"/>
        <v>5.9566666666666634</v>
      </c>
    </row>
    <row r="240" spans="1:4" ht="15" customHeight="1" x14ac:dyDescent="0.3">
      <c r="A240" s="11">
        <v>158</v>
      </c>
      <c r="B240" s="14">
        <f xml:space="preserve"> 115.19</f>
        <v>115.19</v>
      </c>
      <c r="C240" s="14">
        <f>_xll.StatMean(B228:B239)</f>
        <v>109.33000000000003</v>
      </c>
      <c r="D240" s="14">
        <f t="shared" si="2"/>
        <v>5.859999999999971</v>
      </c>
    </row>
    <row r="241" spans="1:4" ht="15" customHeight="1" x14ac:dyDescent="0.3">
      <c r="A241" s="11">
        <v>159</v>
      </c>
      <c r="B241" s="14">
        <f xml:space="preserve"> 113.53</f>
        <v>113.53</v>
      </c>
      <c r="C241" s="14">
        <f>_xll.StatMean(B229:B240)</f>
        <v>110.25166666666667</v>
      </c>
      <c r="D241" s="14">
        <f t="shared" si="2"/>
        <v>3.278333333333336</v>
      </c>
    </row>
    <row r="242" spans="1:4" ht="15" customHeight="1" x14ac:dyDescent="0.3">
      <c r="A242" s="11">
        <v>160</v>
      </c>
      <c r="B242" s="14">
        <f xml:space="preserve"> 115.53</f>
        <v>115.53</v>
      </c>
      <c r="C242" s="14">
        <f>_xll.StatMean(B230:B241)</f>
        <v>110.96416666666666</v>
      </c>
      <c r="D242" s="14">
        <f t="shared" si="2"/>
        <v>4.5658333333333445</v>
      </c>
    </row>
    <row r="243" spans="1:4" ht="15" customHeight="1" x14ac:dyDescent="0.3">
      <c r="A243" s="11">
        <v>161</v>
      </c>
      <c r="B243" s="14">
        <f xml:space="preserve"> 113.91</f>
        <v>113.91</v>
      </c>
      <c r="C243" s="14">
        <f>_xll.StatMean(B231:B242)</f>
        <v>111.69499999999999</v>
      </c>
      <c r="D243" s="14">
        <f t="shared" si="2"/>
        <v>2.2150000000000034</v>
      </c>
    </row>
    <row r="244" spans="1:4" ht="15" customHeight="1" x14ac:dyDescent="0.3">
      <c r="A244" s="11">
        <v>162</v>
      </c>
      <c r="B244" s="14">
        <f xml:space="preserve"> 113.65</f>
        <v>113.65</v>
      </c>
      <c r="C244" s="14">
        <f>_xll.StatMean(B232:B243)</f>
        <v>112.08333333333333</v>
      </c>
      <c r="D244" s="14">
        <f t="shared" si="2"/>
        <v>1.5666666666666771</v>
      </c>
    </row>
    <row r="245" spans="1:4" ht="15" customHeight="1" x14ac:dyDescent="0.3">
      <c r="A245" s="11">
        <v>163</v>
      </c>
      <c r="B245" s="14">
        <f xml:space="preserve"> 115.29</f>
        <v>115.29</v>
      </c>
      <c r="C245" s="14">
        <f>_xll.StatMean(B233:B244)</f>
        <v>112.40333333333335</v>
      </c>
      <c r="D245" s="14">
        <f t="shared" si="2"/>
        <v>2.8866666666666561</v>
      </c>
    </row>
    <row r="246" spans="1:4" ht="15" customHeight="1" x14ac:dyDescent="0.3">
      <c r="A246" s="11">
        <v>164</v>
      </c>
      <c r="B246" s="14">
        <f xml:space="preserve"> 115.6</f>
        <v>115.6</v>
      </c>
      <c r="C246" s="14">
        <f>_xll.StatMean(B234:B245)</f>
        <v>112.89083333333333</v>
      </c>
      <c r="D246" s="14">
        <f t="shared" si="2"/>
        <v>2.7091666666666612</v>
      </c>
    </row>
    <row r="247" spans="1:4" ht="15" customHeight="1" x14ac:dyDescent="0.3">
      <c r="A247" s="11">
        <v>165</v>
      </c>
      <c r="B247" s="14">
        <f xml:space="preserve"> 115.64</f>
        <v>115.64</v>
      </c>
      <c r="C247" s="14">
        <f>_xll.StatMean(B235:B246)</f>
        <v>113.27499999999998</v>
      </c>
      <c r="D247" s="14">
        <f t="shared" si="2"/>
        <v>2.3650000000000233</v>
      </c>
    </row>
    <row r="248" spans="1:4" ht="15" customHeight="1" x14ac:dyDescent="0.3">
      <c r="A248" s="11">
        <v>166</v>
      </c>
      <c r="B248" s="14">
        <f xml:space="preserve"> 114.71</f>
        <v>114.71</v>
      </c>
      <c r="C248" s="14">
        <f>_xll.StatMean(B236:B247)</f>
        <v>113.69416666666666</v>
      </c>
      <c r="D248" s="14">
        <f t="shared" si="2"/>
        <v>1.0158333333333331</v>
      </c>
    </row>
    <row r="249" spans="1:4" ht="15" customHeight="1" x14ac:dyDescent="0.3">
      <c r="A249" s="11">
        <v>167</v>
      </c>
      <c r="B249" s="14">
        <f xml:space="preserve"> 114.68</f>
        <v>114.68</v>
      </c>
      <c r="C249" s="14">
        <f>_xll.StatMean(B237:B248)</f>
        <v>114.06166666666667</v>
      </c>
      <c r="D249" s="14">
        <f t="shared" si="2"/>
        <v>0.6183333333333394</v>
      </c>
    </row>
    <row r="250" spans="1:4" ht="15" customHeight="1" x14ac:dyDescent="0.3">
      <c r="A250" s="11">
        <v>168</v>
      </c>
      <c r="B250" s="14">
        <f xml:space="preserve"> 114.56</f>
        <v>114.56</v>
      </c>
      <c r="C250" s="14">
        <f>_xll.StatMean(B238:B249)</f>
        <v>114.49166666666667</v>
      </c>
      <c r="D250" s="14">
        <f t="shared" si="2"/>
        <v>6.8333333333328028E-2</v>
      </c>
    </row>
    <row r="251" spans="1:4" ht="15" customHeight="1" x14ac:dyDescent="0.3">
      <c r="A251" s="11">
        <v>169</v>
      </c>
      <c r="B251" s="14">
        <f xml:space="preserve"> 115.07</f>
        <v>115.07</v>
      </c>
      <c r="C251" s="14">
        <f>_xll.StatMean(B239:B250)</f>
        <v>114.72833333333334</v>
      </c>
      <c r="D251" s="14">
        <f t="shared" si="2"/>
        <v>0.34166666666665435</v>
      </c>
    </row>
    <row r="252" spans="1:4" ht="15" customHeight="1" x14ac:dyDescent="0.3">
      <c r="A252" s="11">
        <v>170</v>
      </c>
      <c r="B252" s="14">
        <f xml:space="preserve"> 117.14</f>
        <v>117.14</v>
      </c>
      <c r="C252" s="14">
        <f>_xll.StatMean(B240:B251)</f>
        <v>114.77999999999999</v>
      </c>
      <c r="D252" s="14">
        <f t="shared" si="2"/>
        <v>2.3600000000000136</v>
      </c>
    </row>
    <row r="253" spans="1:4" ht="15" customHeight="1" x14ac:dyDescent="0.3">
      <c r="A253" s="11">
        <v>171</v>
      </c>
      <c r="B253" s="14">
        <f xml:space="preserve"> 116.74</f>
        <v>116.74</v>
      </c>
      <c r="C253" s="14">
        <f>_xll.StatMean(B241:B252)</f>
        <v>114.9425</v>
      </c>
      <c r="D253" s="14">
        <f t="shared" si="2"/>
        <v>1.7974999999999994</v>
      </c>
    </row>
    <row r="254" spans="1:4" ht="15" customHeight="1" x14ac:dyDescent="0.3">
      <c r="A254" s="11">
        <v>172</v>
      </c>
      <c r="B254" s="14">
        <f xml:space="preserve"> 117.27</f>
        <v>117.27</v>
      </c>
      <c r="C254" s="14">
        <f>_xll.StatMean(B242:B253)</f>
        <v>115.21</v>
      </c>
      <c r="D254" s="14">
        <f t="shared" si="2"/>
        <v>2.0600000000000023</v>
      </c>
    </row>
    <row r="255" spans="1:4" ht="15" customHeight="1" x14ac:dyDescent="0.3">
      <c r="A255" s="11">
        <v>173</v>
      </c>
      <c r="B255" s="14">
        <f xml:space="preserve"> 118.16</f>
        <v>118.16</v>
      </c>
      <c r="C255" s="14">
        <f>_xll.StatMean(B243:B254)</f>
        <v>115.355</v>
      </c>
      <c r="D255" s="14">
        <f t="shared" si="2"/>
        <v>2.8049999999999926</v>
      </c>
    </row>
    <row r="256" spans="1:4" ht="15" customHeight="1" x14ac:dyDescent="0.3">
      <c r="A256" s="11">
        <v>174</v>
      </c>
      <c r="B256" s="14">
        <f xml:space="preserve"> 117.9</f>
        <v>117.9</v>
      </c>
      <c r="C256" s="14">
        <f>_xll.StatMean(B244:B255)</f>
        <v>115.70916666666666</v>
      </c>
      <c r="D256" s="14">
        <f t="shared" si="2"/>
        <v>2.1908333333333445</v>
      </c>
    </row>
    <row r="257" spans="1:4" ht="15" customHeight="1" x14ac:dyDescent="0.3">
      <c r="A257" s="11">
        <v>175</v>
      </c>
      <c r="B257" s="14">
        <f xml:space="preserve"> 118.04</f>
        <v>118.04</v>
      </c>
      <c r="C257" s="14">
        <f>_xll.StatMean(B245:B256)</f>
        <v>116.06333333333333</v>
      </c>
      <c r="D257" s="14">
        <f t="shared" si="2"/>
        <v>1.9766666666666737</v>
      </c>
    </row>
    <row r="258" spans="1:4" ht="15" customHeight="1" x14ac:dyDescent="0.3">
      <c r="A258" s="11">
        <v>176</v>
      </c>
      <c r="B258" s="14">
        <f xml:space="preserve"> 117.52</f>
        <v>117.52</v>
      </c>
      <c r="C258" s="14">
        <f>_xll.StatMean(B246:B257)</f>
        <v>116.29250000000002</v>
      </c>
      <c r="D258" s="14">
        <f t="shared" si="2"/>
        <v>1.2274999999999778</v>
      </c>
    </row>
    <row r="259" spans="1:4" ht="15" customHeight="1" x14ac:dyDescent="0.3">
      <c r="A259" s="11">
        <v>177</v>
      </c>
      <c r="B259" s="14">
        <f xml:space="preserve"> 117.63</f>
        <v>117.63</v>
      </c>
      <c r="C259" s="14">
        <f>_xll.StatMean(B247:B258)</f>
        <v>116.4525</v>
      </c>
      <c r="D259" s="14">
        <f t="shared" si="2"/>
        <v>1.1774999999999949</v>
      </c>
    </row>
    <row r="260" spans="1:4" ht="15" customHeight="1" x14ac:dyDescent="0.3">
      <c r="A260" s="11">
        <v>178</v>
      </c>
      <c r="B260" s="14">
        <f xml:space="preserve"> 116.72</f>
        <v>116.72</v>
      </c>
      <c r="C260" s="14">
        <f>_xll.StatMean(B248:B259)</f>
        <v>116.61833333333334</v>
      </c>
      <c r="D260" s="14">
        <f t="shared" si="2"/>
        <v>0.10166666666665947</v>
      </c>
    </row>
    <row r="261" spans="1:4" ht="15" customHeight="1" x14ac:dyDescent="0.3">
      <c r="A261" s="11">
        <v>179</v>
      </c>
      <c r="B261" s="14">
        <f xml:space="preserve"> 118.51</f>
        <v>118.51</v>
      </c>
      <c r="C261" s="14">
        <f>_xll.StatMean(B249:B260)</f>
        <v>116.78583333333334</v>
      </c>
      <c r="D261" s="14">
        <f t="shared" si="2"/>
        <v>1.7241666666666617</v>
      </c>
    </row>
    <row r="262" spans="1:4" ht="15" customHeight="1" x14ac:dyDescent="0.3">
      <c r="A262" s="11">
        <v>180</v>
      </c>
      <c r="B262" s="14">
        <f xml:space="preserve"> 116.85</f>
        <v>116.85</v>
      </c>
      <c r="C262" s="14">
        <f>_xll.StatMean(B250:B261)</f>
        <v>117.10499999999998</v>
      </c>
      <c r="D262" s="14">
        <f t="shared" si="2"/>
        <v>-0.25499999999998124</v>
      </c>
    </row>
    <row r="263" spans="1:4" ht="15" customHeight="1" x14ac:dyDescent="0.3">
      <c r="A263" s="11">
        <v>181</v>
      </c>
      <c r="B263" s="14">
        <f xml:space="preserve"> 116.76</f>
        <v>116.76</v>
      </c>
      <c r="C263" s="14">
        <f>_xll.StatMean(B251:B262)</f>
        <v>117.29583333333331</v>
      </c>
      <c r="D263" s="14">
        <f t="shared" si="2"/>
        <v>-0.53583333333330074</v>
      </c>
    </row>
    <row r="264" spans="1:4" ht="15" customHeight="1" x14ac:dyDescent="0.3">
      <c r="A264" s="11">
        <v>182</v>
      </c>
      <c r="B264" s="14">
        <f xml:space="preserve"> 116.61</f>
        <v>116.61</v>
      </c>
      <c r="C264" s="14">
        <f>_xll.StatMean(B252:B263)</f>
        <v>117.43666666666665</v>
      </c>
      <c r="D264" s="14">
        <f t="shared" si="2"/>
        <v>-0.82666666666665378</v>
      </c>
    </row>
    <row r="265" spans="1:4" ht="15" customHeight="1" x14ac:dyDescent="0.3">
      <c r="A265" s="11">
        <v>183</v>
      </c>
      <c r="B265" s="14">
        <f xml:space="preserve"> 115.48</f>
        <v>115.48</v>
      </c>
      <c r="C265" s="14">
        <f>_xll.StatMean(B253:B264)</f>
        <v>117.39249999999998</v>
      </c>
      <c r="D265" s="14">
        <f t="shared" si="2"/>
        <v>-1.9124999999999801</v>
      </c>
    </row>
    <row r="266" spans="1:4" ht="15" customHeight="1" x14ac:dyDescent="0.3">
      <c r="A266" s="11">
        <v>184</v>
      </c>
      <c r="B266" s="14">
        <f xml:space="preserve"> 115.04</f>
        <v>115.04</v>
      </c>
      <c r="C266" s="14">
        <f>_xll.StatMean(B254:B265)</f>
        <v>117.28750000000001</v>
      </c>
      <c r="D266" s="14">
        <f t="shared" si="2"/>
        <v>-2.2475000000000023</v>
      </c>
    </row>
    <row r="267" spans="1:4" ht="15" customHeight="1" x14ac:dyDescent="0.3">
      <c r="A267" s="11">
        <v>185</v>
      </c>
      <c r="B267" s="14">
        <f xml:space="preserve"> 116.97</f>
        <v>116.97</v>
      </c>
      <c r="C267" s="14">
        <f>_xll.StatMean(B255:B266)</f>
        <v>117.10166666666667</v>
      </c>
      <c r="D267" s="14">
        <f t="shared" si="2"/>
        <v>-0.13166666666667481</v>
      </c>
    </row>
    <row r="268" spans="1:4" ht="15" customHeight="1" x14ac:dyDescent="0.3">
      <c r="A268" s="11">
        <v>186</v>
      </c>
      <c r="B268" s="14">
        <f xml:space="preserve"> 121.53</f>
        <v>121.53</v>
      </c>
      <c r="C268" s="14">
        <f>_xll.StatMean(B256:B267)</f>
        <v>117.0025</v>
      </c>
      <c r="D268" s="14">
        <f t="shared" si="2"/>
        <v>4.5275000000000034</v>
      </c>
    </row>
    <row r="269" spans="1:4" ht="15" customHeight="1" x14ac:dyDescent="0.3">
      <c r="A269" s="11">
        <v>187</v>
      </c>
      <c r="B269" s="14">
        <f xml:space="preserve"> 123.62</f>
        <v>123.62</v>
      </c>
      <c r="C269" s="14">
        <f>_xll.StatMean(B257:B268)</f>
        <v>117.30499999999999</v>
      </c>
      <c r="D269" s="14">
        <f t="shared" si="2"/>
        <v>6.3150000000000119</v>
      </c>
    </row>
    <row r="270" spans="1:4" ht="15" customHeight="1" x14ac:dyDescent="0.3">
      <c r="A270" s="11">
        <v>188</v>
      </c>
      <c r="B270" s="14">
        <f xml:space="preserve"> 122.81</f>
        <v>122.81</v>
      </c>
      <c r="C270" s="14">
        <f>_xll.StatMean(B258:B269)</f>
        <v>117.77000000000002</v>
      </c>
      <c r="D270" s="14">
        <f t="shared" si="2"/>
        <v>5.0399999999999778</v>
      </c>
    </row>
    <row r="271" spans="1:4" ht="15" customHeight="1" x14ac:dyDescent="0.3">
      <c r="A271" s="11">
        <v>189</v>
      </c>
      <c r="B271" s="14">
        <f xml:space="preserve"> 122.53</f>
        <v>122.53</v>
      </c>
      <c r="C271" s="14">
        <f>_xll.StatMean(B259:B270)</f>
        <v>118.21083333333331</v>
      </c>
      <c r="D271" s="14">
        <f t="shared" si="2"/>
        <v>4.319166666666689</v>
      </c>
    </row>
    <row r="272" spans="1:4" ht="15" customHeight="1" x14ac:dyDescent="0.3">
      <c r="A272" s="11">
        <v>190</v>
      </c>
      <c r="B272" s="14">
        <f xml:space="preserve"> 122.61</f>
        <v>122.61</v>
      </c>
      <c r="C272" s="14">
        <f>_xll.StatMean(B260:B271)</f>
        <v>118.61916666666667</v>
      </c>
      <c r="D272" s="14">
        <f t="shared" si="2"/>
        <v>3.9908333333333275</v>
      </c>
    </row>
    <row r="273" spans="1:4" ht="15" customHeight="1" x14ac:dyDescent="0.3">
      <c r="A273" s="11">
        <v>191</v>
      </c>
      <c r="B273" s="14">
        <f xml:space="preserve"> 122.69</f>
        <v>122.69</v>
      </c>
      <c r="C273" s="14">
        <f>_xll.StatMean(B261:B272)</f>
        <v>119.10999999999997</v>
      </c>
      <c r="D273" s="14">
        <f t="shared" si="2"/>
        <v>3.5800000000000267</v>
      </c>
    </row>
    <row r="274" spans="1:4" ht="15" customHeight="1" x14ac:dyDescent="0.3">
      <c r="A274" s="11">
        <v>192</v>
      </c>
      <c r="B274" s="14">
        <f xml:space="preserve"> 122.25</f>
        <v>122.25</v>
      </c>
      <c r="C274" s="14">
        <f>_xll.StatMean(B262:B273)</f>
        <v>119.45833333333333</v>
      </c>
      <c r="D274" s="14">
        <f t="shared" si="2"/>
        <v>2.7916666666666714</v>
      </c>
    </row>
    <row r="275" spans="1:4" ht="15" customHeight="1" x14ac:dyDescent="0.3">
      <c r="A275" s="11">
        <v>193</v>
      </c>
      <c r="B275" s="14">
        <f xml:space="preserve"> 123</f>
        <v>123</v>
      </c>
      <c r="C275" s="14">
        <f>_xll.StatMean(B263:B274)</f>
        <v>119.90833333333332</v>
      </c>
      <c r="D275" s="14">
        <f t="shared" si="2"/>
        <v>3.0916666666666828</v>
      </c>
    </row>
    <row r="276" spans="1:4" ht="15" customHeight="1" x14ac:dyDescent="0.3">
      <c r="A276" s="11">
        <v>194</v>
      </c>
      <c r="B276" s="14">
        <f xml:space="preserve"> 119.34</f>
        <v>119.34</v>
      </c>
      <c r="C276" s="14">
        <f>_xll.StatMean(B264:B275)</f>
        <v>120.42833333333333</v>
      </c>
      <c r="D276" s="14">
        <f t="shared" si="2"/>
        <v>-1.088333333333324</v>
      </c>
    </row>
    <row r="277" spans="1:4" ht="15" customHeight="1" x14ac:dyDescent="0.3">
      <c r="A277" s="11">
        <v>195</v>
      </c>
      <c r="B277" s="14">
        <f xml:space="preserve"> 116.53</f>
        <v>116.53</v>
      </c>
      <c r="C277" s="14">
        <f>_xll.StatMean(B265:B276)</f>
        <v>120.65583333333332</v>
      </c>
      <c r="D277" s="14">
        <f t="shared" si="2"/>
        <v>-4.1258333333333184</v>
      </c>
    </row>
    <row r="278" spans="1:4" ht="15" customHeight="1" x14ac:dyDescent="0.3">
      <c r="A278" s="11">
        <v>196</v>
      </c>
      <c r="B278" s="14">
        <f xml:space="preserve"> 118.06</f>
        <v>118.06</v>
      </c>
      <c r="C278" s="14">
        <f>_xll.StatMean(B266:B277)</f>
        <v>120.74333333333333</v>
      </c>
      <c r="D278" s="14">
        <f t="shared" si="2"/>
        <v>-2.6833333333333229</v>
      </c>
    </row>
    <row r="279" spans="1:4" ht="15" customHeight="1" x14ac:dyDescent="0.3">
      <c r="A279" s="11">
        <v>197</v>
      </c>
      <c r="B279" s="14">
        <f xml:space="preserve"> 118.17</f>
        <v>118.17</v>
      </c>
      <c r="C279" s="14">
        <f>_xll.StatMean(B267:B278)</f>
        <v>120.99499999999999</v>
      </c>
      <c r="D279" s="14">
        <f t="shared" si="2"/>
        <v>-2.8249999999999886</v>
      </c>
    </row>
    <row r="280" spans="1:4" ht="15" customHeight="1" x14ac:dyDescent="0.3">
      <c r="A280" s="11">
        <v>198</v>
      </c>
      <c r="B280" s="14">
        <f xml:space="preserve"> 117.95</f>
        <v>117.95</v>
      </c>
      <c r="C280" s="14">
        <f>_xll.StatMean(B268:B279)</f>
        <v>121.09499999999998</v>
      </c>
      <c r="D280" s="14">
        <f t="shared" si="2"/>
        <v>-3.1449999999999818</v>
      </c>
    </row>
    <row r="281" spans="1:4" ht="15" customHeight="1" x14ac:dyDescent="0.3">
      <c r="A281" s="11">
        <v>199</v>
      </c>
      <c r="B281" s="14">
        <f xml:space="preserve"> 119.06</f>
        <v>119.06</v>
      </c>
      <c r="C281" s="14">
        <f>_xll.StatMean(B269:B280)</f>
        <v>120.79666666666668</v>
      </c>
      <c r="D281" s="14">
        <f t="shared" si="2"/>
        <v>-1.7366666666666788</v>
      </c>
    </row>
    <row r="282" spans="1:4" ht="15" customHeight="1" x14ac:dyDescent="0.3">
      <c r="A282" s="11">
        <v>200</v>
      </c>
      <c r="B282" s="14">
        <f xml:space="preserve"> 119.62</f>
        <v>119.62</v>
      </c>
      <c r="C282" s="14">
        <f>_xll.StatMean(B270:B281)</f>
        <v>120.41666666666667</v>
      </c>
      <c r="D282" s="14">
        <f t="shared" si="2"/>
        <v>-0.79666666666666686</v>
      </c>
    </row>
    <row r="283" spans="1:4" ht="15" customHeight="1" x14ac:dyDescent="0.3">
      <c r="A283" s="11">
        <v>201</v>
      </c>
      <c r="B283" s="14">
        <f xml:space="preserve"> 116.48</f>
        <v>116.48</v>
      </c>
      <c r="C283" s="14">
        <f>_xll.StatMean(B271:B282)</f>
        <v>120.15083333333332</v>
      </c>
      <c r="D283" s="14">
        <f t="shared" si="2"/>
        <v>-3.6708333333333201</v>
      </c>
    </row>
    <row r="284" spans="1:4" ht="15" customHeight="1" x14ac:dyDescent="0.3">
      <c r="A284" s="11">
        <v>202</v>
      </c>
      <c r="B284" s="14">
        <f xml:space="preserve"> 112.29</f>
        <v>112.29</v>
      </c>
      <c r="C284" s="14">
        <f>_xll.StatMean(B272:B283)</f>
        <v>119.64666666666665</v>
      </c>
      <c r="D284" s="14">
        <f t="shared" si="2"/>
        <v>-7.3566666666666407</v>
      </c>
    </row>
    <row r="285" spans="1:4" ht="15" customHeight="1" x14ac:dyDescent="0.3">
      <c r="A285" s="11">
        <v>203</v>
      </c>
      <c r="B285" s="14">
        <f xml:space="preserve"> 114.09</f>
        <v>114.09</v>
      </c>
      <c r="C285" s="14">
        <f>_xll.StatMean(B273:B284)</f>
        <v>118.78666666666668</v>
      </c>
      <c r="D285" s="14">
        <f t="shared" si="2"/>
        <v>-4.6966666666666725</v>
      </c>
    </row>
    <row r="286" spans="1:4" ht="15" customHeight="1" x14ac:dyDescent="0.3">
      <c r="A286" s="11">
        <v>204</v>
      </c>
      <c r="B286" s="14">
        <f xml:space="preserve"> 114.92</f>
        <v>114.92</v>
      </c>
      <c r="C286" s="14">
        <f>_xll.StatMean(B274:B285)</f>
        <v>118.07</v>
      </c>
      <c r="D286" s="14">
        <f t="shared" si="2"/>
        <v>-3.1499999999999915</v>
      </c>
    </row>
    <row r="287" spans="1:4" ht="15" customHeight="1" x14ac:dyDescent="0.3">
      <c r="A287" s="11">
        <v>205</v>
      </c>
      <c r="B287" s="14">
        <f xml:space="preserve"> 111.8</f>
        <v>111.8</v>
      </c>
      <c r="C287" s="14">
        <f>_xll.StatMean(B275:B286)</f>
        <v>117.45916666666666</v>
      </c>
      <c r="D287" s="14">
        <f t="shared" si="2"/>
        <v>-5.659166666666664</v>
      </c>
    </row>
    <row r="288" spans="1:4" ht="15" customHeight="1" x14ac:dyDescent="0.3">
      <c r="A288" s="11">
        <v>206</v>
      </c>
      <c r="B288" s="14">
        <f xml:space="preserve"> 111.8</f>
        <v>111.8</v>
      </c>
      <c r="C288" s="14">
        <f>_xll.StatMean(B276:B287)</f>
        <v>116.52583333333335</v>
      </c>
      <c r="D288" s="14">
        <f t="shared" ref="D288:D334" si="3">B288-C288</f>
        <v>-4.7258333333333553</v>
      </c>
    </row>
    <row r="289" spans="1:4" ht="15" customHeight="1" x14ac:dyDescent="0.3">
      <c r="A289" s="11">
        <v>207</v>
      </c>
      <c r="B289" s="14">
        <f xml:space="preserve"> 114.18</f>
        <v>114.18</v>
      </c>
      <c r="C289" s="14">
        <f>_xll.StatMean(B277:B288)</f>
        <v>115.89749999999999</v>
      </c>
      <c r="D289" s="14">
        <f t="shared" si="3"/>
        <v>-1.7174999999999869</v>
      </c>
    </row>
    <row r="290" spans="1:4" ht="15" customHeight="1" x14ac:dyDescent="0.3">
      <c r="A290" s="11">
        <v>208</v>
      </c>
      <c r="B290" s="14">
        <f xml:space="preserve"> 115.48</f>
        <v>115.48</v>
      </c>
      <c r="C290" s="14">
        <f>_xll.StatMean(B278:B289)</f>
        <v>115.70166666666667</v>
      </c>
      <c r="D290" s="14">
        <f t="shared" si="3"/>
        <v>-0.22166666666666401</v>
      </c>
    </row>
    <row r="291" spans="1:4" ht="15" customHeight="1" x14ac:dyDescent="0.3">
      <c r="A291" s="11">
        <v>209</v>
      </c>
      <c r="B291" s="14">
        <f xml:space="preserve"> 116.42</f>
        <v>116.42</v>
      </c>
      <c r="C291" s="14">
        <f>_xll.StatMean(B279:B290)</f>
        <v>115.48666666666666</v>
      </c>
      <c r="D291" s="14">
        <f t="shared" si="3"/>
        <v>0.93333333333333712</v>
      </c>
    </row>
    <row r="292" spans="1:4" ht="15" customHeight="1" x14ac:dyDescent="0.3">
      <c r="A292" s="11">
        <v>210</v>
      </c>
      <c r="B292" s="14">
        <f xml:space="preserve"> 117.59</f>
        <v>117.59</v>
      </c>
      <c r="C292" s="14">
        <f>_xll.StatMean(B280:B291)</f>
        <v>115.34083333333335</v>
      </c>
      <c r="D292" s="14">
        <f t="shared" si="3"/>
        <v>2.2491666666666532</v>
      </c>
    </row>
    <row r="293" spans="1:4" ht="15" customHeight="1" x14ac:dyDescent="0.3">
      <c r="A293" s="11">
        <v>211</v>
      </c>
      <c r="B293" s="14">
        <f xml:space="preserve"> 117.37</f>
        <v>117.37</v>
      </c>
      <c r="C293" s="14">
        <f>_xll.StatMean(B281:B292)</f>
        <v>115.31083333333333</v>
      </c>
      <c r="D293" s="14">
        <f t="shared" si="3"/>
        <v>2.0591666666666697</v>
      </c>
    </row>
    <row r="294" spans="1:4" ht="15" customHeight="1" x14ac:dyDescent="0.3">
      <c r="A294" s="11">
        <v>212</v>
      </c>
      <c r="B294" s="14">
        <f xml:space="preserve"> 117.88</f>
        <v>117.88</v>
      </c>
      <c r="C294" s="14">
        <f>_xll.StatMean(B282:B293)</f>
        <v>115.17</v>
      </c>
      <c r="D294" s="14">
        <f t="shared" si="3"/>
        <v>2.7099999999999937</v>
      </c>
    </row>
    <row r="295" spans="1:4" ht="15" customHeight="1" x14ac:dyDescent="0.3">
      <c r="A295" s="11">
        <v>213</v>
      </c>
      <c r="B295" s="14">
        <f xml:space="preserve"> 118.77</f>
        <v>118.77</v>
      </c>
      <c r="C295" s="14">
        <f>_xll.StatMean(B283:B294)</f>
        <v>115.02500000000002</v>
      </c>
      <c r="D295" s="14">
        <f t="shared" si="3"/>
        <v>3.7449999999999761</v>
      </c>
    </row>
    <row r="296" spans="1:4" ht="15" customHeight="1" x14ac:dyDescent="0.3">
      <c r="A296" s="11">
        <v>214</v>
      </c>
      <c r="B296" s="14">
        <f xml:space="preserve"> 118.45</f>
        <v>118.45</v>
      </c>
      <c r="C296" s="14">
        <f>_xll.StatMean(B284:B295)</f>
        <v>115.21583333333335</v>
      </c>
      <c r="D296" s="14">
        <f t="shared" si="3"/>
        <v>3.2341666666666526</v>
      </c>
    </row>
    <row r="297" spans="1:4" ht="15" customHeight="1" x14ac:dyDescent="0.3">
      <c r="A297" s="11">
        <v>215</v>
      </c>
      <c r="B297" s="14">
        <f xml:space="preserve"> 119.43</f>
        <v>119.43</v>
      </c>
      <c r="C297" s="14">
        <f>_xll.StatMean(B285:B296)</f>
        <v>115.72916666666669</v>
      </c>
      <c r="D297" s="14">
        <f t="shared" si="3"/>
        <v>3.7008333333333212</v>
      </c>
    </row>
    <row r="298" spans="1:4" ht="15" customHeight="1" x14ac:dyDescent="0.3">
      <c r="A298" s="11">
        <v>216</v>
      </c>
      <c r="B298" s="14">
        <f xml:space="preserve"> 121.65</f>
        <v>121.65</v>
      </c>
      <c r="C298" s="14">
        <f>_xll.StatMean(B286:B297)</f>
        <v>116.17416666666668</v>
      </c>
      <c r="D298" s="14">
        <f t="shared" si="3"/>
        <v>5.4758333333333269</v>
      </c>
    </row>
    <row r="299" spans="1:4" ht="15" customHeight="1" x14ac:dyDescent="0.3">
      <c r="A299" s="11">
        <v>217</v>
      </c>
      <c r="B299" s="14">
        <f xml:space="preserve"> 119.05</f>
        <v>119.05</v>
      </c>
      <c r="C299" s="14">
        <f>_xll.StatMean(B287:B298)</f>
        <v>116.73500000000001</v>
      </c>
      <c r="D299" s="14">
        <f t="shared" si="3"/>
        <v>2.3149999999999835</v>
      </c>
    </row>
    <row r="300" spans="1:4" ht="15" customHeight="1" x14ac:dyDescent="0.3">
      <c r="A300" s="11">
        <v>218</v>
      </c>
      <c r="B300" s="14">
        <f xml:space="preserve"> 118.68</f>
        <v>118.68</v>
      </c>
      <c r="C300" s="14">
        <f>_xll.StatMean(B288:B299)</f>
        <v>117.33916666666669</v>
      </c>
      <c r="D300" s="14">
        <f t="shared" si="3"/>
        <v>1.3408333333333218</v>
      </c>
    </row>
    <row r="301" spans="1:4" ht="15" customHeight="1" x14ac:dyDescent="0.3">
      <c r="A301" s="11">
        <v>219</v>
      </c>
      <c r="B301" s="14">
        <f xml:space="preserve"> 117.96</f>
        <v>117.96</v>
      </c>
      <c r="C301" s="14">
        <f>_xll.StatMean(B289:B300)</f>
        <v>117.91250000000002</v>
      </c>
      <c r="D301" s="14">
        <f t="shared" si="3"/>
        <v>4.749999999997101E-2</v>
      </c>
    </row>
    <row r="302" spans="1:4" ht="15" customHeight="1" x14ac:dyDescent="0.3">
      <c r="A302" s="11">
        <v>220</v>
      </c>
      <c r="B302" s="14">
        <f xml:space="preserve"> 116.8</f>
        <v>116.8</v>
      </c>
      <c r="C302" s="14">
        <f>_xll.StatMean(B290:B301)</f>
        <v>118.22750000000002</v>
      </c>
      <c r="D302" s="14">
        <f t="shared" si="3"/>
        <v>-1.4275000000000233</v>
      </c>
    </row>
    <row r="303" spans="1:4" ht="15" customHeight="1" x14ac:dyDescent="0.3">
      <c r="A303" s="11">
        <v>221</v>
      </c>
      <c r="B303" s="14">
        <f xml:space="preserve"> 116.71</f>
        <v>116.71</v>
      </c>
      <c r="C303" s="14">
        <f>_xll.StatMean(B291:B302)</f>
        <v>118.33750000000002</v>
      </c>
      <c r="D303" s="14">
        <f t="shared" si="3"/>
        <v>-1.6275000000000261</v>
      </c>
    </row>
    <row r="304" spans="1:4" ht="15" customHeight="1" x14ac:dyDescent="0.3">
      <c r="A304" s="11">
        <v>222</v>
      </c>
      <c r="B304" s="14">
        <f xml:space="preserve"> 117.05</f>
        <v>117.05</v>
      </c>
      <c r="C304" s="14">
        <f>_xll.StatMean(B292:B303)</f>
        <v>118.36166666666666</v>
      </c>
      <c r="D304" s="14">
        <f t="shared" si="3"/>
        <v>-1.3116666666666674</v>
      </c>
    </row>
    <row r="305" spans="1:4" ht="15" customHeight="1" x14ac:dyDescent="0.3">
      <c r="A305" s="11">
        <v>223</v>
      </c>
      <c r="B305" s="14">
        <f xml:space="preserve"> 117.37</f>
        <v>117.37</v>
      </c>
      <c r="C305" s="14">
        <f>_xll.StatMean(B293:B304)</f>
        <v>118.31666666666666</v>
      </c>
      <c r="D305" s="14">
        <f t="shared" si="3"/>
        <v>-0.94666666666665833</v>
      </c>
    </row>
    <row r="306" spans="1:4" ht="15" customHeight="1" x14ac:dyDescent="0.3">
      <c r="A306" s="11">
        <v>224</v>
      </c>
      <c r="B306" s="14">
        <f xml:space="preserve"> 118.92</f>
        <v>118.92</v>
      </c>
      <c r="C306" s="14">
        <f>_xll.StatMean(B294:B305)</f>
        <v>118.31666666666665</v>
      </c>
      <c r="D306" s="14">
        <f t="shared" si="3"/>
        <v>0.60333333333335304</v>
      </c>
    </row>
    <row r="307" spans="1:4" ht="15" customHeight="1" x14ac:dyDescent="0.3">
      <c r="A307" s="11">
        <v>225</v>
      </c>
      <c r="B307" s="14">
        <f xml:space="preserve"> 120.5</f>
        <v>120.5</v>
      </c>
      <c r="C307" s="14">
        <f>_xll.StatMean(B295:B306)</f>
        <v>118.40333333333335</v>
      </c>
      <c r="D307" s="14">
        <f t="shared" si="3"/>
        <v>2.0966666666666498</v>
      </c>
    </row>
    <row r="308" spans="1:4" ht="15" customHeight="1" x14ac:dyDescent="0.3">
      <c r="A308" s="11">
        <v>226</v>
      </c>
      <c r="B308" s="14">
        <f xml:space="preserve"> 121.49</f>
        <v>121.49</v>
      </c>
      <c r="C308" s="14">
        <f>_xll.StatMean(B296:B307)</f>
        <v>118.54750000000001</v>
      </c>
      <c r="D308" s="14">
        <f t="shared" si="3"/>
        <v>2.9424999999999812</v>
      </c>
    </row>
    <row r="309" spans="1:4" ht="15" customHeight="1" x14ac:dyDescent="0.3">
      <c r="A309" s="11">
        <v>227</v>
      </c>
      <c r="B309" s="14">
        <f xml:space="preserve"> 123.64</f>
        <v>123.64</v>
      </c>
      <c r="C309" s="14">
        <f>_xll.StatMean(B297:B308)</f>
        <v>118.80083333333333</v>
      </c>
      <c r="D309" s="14">
        <f t="shared" si="3"/>
        <v>4.8391666666666708</v>
      </c>
    </row>
    <row r="310" spans="1:4" ht="15" customHeight="1" x14ac:dyDescent="0.3">
      <c r="A310" s="11">
        <v>228</v>
      </c>
      <c r="B310" s="14">
        <f xml:space="preserve"> 121.58</f>
        <v>121.58</v>
      </c>
      <c r="C310" s="14">
        <f>_xll.StatMean(B298:B309)</f>
        <v>119.15166666666669</v>
      </c>
      <c r="D310" s="14">
        <f t="shared" si="3"/>
        <v>2.4283333333333132</v>
      </c>
    </row>
    <row r="311" spans="1:4" ht="15" customHeight="1" x14ac:dyDescent="0.3">
      <c r="A311" s="11">
        <v>229</v>
      </c>
      <c r="B311" s="14">
        <f xml:space="preserve"> 120.85</f>
        <v>120.85</v>
      </c>
      <c r="C311" s="14">
        <f>_xll.StatMean(B299:B310)</f>
        <v>119.14583333333333</v>
      </c>
      <c r="D311" s="14">
        <f t="shared" si="3"/>
        <v>1.7041666666666657</v>
      </c>
    </row>
    <row r="312" spans="1:4" ht="15" customHeight="1" x14ac:dyDescent="0.3">
      <c r="A312" s="11">
        <v>230</v>
      </c>
      <c r="B312" s="14">
        <f xml:space="preserve"> 122.31</f>
        <v>122.31</v>
      </c>
      <c r="C312" s="14">
        <f>_xll.StatMean(B300:B311)</f>
        <v>119.29583333333331</v>
      </c>
      <c r="D312" s="14">
        <f t="shared" si="3"/>
        <v>3.0141666666666964</v>
      </c>
    </row>
    <row r="313" spans="1:4" ht="15" customHeight="1" x14ac:dyDescent="0.3">
      <c r="A313" s="11">
        <v>231</v>
      </c>
      <c r="B313" s="14">
        <f xml:space="preserve"> 121.4</f>
        <v>121.4</v>
      </c>
      <c r="C313" s="14">
        <f>_xll.StatMean(B301:B312)</f>
        <v>119.59833333333331</v>
      </c>
      <c r="D313" s="14">
        <f t="shared" si="3"/>
        <v>1.8016666666666907</v>
      </c>
    </row>
    <row r="314" spans="1:4" ht="15" customHeight="1" x14ac:dyDescent="0.3">
      <c r="A314" s="11">
        <v>232</v>
      </c>
      <c r="B314" s="14">
        <f xml:space="preserve"> 121.28</f>
        <v>121.28</v>
      </c>
      <c r="C314" s="14">
        <f>_xll.StatMean(B302:B313)</f>
        <v>119.88499999999999</v>
      </c>
      <c r="D314" s="14">
        <f t="shared" si="3"/>
        <v>1.3950000000000102</v>
      </c>
    </row>
    <row r="315" spans="1:4" ht="15" customHeight="1" x14ac:dyDescent="0.3">
      <c r="A315" s="11">
        <v>233</v>
      </c>
      <c r="B315" s="14">
        <f xml:space="preserve"> 119.97</f>
        <v>119.97</v>
      </c>
      <c r="C315" s="14">
        <f>_xll.StatMean(B303:B314)</f>
        <v>120.25833333333333</v>
      </c>
      <c r="D315" s="14">
        <f t="shared" si="3"/>
        <v>-0.28833333333332689</v>
      </c>
    </row>
    <row r="316" spans="1:4" ht="15" customHeight="1" x14ac:dyDescent="0.3">
      <c r="A316" s="11">
        <v>234</v>
      </c>
      <c r="B316" s="14">
        <f xml:space="preserve"> 117.29</f>
        <v>117.29</v>
      </c>
      <c r="C316" s="14">
        <f>_xll.StatMean(B304:B315)</f>
        <v>120.53000000000002</v>
      </c>
      <c r="D316" s="14">
        <f t="shared" si="3"/>
        <v>-3.2400000000000091</v>
      </c>
    </row>
    <row r="317" spans="1:4" ht="15" customHeight="1" x14ac:dyDescent="0.3">
      <c r="A317" s="11">
        <v>235</v>
      </c>
      <c r="B317" s="14">
        <f xml:space="preserve"> 115.48</f>
        <v>115.48</v>
      </c>
      <c r="C317" s="14">
        <f>_xll.StatMean(B305:B316)</f>
        <v>120.55000000000001</v>
      </c>
      <c r="D317" s="14">
        <f t="shared" si="3"/>
        <v>-5.0700000000000074</v>
      </c>
    </row>
    <row r="318" spans="1:4" ht="15" customHeight="1" x14ac:dyDescent="0.3">
      <c r="A318" s="11">
        <v>236</v>
      </c>
      <c r="B318" s="14">
        <f xml:space="preserve"> 115.97</f>
        <v>115.97</v>
      </c>
      <c r="C318" s="14">
        <f>_xll.StatMean(B306:B317)</f>
        <v>120.3925</v>
      </c>
      <c r="D318" s="14">
        <f t="shared" si="3"/>
        <v>-4.4224999999999994</v>
      </c>
    </row>
    <row r="319" spans="1:4" ht="15" customHeight="1" x14ac:dyDescent="0.3">
      <c r="A319" s="11">
        <v>237</v>
      </c>
      <c r="B319" s="14">
        <f xml:space="preserve"> 114.6</f>
        <v>114.6</v>
      </c>
      <c r="C319" s="14">
        <f>_xll.StatMean(B307:B318)</f>
        <v>120.14666666666665</v>
      </c>
      <c r="D319" s="14">
        <f t="shared" si="3"/>
        <v>-5.5466666666666526</v>
      </c>
    </row>
    <row r="320" spans="1:4" ht="15" customHeight="1" x14ac:dyDescent="0.3">
      <c r="A320" s="11">
        <v>238</v>
      </c>
      <c r="B320" s="14">
        <f xml:space="preserve"> 114.48</f>
        <v>114.48</v>
      </c>
      <c r="C320" s="14">
        <f>_xll.StatMean(B308:B319)</f>
        <v>119.65499999999999</v>
      </c>
      <c r="D320" s="14">
        <f t="shared" si="3"/>
        <v>-5.1749999999999829</v>
      </c>
    </row>
    <row r="321" spans="1:4" ht="15" customHeight="1" x14ac:dyDescent="0.3">
      <c r="A321" s="11">
        <v>239</v>
      </c>
      <c r="B321" s="14">
        <f xml:space="preserve"> 116.07</f>
        <v>116.07</v>
      </c>
      <c r="C321" s="14">
        <f>_xll.StatMean(B309:B320)</f>
        <v>119.07083333333333</v>
      </c>
      <c r="D321" s="14">
        <f t="shared" si="3"/>
        <v>-3.0008333333333326</v>
      </c>
    </row>
    <row r="322" spans="1:4" ht="15" customHeight="1" x14ac:dyDescent="0.3">
      <c r="A322" s="11">
        <v>240</v>
      </c>
      <c r="B322" s="14">
        <f xml:space="preserve"> 112.27</f>
        <v>112.27</v>
      </c>
      <c r="C322" s="14">
        <f>_xll.StatMean(B310:B321)</f>
        <v>118.43999999999998</v>
      </c>
      <c r="D322" s="14">
        <f t="shared" si="3"/>
        <v>-6.1699999999999875</v>
      </c>
    </row>
    <row r="323" spans="1:4" ht="15" customHeight="1" x14ac:dyDescent="0.3">
      <c r="A323" s="11">
        <v>241</v>
      </c>
      <c r="B323" s="14">
        <f xml:space="preserve"> 115.65</f>
        <v>115.65</v>
      </c>
      <c r="C323" s="14">
        <f>_xll.StatMean(B311:B322)</f>
        <v>117.66416666666667</v>
      </c>
      <c r="D323" s="14">
        <f t="shared" si="3"/>
        <v>-2.014166666666668</v>
      </c>
    </row>
    <row r="324" spans="1:4" ht="15" customHeight="1" x14ac:dyDescent="0.3">
      <c r="A324" s="11">
        <v>242</v>
      </c>
      <c r="B324" s="14">
        <f xml:space="preserve"> 116.98</f>
        <v>116.98</v>
      </c>
      <c r="C324" s="14">
        <f>_xll.StatMean(B312:B323)</f>
        <v>117.23083333333334</v>
      </c>
      <c r="D324" s="14">
        <f t="shared" si="3"/>
        <v>-0.25083333333333258</v>
      </c>
    </row>
    <row r="325" spans="1:4" ht="15" customHeight="1" x14ac:dyDescent="0.3">
      <c r="A325" s="11">
        <v>243</v>
      </c>
      <c r="B325" s="14">
        <f xml:space="preserve"> 118.16</f>
        <v>118.16</v>
      </c>
      <c r="C325" s="14">
        <f>_xll.StatMean(B313:B324)</f>
        <v>116.78666666666668</v>
      </c>
      <c r="D325" s="14">
        <f t="shared" si="3"/>
        <v>1.3733333333333206</v>
      </c>
    </row>
    <row r="326" spans="1:4" ht="15" customHeight="1" x14ac:dyDescent="0.3">
      <c r="A326" s="11">
        <v>244</v>
      </c>
      <c r="B326" s="14">
        <f xml:space="preserve"> 115.5</f>
        <v>115.5</v>
      </c>
      <c r="C326" s="14">
        <f>_xll.StatMean(B314:B325)</f>
        <v>116.51666666666669</v>
      </c>
      <c r="D326" s="14">
        <f t="shared" si="3"/>
        <v>-1.0166666666666941</v>
      </c>
    </row>
    <row r="327" spans="1:4" ht="15" customHeight="1" x14ac:dyDescent="0.3">
      <c r="A327" s="11">
        <v>245</v>
      </c>
      <c r="B327" s="14">
        <f xml:space="preserve"> 114.73</f>
        <v>114.73</v>
      </c>
      <c r="C327" s="14">
        <f>_xll.StatMean(B315:B326)</f>
        <v>116.03500000000003</v>
      </c>
      <c r="D327" s="14">
        <f t="shared" si="3"/>
        <v>-1.305000000000021</v>
      </c>
    </row>
    <row r="328" spans="1:4" ht="15" customHeight="1" x14ac:dyDescent="0.3">
      <c r="A328" s="11">
        <v>246</v>
      </c>
      <c r="B328" s="14">
        <f xml:space="preserve"> 113.39</f>
        <v>113.39</v>
      </c>
      <c r="C328" s="14">
        <f>_xll.StatMean(B316:B327)</f>
        <v>115.59833333333334</v>
      </c>
      <c r="D328" s="14">
        <f t="shared" si="3"/>
        <v>-2.2083333333333428</v>
      </c>
    </row>
    <row r="329" spans="1:4" ht="15" customHeight="1" x14ac:dyDescent="0.3">
      <c r="A329" s="11">
        <v>247</v>
      </c>
      <c r="B329" s="14">
        <f xml:space="preserve"> 111.98</f>
        <v>111.98</v>
      </c>
      <c r="C329" s="14">
        <f>_xll.StatMean(B317:B328)</f>
        <v>115.27333333333333</v>
      </c>
      <c r="D329" s="14">
        <f t="shared" si="3"/>
        <v>-3.2933333333333223</v>
      </c>
    </row>
    <row r="330" spans="1:4" ht="15" customHeight="1" x14ac:dyDescent="0.3">
      <c r="A330" s="11">
        <v>248</v>
      </c>
      <c r="B330" s="14">
        <f xml:space="preserve"> 114.36</f>
        <v>114.36</v>
      </c>
      <c r="C330" s="14">
        <f>_xll.StatMean(B318:B329)</f>
        <v>114.98166666666667</v>
      </c>
      <c r="D330" s="14">
        <f t="shared" si="3"/>
        <v>-0.6216666666666697</v>
      </c>
    </row>
    <row r="331" spans="1:4" ht="15" customHeight="1" x14ac:dyDescent="0.3">
      <c r="A331" s="11">
        <v>249</v>
      </c>
      <c r="B331" s="14">
        <f xml:space="preserve"> 113.9</f>
        <v>113.9</v>
      </c>
      <c r="C331" s="14">
        <f>_xll.StatMean(B319:B330)</f>
        <v>114.84749999999998</v>
      </c>
      <c r="D331" s="14">
        <f t="shared" si="3"/>
        <v>-0.94749999999997669</v>
      </c>
    </row>
    <row r="332" spans="1:4" ht="15" customHeight="1" x14ac:dyDescent="0.3">
      <c r="A332" s="11">
        <v>250</v>
      </c>
      <c r="B332" s="14">
        <f xml:space="preserve"> 114.42</f>
        <v>114.42</v>
      </c>
      <c r="C332" s="14">
        <f>_xll.StatMean(B320:B331)</f>
        <v>114.78916666666667</v>
      </c>
      <c r="D332" s="14">
        <f t="shared" si="3"/>
        <v>-0.36916666666667197</v>
      </c>
    </row>
    <row r="333" spans="1:4" ht="15" customHeight="1" x14ac:dyDescent="0.3">
      <c r="A333" s="11">
        <v>251</v>
      </c>
      <c r="B333" s="14">
        <f xml:space="preserve"> 113.6</f>
        <v>113.6</v>
      </c>
      <c r="C333" s="14">
        <f>_xll.StatMean(B321:B332)</f>
        <v>114.78416666666668</v>
      </c>
      <c r="D333" s="14">
        <f t="shared" si="3"/>
        <v>-1.1841666666666839</v>
      </c>
    </row>
    <row r="334" spans="1:4" ht="15" customHeight="1" x14ac:dyDescent="0.3">
      <c r="A334" s="15">
        <v>252</v>
      </c>
      <c r="B334" s="16">
        <f xml:space="preserve"> 116.36</f>
        <v>116.36</v>
      </c>
      <c r="C334" s="16">
        <f>_xll.StatMean(B322:B333)</f>
        <v>114.57833333333333</v>
      </c>
      <c r="D334" s="16">
        <f t="shared" si="3"/>
        <v>1.7816666666666663</v>
      </c>
    </row>
    <row r="335" spans="1:4" ht="15" customHeight="1" x14ac:dyDescent="0.3">
      <c r="A335" s="11">
        <v>253</v>
      </c>
      <c r="B335" s="14"/>
      <c r="C335" s="14">
        <f>_xll.StatMean(B323:B334)</f>
        <v>114.91916666666667</v>
      </c>
      <c r="D335" s="14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Forecast</vt:lpstr>
      <vt:lpstr>Forecast!StatToolsHeader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way</dc:creator>
  <cp:lastModifiedBy>1 way</cp:lastModifiedBy>
  <dcterms:created xsi:type="dcterms:W3CDTF">2022-12-28T00:26:08Z</dcterms:created>
  <dcterms:modified xsi:type="dcterms:W3CDTF">2022-12-28T00:32:26Z</dcterms:modified>
</cp:coreProperties>
</file>