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2CD2C4CE-EECB-485D-B1ED-286312044EB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Sheet1!$B$7:$G$14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F69" i="1"/>
  <c r="E69" i="1"/>
  <c r="F68" i="1"/>
  <c r="E68" i="1"/>
  <c r="H67" i="1"/>
  <c r="E67" i="1"/>
  <c r="F67" i="1" s="1"/>
  <c r="G67" i="1" s="1"/>
  <c r="I67" i="1" s="1"/>
  <c r="E66" i="1"/>
  <c r="F66" i="1" s="1"/>
  <c r="E65" i="1"/>
  <c r="F65" i="1" s="1"/>
  <c r="H64" i="1"/>
  <c r="F64" i="1"/>
  <c r="E64" i="1"/>
  <c r="K55" i="1"/>
  <c r="K46" i="1"/>
  <c r="E60" i="1"/>
  <c r="F60" i="1" s="1"/>
  <c r="E59" i="1"/>
  <c r="F59" i="1" s="1"/>
  <c r="H58" i="1"/>
  <c r="E58" i="1"/>
  <c r="F58" i="1" s="1"/>
  <c r="F57" i="1"/>
  <c r="E57" i="1"/>
  <c r="E56" i="1"/>
  <c r="H55" i="1"/>
  <c r="F55" i="1"/>
  <c r="E55" i="1"/>
  <c r="E51" i="1"/>
  <c r="F51" i="1" s="1"/>
  <c r="F50" i="1"/>
  <c r="E50" i="1"/>
  <c r="H49" i="1"/>
  <c r="E49" i="1"/>
  <c r="F49" i="1" s="1"/>
  <c r="E48" i="1"/>
  <c r="F48" i="1" s="1"/>
  <c r="E47" i="1"/>
  <c r="F47" i="1" s="1"/>
  <c r="H46" i="1"/>
  <c r="E46" i="1"/>
  <c r="F46" i="1" s="1"/>
  <c r="E40" i="1"/>
  <c r="F40" i="1" s="1"/>
  <c r="E39" i="1"/>
  <c r="F39" i="1" s="1"/>
  <c r="H38" i="1"/>
  <c r="E38" i="1"/>
  <c r="F38" i="1" s="1"/>
  <c r="E37" i="1"/>
  <c r="F37" i="1" s="1"/>
  <c r="E36" i="1"/>
  <c r="F36" i="1" s="1"/>
  <c r="H35" i="1"/>
  <c r="E35" i="1"/>
  <c r="F35" i="1" s="1"/>
  <c r="E34" i="1"/>
  <c r="F34" i="1" s="1"/>
  <c r="E33" i="1"/>
  <c r="F33" i="1" s="1"/>
  <c r="H32" i="1"/>
  <c r="E32" i="1"/>
  <c r="F32" i="1" s="1"/>
  <c r="E31" i="1"/>
  <c r="F31" i="1" s="1"/>
  <c r="E30" i="1"/>
  <c r="F30" i="1" s="1"/>
  <c r="H29" i="1"/>
  <c r="E29" i="1"/>
  <c r="F29" i="1" s="1"/>
  <c r="E28" i="1"/>
  <c r="F28" i="1" s="1"/>
  <c r="E27" i="1"/>
  <c r="F27" i="1" s="1"/>
  <c r="H26" i="1"/>
  <c r="E26" i="1"/>
  <c r="F26" i="1" s="1"/>
  <c r="G26" i="1" s="1"/>
  <c r="I26" i="1" s="1"/>
  <c r="L18" i="1"/>
  <c r="M18" i="1" s="1"/>
  <c r="L17" i="1"/>
  <c r="M17" i="1" s="1"/>
  <c r="L16" i="1"/>
  <c r="M16" i="1" s="1"/>
  <c r="G64" i="1" l="1"/>
  <c r="I64" i="1" s="1"/>
  <c r="J64" i="1" s="1"/>
  <c r="G55" i="1"/>
  <c r="I55" i="1" s="1"/>
  <c r="G38" i="1"/>
  <c r="I38" i="1" s="1"/>
  <c r="G49" i="1"/>
  <c r="I49" i="1" s="1"/>
  <c r="G46" i="1"/>
  <c r="I46" i="1" s="1"/>
  <c r="G58" i="1"/>
  <c r="I58" i="1" s="1"/>
  <c r="J55" i="1" s="1"/>
  <c r="G32" i="1"/>
  <c r="I32" i="1" s="1"/>
  <c r="J26" i="1" s="1"/>
  <c r="G35" i="1"/>
  <c r="I35" i="1" s="1"/>
  <c r="G29" i="1"/>
  <c r="I29" i="1" s="1"/>
  <c r="M19" i="1"/>
  <c r="K35" i="1" l="1"/>
  <c r="K26" i="1"/>
  <c r="J35" i="1"/>
  <c r="J46" i="1"/>
</calcChain>
</file>

<file path=xl/sharedStrings.xml><?xml version="1.0" encoding="utf-8"?>
<sst xmlns="http://schemas.openxmlformats.org/spreadsheetml/2006/main" count="133" uniqueCount="34">
  <si>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</si>
  <si>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</si>
  <si>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</si>
  <si>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</si>
  <si>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</si>
  <si>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</si>
  <si>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</si>
  <si>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</si>
  <si>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</si>
  <si>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</si>
  <si>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</si>
  <si>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</si>
  <si>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Split by Ethnicity levels</t>
  </si>
  <si>
    <t>level one</t>
  </si>
  <si>
    <t>Age</t>
  </si>
  <si>
    <t>Vidya Sagar Polaki
CS 513 A
Final Exam
Q2</t>
  </si>
  <si>
    <t>C4.5 Formula</t>
  </si>
  <si>
    <t>Total Entropy</t>
  </si>
  <si>
    <t>Pj</t>
  </si>
  <si>
    <t xml:space="preserve"> - (Pj* log(Pj)</t>
  </si>
  <si>
    <t>Sum Total</t>
  </si>
  <si>
    <t>Variable</t>
  </si>
  <si>
    <t>Variable Levels</t>
  </si>
  <si>
    <t>Addictions</t>
  </si>
  <si>
    <t>Percent</t>
  </si>
  <si>
    <t xml:space="preserve">Pct * Row total </t>
  </si>
  <si>
    <t>Total</t>
  </si>
  <si>
    <t>Net Gain</t>
  </si>
  <si>
    <t>By Black Ethnicity</t>
  </si>
  <si>
    <t>By Hispanic Ethnicity</t>
  </si>
  <si>
    <t>Level Two</t>
  </si>
  <si>
    <t>By White Ethnicity</t>
  </si>
  <si>
    <t>Decision Tree - C4.5 Method</t>
  </si>
  <si>
    <t>Hispanic and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</si>
</sst>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Border="1" applyAlignment="1">
      <alignment horizontal="center" wrapText="1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3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0" fillId="0" borderId="0" xfId="0"/>
    <xf numFmtId="0" fontId="2" fillId="2" borderId="0" xfId="0" applyFont="1" applyFill="1"/>
    <xf numFmtId="0" fontId="0" fillId="0" borderId="0" xfId="0"/>
    <xf numFmtId="0" fontId="0" fillId="2" borderId="8" xfId="0" applyFill="1" applyBorder="1"/>
    <xf numFmtId="164" fontId="0" fillId="2" borderId="0" xfId="1" applyNumberFormat="1" applyFont="1" applyFill="1" applyBorder="1"/>
    <xf numFmtId="0" fontId="0" fillId="2" borderId="1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9" xfId="0" applyFill="1" applyBorder="1"/>
    <xf numFmtId="0" fontId="0" fillId="2" borderId="18" xfId="0" applyFill="1" applyBorder="1"/>
    <xf numFmtId="0" fontId="0" fillId="2" borderId="20" xfId="0" applyFill="1" applyBorder="1"/>
    <xf numFmtId="0" fontId="0" fillId="2" borderId="13" xfId="0" applyFill="1" applyBorder="1"/>
    <xf numFmtId="0" fontId="0" fillId="2" borderId="0" xfId="0" applyFill="1" applyBorder="1" applyAlignment="1">
      <alignment horizontal="center" vertical="center"/>
    </xf>
    <xf numFmtId="0" fontId="0" fillId="2" borderId="14" xfId="0" applyFill="1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right"/>
    </xf>
    <xf numFmtId="0" fontId="0" fillId="2" borderId="16" xfId="0" applyFill="1" applyBorder="1"/>
    <xf numFmtId="0" fontId="0" fillId="2" borderId="15" xfId="0" applyFill="1" applyBorder="1"/>
    <xf numFmtId="0" fontId="0" fillId="2" borderId="17" xfId="0" applyFill="1" applyBorder="1"/>
    <xf numFmtId="0" fontId="2" fillId="2" borderId="0" xfId="0" applyFont="1" applyFill="1"/>
    <xf numFmtId="0" fontId="0" fillId="0" borderId="0" xfId="0" applyFill="1" applyBorder="1"/>
    <xf numFmtId="0" fontId="0" fillId="2" borderId="0" xfId="0" applyFill="1"/>
    <xf numFmtId="164" fontId="0" fillId="2" borderId="0" xfId="0" applyNumberFormat="1" applyFill="1"/>
    <xf numFmtId="0" fontId="2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2" fillId="2" borderId="0" xfId="0" applyFont="1" applyFill="1" applyBorder="1"/>
    <xf numFmtId="164" fontId="0" fillId="2" borderId="0" xfId="0" applyNumberFormat="1" applyFill="1" applyBorder="1"/>
    <xf numFmtId="0" fontId="0" fillId="2" borderId="11" xfId="0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22" xfId="0" applyNumberFormat="1" applyFill="1" applyBorder="1" applyAlignment="1">
      <alignment horizontal="center"/>
    </xf>
    <xf numFmtId="165" fontId="0" fillId="2" borderId="23" xfId="0" applyNumberForma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0" fontId="2" fillId="0" borderId="0" xfId="0" applyFont="1"/>
    <xf numFmtId="0" fontId="2" fillId="2" borderId="7" xfId="0" applyFon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0" fontId="0" fillId="4" borderId="10" xfId="0" quotePrefix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7</xdr:row>
          <xdr:rowOff>66675</xdr:rowOff>
        </xdr:from>
        <xdr:to>
          <xdr:col>16</xdr:col>
          <xdr:colOff>514350</xdr:colOff>
          <xdr:row>11</xdr:row>
          <xdr:rowOff>95250</xdr:rowOff>
        </xdr:to>
        <xdr:sp macro="" textlink="">
          <xdr:nvSpPr>
            <xdr:cNvPr id="1026" name="Object 1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3</xdr:col>
      <xdr:colOff>297180</xdr:colOff>
      <xdr:row>73</xdr:row>
      <xdr:rowOff>7620</xdr:rowOff>
    </xdr:from>
    <xdr:to>
      <xdr:col>5</xdr:col>
      <xdr:colOff>304800</xdr:colOff>
      <xdr:row>76</xdr:row>
      <xdr:rowOff>7620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9917430" y="1150620"/>
          <a:ext cx="118872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320040</xdr:colOff>
      <xdr:row>73</xdr:row>
      <xdr:rowOff>0</xdr:rowOff>
    </xdr:from>
    <xdr:to>
      <xdr:col>7</xdr:col>
      <xdr:colOff>281940</xdr:colOff>
      <xdr:row>76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121390" y="1143000"/>
          <a:ext cx="11430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297180</xdr:colOff>
      <xdr:row>77</xdr:row>
      <xdr:rowOff>0</xdr:rowOff>
    </xdr:from>
    <xdr:to>
      <xdr:col>7</xdr:col>
      <xdr:colOff>281940</xdr:colOff>
      <xdr:row>79</xdr:row>
      <xdr:rowOff>175260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11689080" y="1905000"/>
          <a:ext cx="57531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297180</xdr:colOff>
      <xdr:row>77</xdr:row>
      <xdr:rowOff>7620</xdr:rowOff>
    </xdr:from>
    <xdr:to>
      <xdr:col>8</xdr:col>
      <xdr:colOff>297180</xdr:colOff>
      <xdr:row>80</xdr:row>
      <xdr:rowOff>7620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2279630" y="1912620"/>
          <a:ext cx="5905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workbookViewId="0">
      <selection sqref="A1:D4"/>
    </sheetView>
  </sheetViews>
  <sheetFormatPr defaultRowHeight="15" x14ac:dyDescent="0.25"/>
  <cols>
    <col min="2" max="2" width="12.5703125" customWidth="1"/>
    <col min="3" max="3" width="15" bestFit="1" customWidth="1"/>
    <col min="4" max="4" width="12.28515625" style="14" bestFit="1" customWidth="1"/>
    <col min="5" max="5" width="10.28515625" bestFit="1" customWidth="1"/>
    <col min="6" max="6" width="12.28515625" bestFit="1" customWidth="1"/>
    <col min="7" max="7" width="12" bestFit="1" customWidth="1"/>
    <col min="8" max="8" width="13.140625" customWidth="1"/>
    <col min="9" max="9" width="14.5703125" bestFit="1" customWidth="1"/>
  </cols>
  <sheetData>
    <row r="1" spans="1:18" x14ac:dyDescent="0.25">
      <c r="A1" s="75" t="s">
        <v>15</v>
      </c>
      <c r="B1" s="76"/>
      <c r="C1" s="76"/>
      <c r="D1" s="77"/>
    </row>
    <row r="2" spans="1:18" x14ac:dyDescent="0.25">
      <c r="A2" s="78"/>
      <c r="B2" s="79"/>
      <c r="C2" s="79"/>
      <c r="D2" s="80"/>
    </row>
    <row r="3" spans="1:18" x14ac:dyDescent="0.25">
      <c r="A3" s="78"/>
      <c r="B3" s="79"/>
      <c r="C3" s="79"/>
      <c r="D3" s="80"/>
    </row>
    <row r="4" spans="1:18" ht="15.75" thickBot="1" x14ac:dyDescent="0.3">
      <c r="A4" s="81"/>
      <c r="B4" s="82"/>
      <c r="C4" s="82"/>
      <c r="D4" s="83"/>
    </row>
    <row r="5" spans="1:18" s="1" customFormat="1" x14ac:dyDescent="0.25">
      <c r="A5" s="4"/>
      <c r="B5" s="4"/>
      <c r="C5" s="4"/>
      <c r="D5" s="13"/>
    </row>
    <row r="7" spans="1:18" ht="15.75" thickBot="1" x14ac:dyDescent="0.3">
      <c r="B7" s="15" t="s">
        <v>0</v>
      </c>
      <c r="C7" s="15" t="s">
        <v>1</v>
      </c>
      <c r="D7" s="22" t="s">
        <v>2</v>
      </c>
      <c r="E7" s="15" t="s">
        <v>3</v>
      </c>
      <c r="F7" s="15" t="s">
        <v>4</v>
      </c>
      <c r="G7" s="15" t="s">
        <v>5</v>
      </c>
      <c r="J7" s="84" t="s">
        <v>16</v>
      </c>
      <c r="K7" s="84"/>
      <c r="L7" s="84"/>
      <c r="M7" s="84"/>
      <c r="N7" s="84"/>
      <c r="O7" s="84"/>
    </row>
    <row r="8" spans="1:18" x14ac:dyDescent="0.25">
      <c r="B8" s="3" t="s">
        <v>6</v>
      </c>
      <c r="C8" s="3" t="s">
        <v>7</v>
      </c>
      <c r="D8" s="6">
        <v>30</v>
      </c>
      <c r="E8" s="3">
        <v>48</v>
      </c>
      <c r="F8" s="3">
        <v>17</v>
      </c>
      <c r="G8" s="2">
        <v>95</v>
      </c>
      <c r="J8" s="7"/>
      <c r="K8" s="19"/>
      <c r="L8" s="19"/>
      <c r="M8" s="19"/>
      <c r="N8" s="19"/>
      <c r="O8" s="19"/>
      <c r="P8" s="19"/>
      <c r="Q8" s="8"/>
      <c r="R8" s="37"/>
    </row>
    <row r="9" spans="1:18" x14ac:dyDescent="0.25">
      <c r="B9" s="3" t="s">
        <v>6</v>
      </c>
      <c r="C9" s="3" t="s">
        <v>8</v>
      </c>
      <c r="D9" s="6">
        <v>25</v>
      </c>
      <c r="E9" s="3">
        <v>72</v>
      </c>
      <c r="F9" s="3">
        <v>13</v>
      </c>
      <c r="G9" s="2">
        <v>110</v>
      </c>
      <c r="J9" s="9"/>
      <c r="K9" s="23"/>
      <c r="L9" s="23"/>
      <c r="M9" s="23"/>
      <c r="N9" s="23"/>
      <c r="O9" s="23"/>
      <c r="P9" s="23"/>
      <c r="Q9" s="10"/>
      <c r="R9" s="37"/>
    </row>
    <row r="10" spans="1:18" x14ac:dyDescent="0.25">
      <c r="B10" s="3" t="s">
        <v>9</v>
      </c>
      <c r="C10" s="3" t="s">
        <v>7</v>
      </c>
      <c r="D10" s="3">
        <v>7</v>
      </c>
      <c r="E10" s="3">
        <v>0</v>
      </c>
      <c r="F10" s="3">
        <v>5</v>
      </c>
      <c r="G10" s="2">
        <v>12</v>
      </c>
      <c r="J10" s="9"/>
      <c r="K10" s="23"/>
      <c r="L10" s="23"/>
      <c r="M10" s="23"/>
      <c r="N10" s="23"/>
      <c r="O10" s="23"/>
      <c r="P10" s="23"/>
      <c r="Q10" s="10"/>
      <c r="R10" s="37"/>
    </row>
    <row r="11" spans="1:18" x14ac:dyDescent="0.25">
      <c r="B11" s="3" t="s">
        <v>9</v>
      </c>
      <c r="C11" s="3" t="s">
        <v>8</v>
      </c>
      <c r="D11" s="3">
        <v>8</v>
      </c>
      <c r="E11" s="3">
        <v>7</v>
      </c>
      <c r="F11" s="3">
        <v>19</v>
      </c>
      <c r="G11" s="2">
        <v>34</v>
      </c>
      <c r="J11" s="9"/>
      <c r="K11" s="23"/>
      <c r="L11" s="23"/>
      <c r="M11" s="23"/>
      <c r="N11" s="23"/>
      <c r="O11" s="23"/>
      <c r="P11" s="23"/>
      <c r="Q11" s="10"/>
      <c r="R11" s="37"/>
    </row>
    <row r="12" spans="1:18" ht="15.75" thickBot="1" x14ac:dyDescent="0.3">
      <c r="B12" s="3" t="s">
        <v>10</v>
      </c>
      <c r="C12" s="3" t="s">
        <v>7</v>
      </c>
      <c r="D12" s="3">
        <v>60</v>
      </c>
      <c r="E12" s="3">
        <v>2</v>
      </c>
      <c r="F12" s="3">
        <v>17</v>
      </c>
      <c r="G12" s="2">
        <v>79</v>
      </c>
      <c r="J12" s="11"/>
      <c r="K12" s="21"/>
      <c r="L12" s="21"/>
      <c r="M12" s="21"/>
      <c r="N12" s="21"/>
      <c r="O12" s="21"/>
      <c r="P12" s="21"/>
      <c r="Q12" s="12"/>
      <c r="R12" s="37"/>
    </row>
    <row r="13" spans="1:18" x14ac:dyDescent="0.25">
      <c r="B13" s="3" t="s">
        <v>10</v>
      </c>
      <c r="C13" s="3" t="s">
        <v>8</v>
      </c>
      <c r="D13" s="3">
        <v>26</v>
      </c>
      <c r="E13" s="3">
        <v>10</v>
      </c>
      <c r="F13" s="3">
        <v>34</v>
      </c>
      <c r="G13" s="2">
        <v>70</v>
      </c>
      <c r="J13" s="37"/>
      <c r="K13" s="37"/>
      <c r="L13" s="37"/>
      <c r="M13" s="37"/>
      <c r="N13" s="37"/>
      <c r="O13" s="37"/>
      <c r="P13" s="37"/>
      <c r="Q13" s="37"/>
      <c r="R13" s="37"/>
    </row>
    <row r="14" spans="1:18" ht="15.75" thickBot="1" x14ac:dyDescent="0.3">
      <c r="B14" s="2" t="s">
        <v>11</v>
      </c>
      <c r="C14" s="2"/>
      <c r="D14" s="2">
        <v>156</v>
      </c>
      <c r="E14" s="2">
        <v>139</v>
      </c>
      <c r="F14" s="2">
        <v>105</v>
      </c>
      <c r="G14" s="2">
        <v>400</v>
      </c>
    </row>
    <row r="15" spans="1:18" x14ac:dyDescent="0.25">
      <c r="J15" s="40" t="s">
        <v>17</v>
      </c>
      <c r="K15" s="19"/>
      <c r="L15" s="41" t="s">
        <v>18</v>
      </c>
      <c r="M15" s="42" t="s">
        <v>19</v>
      </c>
      <c r="N15" s="8"/>
    </row>
    <row r="16" spans="1:18" s="18" customFormat="1" x14ac:dyDescent="0.25">
      <c r="J16" s="9"/>
      <c r="K16" s="23" t="s">
        <v>2</v>
      </c>
      <c r="L16" s="20">
        <f>156/400</f>
        <v>0.39</v>
      </c>
      <c r="M16" s="20">
        <f>-L16*LOG(L16,2)</f>
        <v>0.52979704865586574</v>
      </c>
      <c r="N16" s="10"/>
    </row>
    <row r="17" spans="1:14" s="18" customFormat="1" x14ac:dyDescent="0.25">
      <c r="J17" s="9"/>
      <c r="K17" s="23" t="s">
        <v>3</v>
      </c>
      <c r="L17" s="20">
        <f>139/400</f>
        <v>0.34749999999999998</v>
      </c>
      <c r="M17" s="20">
        <f t="shared" ref="M17:M18" si="0">-L17*LOG(L17,2)</f>
        <v>0.52990800317529796</v>
      </c>
      <c r="N17" s="10"/>
    </row>
    <row r="18" spans="1:14" s="18" customFormat="1" x14ac:dyDescent="0.25">
      <c r="J18" s="9"/>
      <c r="K18" s="23" t="s">
        <v>4</v>
      </c>
      <c r="L18" s="20">
        <f>105/400</f>
        <v>0.26250000000000001</v>
      </c>
      <c r="M18" s="20">
        <f t="shared" si="0"/>
        <v>0.50652280142850814</v>
      </c>
      <c r="N18" s="10"/>
    </row>
    <row r="19" spans="1:14" s="18" customFormat="1" x14ac:dyDescent="0.25">
      <c r="J19" s="9"/>
      <c r="K19" s="43" t="s">
        <v>20</v>
      </c>
      <c r="L19" s="23"/>
      <c r="M19" s="44">
        <f>SUM(M16:M18)</f>
        <v>1.5662278532596718</v>
      </c>
      <c r="N19" s="10"/>
    </row>
    <row r="20" spans="1:14" s="18" customFormat="1" ht="15.75" thickBot="1" x14ac:dyDescent="0.3">
      <c r="J20" s="11"/>
      <c r="K20" s="45"/>
      <c r="L20" s="21"/>
      <c r="M20" s="21"/>
      <c r="N20" s="12"/>
    </row>
    <row r="21" spans="1:14" x14ac:dyDescent="0.25">
      <c r="B21" s="5"/>
    </row>
    <row r="22" spans="1:14" x14ac:dyDescent="0.25">
      <c r="A22" s="62" t="s">
        <v>13</v>
      </c>
      <c r="C22" s="5"/>
      <c r="E22" s="5"/>
      <c r="F22" s="5"/>
      <c r="G22" s="5"/>
      <c r="H22" s="5"/>
      <c r="I22" s="5"/>
      <c r="J22" s="5"/>
      <c r="K22" s="5"/>
      <c r="L22" s="5"/>
      <c r="M22" s="5"/>
    </row>
    <row r="23" spans="1:14" x14ac:dyDescent="0.25">
      <c r="B23" s="5" t="s">
        <v>12</v>
      </c>
      <c r="C23" s="5"/>
      <c r="E23" s="5"/>
      <c r="F23" s="5"/>
      <c r="G23" s="5"/>
      <c r="H23" s="5"/>
      <c r="I23" s="5"/>
      <c r="J23" s="5"/>
      <c r="K23" s="5"/>
      <c r="L23" s="5"/>
      <c r="M23" s="5"/>
    </row>
    <row r="24" spans="1:14" ht="15.75" thickBot="1" x14ac:dyDescent="0.3">
      <c r="B24" s="5"/>
      <c r="C24" s="5"/>
      <c r="E24" s="5"/>
      <c r="F24" s="5"/>
      <c r="G24" s="5"/>
      <c r="H24" s="5"/>
      <c r="I24" s="5"/>
      <c r="J24" s="5"/>
      <c r="K24" s="5"/>
      <c r="L24" s="5"/>
      <c r="M24" s="5"/>
    </row>
    <row r="25" spans="1:14" ht="15.75" thickBot="1" x14ac:dyDescent="0.3">
      <c r="B25" s="92" t="s">
        <v>21</v>
      </c>
      <c r="C25" s="92" t="s">
        <v>22</v>
      </c>
      <c r="D25" s="93" t="s">
        <v>23</v>
      </c>
      <c r="E25" s="93" t="s">
        <v>18</v>
      </c>
      <c r="F25" s="94" t="s">
        <v>19</v>
      </c>
      <c r="G25" s="95" t="s">
        <v>5</v>
      </c>
      <c r="H25" s="95" t="s">
        <v>24</v>
      </c>
      <c r="I25" s="96" t="s">
        <v>25</v>
      </c>
      <c r="J25" s="97" t="s">
        <v>26</v>
      </c>
      <c r="K25" s="97" t="s">
        <v>27</v>
      </c>
    </row>
    <row r="26" spans="1:14" x14ac:dyDescent="0.25">
      <c r="B26" s="85" t="s">
        <v>0</v>
      </c>
      <c r="C26" s="19" t="s">
        <v>6</v>
      </c>
      <c r="D26" s="46" t="s">
        <v>2</v>
      </c>
      <c r="E26" s="47">
        <f>55/205</f>
        <v>0.26829268292682928</v>
      </c>
      <c r="F26" s="47">
        <f>-E26*LOG(E26,2)</f>
        <v>0.50925181087289395</v>
      </c>
      <c r="G26" s="48">
        <f>SUM(F26:F28)</f>
        <v>1.367244130797475</v>
      </c>
      <c r="H26" s="47">
        <f>205/400</f>
        <v>0.51249999999999996</v>
      </c>
      <c r="I26" s="49">
        <f>G26*H26</f>
        <v>0.70071261703370591</v>
      </c>
      <c r="J26" s="87">
        <f>SUM(I26,I29,I32)</f>
        <v>1.3418976289538691</v>
      </c>
      <c r="K26" s="72">
        <f>M19-J26</f>
        <v>0.22433022430580274</v>
      </c>
    </row>
    <row r="27" spans="1:14" x14ac:dyDescent="0.25">
      <c r="B27" s="86"/>
      <c r="C27" s="23"/>
      <c r="D27" s="50" t="s">
        <v>3</v>
      </c>
      <c r="E27" s="51">
        <f>120/205</f>
        <v>0.58536585365853655</v>
      </c>
      <c r="F27" s="51">
        <f t="shared" ref="F27:F40" si="1">-E27*LOG(E27,2)</f>
        <v>0.45224751447625028</v>
      </c>
      <c r="G27" s="52"/>
      <c r="H27" s="51"/>
      <c r="I27" s="53"/>
      <c r="J27" s="88"/>
      <c r="K27" s="73"/>
    </row>
    <row r="28" spans="1:14" x14ac:dyDescent="0.25">
      <c r="B28" s="86"/>
      <c r="C28" s="23"/>
      <c r="D28" s="50" t="s">
        <v>4</v>
      </c>
      <c r="E28" s="51">
        <f>30/205</f>
        <v>0.14634146341463414</v>
      </c>
      <c r="F28" s="51">
        <f t="shared" si="1"/>
        <v>0.40574480544833086</v>
      </c>
      <c r="G28" s="52"/>
      <c r="H28" s="51"/>
      <c r="I28" s="53"/>
      <c r="J28" s="88"/>
      <c r="K28" s="73"/>
    </row>
    <row r="29" spans="1:14" x14ac:dyDescent="0.25">
      <c r="B29" s="86"/>
      <c r="C29" s="26" t="s">
        <v>9</v>
      </c>
      <c r="D29" s="54" t="s">
        <v>2</v>
      </c>
      <c r="E29" s="55">
        <f>15/46</f>
        <v>0.32608695652173914</v>
      </c>
      <c r="F29" s="56">
        <f>-E29*LOG(E29,2)</f>
        <v>0.52717544362450908</v>
      </c>
      <c r="G29" s="57">
        <f>SUM(F29:F31)</f>
        <v>1.4302153602779095</v>
      </c>
      <c r="H29" s="55">
        <f>46/400</f>
        <v>0.115</v>
      </c>
      <c r="I29" s="56">
        <f>G29*H29</f>
        <v>0.1644747664319596</v>
      </c>
      <c r="J29" s="88"/>
      <c r="K29" s="73"/>
    </row>
    <row r="30" spans="1:14" x14ac:dyDescent="0.25">
      <c r="B30" s="86"/>
      <c r="C30" s="23"/>
      <c r="D30" s="50" t="s">
        <v>3</v>
      </c>
      <c r="E30" s="51">
        <f>7/46</f>
        <v>0.15217391304347827</v>
      </c>
      <c r="F30" s="51">
        <f t="shared" si="1"/>
        <v>0.41333585299991005</v>
      </c>
      <c r="G30" s="52"/>
      <c r="H30" s="51"/>
      <c r="I30" s="53"/>
      <c r="J30" s="88"/>
      <c r="K30" s="73"/>
    </row>
    <row r="31" spans="1:14" x14ac:dyDescent="0.25">
      <c r="B31" s="86"/>
      <c r="C31" s="23"/>
      <c r="D31" s="50" t="s">
        <v>4</v>
      </c>
      <c r="E31" s="51">
        <f>24/46</f>
        <v>0.52173913043478259</v>
      </c>
      <c r="F31" s="51">
        <f t="shared" si="1"/>
        <v>0.48970406365349045</v>
      </c>
      <c r="G31" s="52"/>
      <c r="H31" s="51"/>
      <c r="I31" s="53"/>
      <c r="J31" s="88"/>
      <c r="K31" s="73"/>
    </row>
    <row r="32" spans="1:14" x14ac:dyDescent="0.25">
      <c r="B32" s="86"/>
      <c r="C32" s="26" t="s">
        <v>10</v>
      </c>
      <c r="D32" s="54" t="s">
        <v>2</v>
      </c>
      <c r="E32" s="55">
        <f>86/149</f>
        <v>0.57718120805369133</v>
      </c>
      <c r="F32" s="56">
        <f>-E32*LOG(E32,2)</f>
        <v>0.45764915339171452</v>
      </c>
      <c r="G32" s="57">
        <f>SUM(F32:F34)</f>
        <v>1.2797590482904797</v>
      </c>
      <c r="H32" s="55">
        <f>149/400</f>
        <v>0.3725</v>
      </c>
      <c r="I32" s="56">
        <f>G32*H32</f>
        <v>0.47671024548820368</v>
      </c>
      <c r="J32" s="88"/>
      <c r="K32" s="73"/>
    </row>
    <row r="33" spans="1:12" x14ac:dyDescent="0.25">
      <c r="B33" s="86"/>
      <c r="C33" s="23"/>
      <c r="D33" s="50" t="s">
        <v>3</v>
      </c>
      <c r="E33" s="51">
        <f>12/149</f>
        <v>8.0536912751677847E-2</v>
      </c>
      <c r="F33" s="51">
        <f t="shared" si="1"/>
        <v>0.29268773313350377</v>
      </c>
      <c r="G33" s="52"/>
      <c r="H33" s="51"/>
      <c r="I33" s="53"/>
      <c r="J33" s="88"/>
      <c r="K33" s="73"/>
    </row>
    <row r="34" spans="1:12" ht="15.75" thickBot="1" x14ac:dyDescent="0.3">
      <c r="B34" s="86"/>
      <c r="C34" s="23"/>
      <c r="D34" s="50" t="s">
        <v>4</v>
      </c>
      <c r="E34" s="51">
        <f>51/149</f>
        <v>0.34228187919463088</v>
      </c>
      <c r="F34" s="51">
        <f t="shared" si="1"/>
        <v>0.52942216176526147</v>
      </c>
      <c r="G34" s="52"/>
      <c r="H34" s="51"/>
      <c r="I34" s="53"/>
      <c r="J34" s="88"/>
      <c r="K34" s="73"/>
    </row>
    <row r="35" spans="1:12" x14ac:dyDescent="0.25">
      <c r="B35" s="85" t="s">
        <v>14</v>
      </c>
      <c r="C35" s="19" t="s">
        <v>7</v>
      </c>
      <c r="D35" s="46" t="s">
        <v>2</v>
      </c>
      <c r="E35" s="47">
        <f>97/186</f>
        <v>0.521505376344086</v>
      </c>
      <c r="F35" s="47">
        <f>-E35*LOG(E35,2)</f>
        <v>0.48982182250176159</v>
      </c>
      <c r="G35" s="48">
        <f>SUM(F35:F37)</f>
        <v>1.4718736405891319</v>
      </c>
      <c r="H35" s="47">
        <f>186/400</f>
        <v>0.46500000000000002</v>
      </c>
      <c r="I35" s="49">
        <f>G35*H35</f>
        <v>0.68442124287394634</v>
      </c>
      <c r="J35" s="69">
        <f>SUM(I35:I38)</f>
        <v>1.5202405127335201</v>
      </c>
      <c r="K35" s="72">
        <f>M19-J35</f>
        <v>4.5987340526151721E-2</v>
      </c>
    </row>
    <row r="36" spans="1:12" x14ac:dyDescent="0.25">
      <c r="B36" s="86"/>
      <c r="C36" s="23"/>
      <c r="D36" s="50" t="s">
        <v>3</v>
      </c>
      <c r="E36" s="51">
        <f>50/186</f>
        <v>0.26881720430107525</v>
      </c>
      <c r="F36" s="51">
        <f t="shared" si="1"/>
        <v>0.50948995197131897</v>
      </c>
      <c r="G36" s="52"/>
      <c r="H36" s="51"/>
      <c r="I36" s="53"/>
      <c r="J36" s="90"/>
      <c r="K36" s="73"/>
    </row>
    <row r="37" spans="1:12" x14ac:dyDescent="0.25">
      <c r="B37" s="86"/>
      <c r="C37" s="23"/>
      <c r="D37" s="50" t="s">
        <v>4</v>
      </c>
      <c r="E37" s="51">
        <f>39/186</f>
        <v>0.20967741935483872</v>
      </c>
      <c r="F37" s="51">
        <f t="shared" si="1"/>
        <v>0.47256186611605133</v>
      </c>
      <c r="G37" s="52"/>
      <c r="H37" s="51"/>
      <c r="I37" s="53"/>
      <c r="J37" s="90"/>
      <c r="K37" s="73"/>
      <c r="L37" s="16"/>
    </row>
    <row r="38" spans="1:12" x14ac:dyDescent="0.25">
      <c r="B38" s="86"/>
      <c r="C38" s="26" t="s">
        <v>8</v>
      </c>
      <c r="D38" s="54" t="s">
        <v>2</v>
      </c>
      <c r="E38" s="55">
        <f>59/214</f>
        <v>0.27570093457943923</v>
      </c>
      <c r="F38" s="55">
        <f>-E38*LOG(E38,2)</f>
        <v>0.51247949666036929</v>
      </c>
      <c r="G38" s="57">
        <f>SUM(F38:F40)</f>
        <v>1.5622790090833154</v>
      </c>
      <c r="H38" s="55">
        <f>214/400</f>
        <v>0.53500000000000003</v>
      </c>
      <c r="I38" s="56">
        <f>G38*H38</f>
        <v>0.83581926985957378</v>
      </c>
      <c r="J38" s="90"/>
      <c r="K38" s="73"/>
      <c r="L38" s="16"/>
    </row>
    <row r="39" spans="1:12" x14ac:dyDescent="0.25">
      <c r="B39" s="86"/>
      <c r="C39" s="23"/>
      <c r="D39" s="50" t="s">
        <v>3</v>
      </c>
      <c r="E39" s="51">
        <f>89/214</f>
        <v>0.41588785046728971</v>
      </c>
      <c r="F39" s="51">
        <f t="shared" si="1"/>
        <v>0.526403207634078</v>
      </c>
      <c r="G39" s="52"/>
      <c r="H39" s="51"/>
      <c r="I39" s="53"/>
      <c r="J39" s="90"/>
      <c r="K39" s="73"/>
    </row>
    <row r="40" spans="1:12" ht="15.75" thickBot="1" x14ac:dyDescent="0.3">
      <c r="B40" s="89"/>
      <c r="C40" s="21"/>
      <c r="D40" s="58" t="s">
        <v>4</v>
      </c>
      <c r="E40" s="59">
        <f>66/214</f>
        <v>0.30841121495327101</v>
      </c>
      <c r="F40" s="59">
        <f t="shared" si="1"/>
        <v>0.52339630478886812</v>
      </c>
      <c r="G40" s="60"/>
      <c r="H40" s="59"/>
      <c r="I40" s="61"/>
      <c r="J40" s="91"/>
      <c r="K40" s="74"/>
    </row>
    <row r="43" spans="1:12" x14ac:dyDescent="0.25">
      <c r="A43" s="17" t="s">
        <v>30</v>
      </c>
    </row>
    <row r="44" spans="1:12" ht="15.75" thickBot="1" x14ac:dyDescent="0.3">
      <c r="B44" s="36" t="s">
        <v>28</v>
      </c>
      <c r="C44" s="38"/>
      <c r="D44" s="36"/>
      <c r="E44" s="38"/>
      <c r="F44" s="39"/>
      <c r="G44" s="38"/>
      <c r="H44" s="38"/>
      <c r="I44" s="38"/>
      <c r="J44" s="38"/>
      <c r="K44" s="38"/>
      <c r="L44" s="38"/>
    </row>
    <row r="45" spans="1:12" ht="15.75" thickBot="1" x14ac:dyDescent="0.3">
      <c r="B45" s="92" t="s">
        <v>21</v>
      </c>
      <c r="C45" s="92" t="s">
        <v>22</v>
      </c>
      <c r="D45" s="93" t="s">
        <v>23</v>
      </c>
      <c r="E45" s="93" t="s">
        <v>18</v>
      </c>
      <c r="F45" s="94" t="s">
        <v>19</v>
      </c>
      <c r="G45" s="95" t="s">
        <v>5</v>
      </c>
      <c r="H45" s="95" t="s">
        <v>24</v>
      </c>
      <c r="I45" s="96" t="s">
        <v>25</v>
      </c>
      <c r="J45" s="97" t="s">
        <v>26</v>
      </c>
      <c r="K45" s="97" t="s">
        <v>27</v>
      </c>
    </row>
    <row r="46" spans="1:12" x14ac:dyDescent="0.25">
      <c r="B46" s="63" t="s">
        <v>14</v>
      </c>
      <c r="C46" s="19" t="s">
        <v>7</v>
      </c>
      <c r="D46" s="46" t="s">
        <v>2</v>
      </c>
      <c r="E46" s="47">
        <f>30/95</f>
        <v>0.31578947368421051</v>
      </c>
      <c r="F46" s="47">
        <f>-E46*LOG(E46,2)</f>
        <v>0.52514684612287243</v>
      </c>
      <c r="G46" s="48">
        <f>SUM(F46:F48)</f>
        <v>1.4669947009190867</v>
      </c>
      <c r="H46" s="47">
        <f>186/400</f>
        <v>0.46500000000000002</v>
      </c>
      <c r="I46" s="49">
        <f>G46*H46</f>
        <v>0.68215253592737535</v>
      </c>
      <c r="J46" s="69">
        <f>SUM(I46:I49)</f>
        <v>1.3509650205406492</v>
      </c>
      <c r="K46" s="72">
        <f>M19-J46</f>
        <v>0.21526283271902269</v>
      </c>
    </row>
    <row r="47" spans="1:12" x14ac:dyDescent="0.25">
      <c r="B47" s="65"/>
      <c r="C47" s="23"/>
      <c r="D47" s="50" t="s">
        <v>3</v>
      </c>
      <c r="E47" s="51">
        <f>48/95</f>
        <v>0.50526315789473686</v>
      </c>
      <c r="F47" s="51">
        <f t="shared" ref="F47:F51" si="2">-E47*LOG(E47,2)</f>
        <v>0.4976302017396842</v>
      </c>
      <c r="G47" s="52"/>
      <c r="H47" s="51"/>
      <c r="I47" s="53"/>
      <c r="J47" s="70"/>
      <c r="K47" s="73"/>
    </row>
    <row r="48" spans="1:12" x14ac:dyDescent="0.25">
      <c r="B48" s="65"/>
      <c r="C48" s="23"/>
      <c r="D48" s="50" t="s">
        <v>4</v>
      </c>
      <c r="E48" s="51">
        <f>17/95</f>
        <v>0.17894736842105263</v>
      </c>
      <c r="F48" s="51">
        <f t="shared" si="2"/>
        <v>0.44421765305652999</v>
      </c>
      <c r="G48" s="52"/>
      <c r="H48" s="51"/>
      <c r="I48" s="53"/>
      <c r="J48" s="70"/>
      <c r="K48" s="73"/>
    </row>
    <row r="49" spans="2:12" x14ac:dyDescent="0.25">
      <c r="B49" s="65"/>
      <c r="C49" s="26" t="s">
        <v>8</v>
      </c>
      <c r="D49" s="54" t="s">
        <v>2</v>
      </c>
      <c r="E49" s="55">
        <f>25/110</f>
        <v>0.22727272727272727</v>
      </c>
      <c r="F49" s="55">
        <f>-E49*LOG(E49,2)</f>
        <v>0.48579625539771254</v>
      </c>
      <c r="G49" s="57">
        <f>SUM(F49:F51)</f>
        <v>1.2501167936696704</v>
      </c>
      <c r="H49" s="55">
        <f>214/400</f>
        <v>0.53500000000000003</v>
      </c>
      <c r="I49" s="56">
        <f>G49*H49</f>
        <v>0.66881248461327369</v>
      </c>
      <c r="J49" s="70"/>
      <c r="K49" s="73"/>
    </row>
    <row r="50" spans="2:12" x14ac:dyDescent="0.25">
      <c r="B50" s="65"/>
      <c r="C50" s="23"/>
      <c r="D50" s="50" t="s">
        <v>3</v>
      </c>
      <c r="E50" s="51">
        <f>72/110</f>
        <v>0.65454545454545454</v>
      </c>
      <c r="F50" s="51">
        <f t="shared" si="2"/>
        <v>0.40021181154480912</v>
      </c>
      <c r="G50" s="52"/>
      <c r="H50" s="51"/>
      <c r="I50" s="53"/>
      <c r="J50" s="70"/>
      <c r="K50" s="73"/>
    </row>
    <row r="51" spans="2:12" ht="15.75" thickBot="1" x14ac:dyDescent="0.3">
      <c r="B51" s="67"/>
      <c r="C51" s="21"/>
      <c r="D51" s="58" t="s">
        <v>4</v>
      </c>
      <c r="E51" s="59">
        <f>13/110</f>
        <v>0.11818181818181818</v>
      </c>
      <c r="F51" s="59">
        <f t="shared" si="2"/>
        <v>0.36410872672714883</v>
      </c>
      <c r="G51" s="60"/>
      <c r="H51" s="59"/>
      <c r="I51" s="61"/>
      <c r="J51" s="71"/>
      <c r="K51" s="74"/>
    </row>
    <row r="52" spans="2:12" x14ac:dyDescent="0.2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2:12" ht="15.75" thickBot="1" x14ac:dyDescent="0.3">
      <c r="B53" s="36" t="s">
        <v>29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2" ht="15.75" thickBot="1" x14ac:dyDescent="0.3">
      <c r="B54" s="92" t="s">
        <v>21</v>
      </c>
      <c r="C54" s="92" t="s">
        <v>22</v>
      </c>
      <c r="D54" s="93" t="s">
        <v>23</v>
      </c>
      <c r="E54" s="93" t="s">
        <v>18</v>
      </c>
      <c r="F54" s="94" t="s">
        <v>19</v>
      </c>
      <c r="G54" s="95" t="s">
        <v>5</v>
      </c>
      <c r="H54" s="95" t="s">
        <v>24</v>
      </c>
      <c r="I54" s="96" t="s">
        <v>25</v>
      </c>
      <c r="J54" s="97" t="s">
        <v>26</v>
      </c>
      <c r="K54" s="97" t="s">
        <v>27</v>
      </c>
    </row>
    <row r="55" spans="2:12" x14ac:dyDescent="0.25">
      <c r="B55" s="63" t="s">
        <v>14</v>
      </c>
      <c r="C55" s="19" t="s">
        <v>7</v>
      </c>
      <c r="D55" s="46" t="s">
        <v>2</v>
      </c>
      <c r="E55" s="47">
        <f>7/12</f>
        <v>0.58333333333333337</v>
      </c>
      <c r="F55" s="47">
        <f>-E55*LOG(E55,2)</f>
        <v>0.45360442088707198</v>
      </c>
      <c r="G55" s="48">
        <f>SUM(F55:F57)</f>
        <v>0.97986875665115269</v>
      </c>
      <c r="H55" s="47">
        <f>186/400</f>
        <v>0.46500000000000002</v>
      </c>
      <c r="I55" s="49">
        <f>G55*H55</f>
        <v>0.45563897184278601</v>
      </c>
      <c r="J55" s="69">
        <f>SUM(I55:I58)</f>
        <v>1.2205572578746655</v>
      </c>
      <c r="K55" s="72">
        <f>M19-J55</f>
        <v>0.34567059538500633</v>
      </c>
    </row>
    <row r="56" spans="2:12" x14ac:dyDescent="0.25">
      <c r="B56" s="65"/>
      <c r="C56" s="23"/>
      <c r="D56" s="50" t="s">
        <v>3</v>
      </c>
      <c r="E56" s="51">
        <f>0/12</f>
        <v>0</v>
      </c>
      <c r="F56" s="51">
        <v>0</v>
      </c>
      <c r="G56" s="52"/>
      <c r="H56" s="51"/>
      <c r="I56" s="53"/>
      <c r="J56" s="70"/>
      <c r="K56" s="73"/>
    </row>
    <row r="57" spans="2:12" x14ac:dyDescent="0.25">
      <c r="B57" s="65"/>
      <c r="C57" s="23"/>
      <c r="D57" s="50" t="s">
        <v>4</v>
      </c>
      <c r="E57" s="51">
        <f>5/12</f>
        <v>0.41666666666666669</v>
      </c>
      <c r="F57" s="51">
        <f t="shared" ref="F57" si="3">-E57*LOG(E57,2)</f>
        <v>0.52626433576408072</v>
      </c>
      <c r="G57" s="52"/>
      <c r="H57" s="51"/>
      <c r="I57" s="53"/>
      <c r="J57" s="70"/>
      <c r="K57" s="73"/>
    </row>
    <row r="58" spans="2:12" x14ac:dyDescent="0.25">
      <c r="B58" s="65"/>
      <c r="C58" s="26" t="s">
        <v>8</v>
      </c>
      <c r="D58" s="54" t="s">
        <v>2</v>
      </c>
      <c r="E58" s="55">
        <f>8/34</f>
        <v>0.23529411764705882</v>
      </c>
      <c r="F58" s="55">
        <f>-E58*LOG(E58,2)</f>
        <v>0.49116772735302106</v>
      </c>
      <c r="G58" s="57">
        <f>SUM(F58:F60)</f>
        <v>1.4297538056670642</v>
      </c>
      <c r="H58" s="55">
        <f>214/400</f>
        <v>0.53500000000000003</v>
      </c>
      <c r="I58" s="56">
        <f>G58*H58</f>
        <v>0.76491828603187939</v>
      </c>
      <c r="J58" s="70"/>
      <c r="K58" s="73"/>
    </row>
    <row r="59" spans="2:12" x14ac:dyDescent="0.25">
      <c r="B59" s="65"/>
      <c r="C59" s="23"/>
      <c r="D59" s="50" t="s">
        <v>3</v>
      </c>
      <c r="E59" s="51">
        <f>7/34</f>
        <v>0.20588235294117646</v>
      </c>
      <c r="F59" s="51">
        <f t="shared" ref="F59:F60" si="4">-E59*LOG(E59,2)</f>
        <v>0.46943398336321018</v>
      </c>
      <c r="G59" s="52"/>
      <c r="H59" s="51"/>
      <c r="I59" s="53"/>
      <c r="J59" s="70"/>
      <c r="K59" s="73"/>
    </row>
    <row r="60" spans="2:12" ht="15.75" thickBot="1" x14ac:dyDescent="0.3">
      <c r="B60" s="67"/>
      <c r="C60" s="21"/>
      <c r="D60" s="58" t="s">
        <v>4</v>
      </c>
      <c r="E60" s="59">
        <f>19/34</f>
        <v>0.55882352941176472</v>
      </c>
      <c r="F60" s="59">
        <f t="shared" si="4"/>
        <v>0.46915209495083304</v>
      </c>
      <c r="G60" s="60"/>
      <c r="H60" s="59"/>
      <c r="I60" s="61"/>
      <c r="J60" s="71"/>
      <c r="K60" s="74"/>
    </row>
    <row r="61" spans="2:12" x14ac:dyDescent="0.25">
      <c r="D61"/>
    </row>
    <row r="62" spans="2:12" ht="15.75" thickBot="1" x14ac:dyDescent="0.3">
      <c r="B62" s="36" t="s">
        <v>31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2:12" ht="15.75" thickBot="1" x14ac:dyDescent="0.3">
      <c r="B63" s="92" t="s">
        <v>21</v>
      </c>
      <c r="C63" s="92" t="s">
        <v>22</v>
      </c>
      <c r="D63" s="93" t="s">
        <v>23</v>
      </c>
      <c r="E63" s="93" t="s">
        <v>18</v>
      </c>
      <c r="F63" s="94" t="s">
        <v>19</v>
      </c>
      <c r="G63" s="95" t="s">
        <v>5</v>
      </c>
      <c r="H63" s="95" t="s">
        <v>24</v>
      </c>
      <c r="I63" s="96" t="s">
        <v>25</v>
      </c>
      <c r="J63" s="97" t="s">
        <v>26</v>
      </c>
      <c r="K63" s="97" t="s">
        <v>27</v>
      </c>
    </row>
    <row r="64" spans="2:12" x14ac:dyDescent="0.25">
      <c r="B64" s="63" t="s">
        <v>14</v>
      </c>
      <c r="C64" s="19" t="s">
        <v>7</v>
      </c>
      <c r="D64" s="46" t="s">
        <v>2</v>
      </c>
      <c r="E64" s="47">
        <f>60/79</f>
        <v>0.759493670886076</v>
      </c>
      <c r="F64" s="47">
        <f>-E64*LOG(E64,2)</f>
        <v>0.3014355589128489</v>
      </c>
      <c r="G64" s="48">
        <f>SUM(F64:F66)</f>
        <v>0.91263765909144623</v>
      </c>
      <c r="H64" s="47">
        <f>186/400</f>
        <v>0.46500000000000002</v>
      </c>
      <c r="I64" s="49">
        <f>G64*H64</f>
        <v>0.42437651147752253</v>
      </c>
      <c r="J64" s="64">
        <f>SUM(I64:I67)</f>
        <v>1.1935946274097415</v>
      </c>
      <c r="K64" s="72">
        <f>M19-J64</f>
        <v>0.37263322584993031</v>
      </c>
    </row>
    <row r="65" spans="2:11" x14ac:dyDescent="0.25">
      <c r="B65" s="65"/>
      <c r="C65" s="23"/>
      <c r="D65" s="50" t="s">
        <v>3</v>
      </c>
      <c r="E65" s="51">
        <f>2/79</f>
        <v>2.5316455696202531E-2</v>
      </c>
      <c r="F65" s="51">
        <f t="shared" ref="F65:F66" si="5">-E65*LOG(E65,2)</f>
        <v>0.13427293033359755</v>
      </c>
      <c r="G65" s="52"/>
      <c r="H65" s="51"/>
      <c r="I65" s="53"/>
      <c r="J65" s="66"/>
      <c r="K65" s="73"/>
    </row>
    <row r="66" spans="2:11" x14ac:dyDescent="0.25">
      <c r="B66" s="65"/>
      <c r="C66" s="23"/>
      <c r="D66" s="50" t="s">
        <v>4</v>
      </c>
      <c r="E66" s="51">
        <f>17/79</f>
        <v>0.21518987341772153</v>
      </c>
      <c r="F66" s="51">
        <f t="shared" si="5"/>
        <v>0.47692916984499978</v>
      </c>
      <c r="G66" s="52"/>
      <c r="H66" s="51"/>
      <c r="I66" s="53"/>
      <c r="J66" s="66"/>
      <c r="K66" s="73"/>
    </row>
    <row r="67" spans="2:11" x14ac:dyDescent="0.25">
      <c r="B67" s="65"/>
      <c r="C67" s="26" t="s">
        <v>8</v>
      </c>
      <c r="D67" s="54" t="s">
        <v>2</v>
      </c>
      <c r="E67" s="55">
        <f>26/70</f>
        <v>0.37142857142857144</v>
      </c>
      <c r="F67" s="55">
        <f>-E67*LOG(E67,2)</f>
        <v>0.53071322527001041</v>
      </c>
      <c r="G67" s="57">
        <f>SUM(F67:F69)</f>
        <v>1.4377908709013441</v>
      </c>
      <c r="H67" s="55">
        <f>214/400</f>
        <v>0.53500000000000003</v>
      </c>
      <c r="I67" s="56">
        <f>G67*H67</f>
        <v>0.76921811593221912</v>
      </c>
      <c r="J67" s="66"/>
      <c r="K67" s="73"/>
    </row>
    <row r="68" spans="2:11" x14ac:dyDescent="0.25">
      <c r="B68" s="65"/>
      <c r="C68" s="23"/>
      <c r="D68" s="50" t="s">
        <v>3</v>
      </c>
      <c r="E68" s="51">
        <f>10/70</f>
        <v>0.14285714285714285</v>
      </c>
      <c r="F68" s="51">
        <f t="shared" ref="F68:F69" si="6">-E68*LOG(E68,2)</f>
        <v>0.40105070315108637</v>
      </c>
      <c r="G68" s="52"/>
      <c r="H68" s="51"/>
      <c r="I68" s="53"/>
      <c r="J68" s="66"/>
      <c r="K68" s="73"/>
    </row>
    <row r="69" spans="2:11" ht="15.75" thickBot="1" x14ac:dyDescent="0.3">
      <c r="B69" s="67"/>
      <c r="C69" s="21"/>
      <c r="D69" s="58" t="s">
        <v>4</v>
      </c>
      <c r="E69" s="59">
        <f>34/70</f>
        <v>0.48571428571428571</v>
      </c>
      <c r="F69" s="59">
        <f t="shared" si="6"/>
        <v>0.50602694248024738</v>
      </c>
      <c r="G69" s="60"/>
      <c r="H69" s="59"/>
      <c r="I69" s="61"/>
      <c r="J69" s="68"/>
      <c r="K69" s="74"/>
    </row>
    <row r="70" spans="2:11" x14ac:dyDescent="0.25">
      <c r="D70"/>
    </row>
    <row r="71" spans="2:11" x14ac:dyDescent="0.25">
      <c r="B71" s="36" t="s">
        <v>32</v>
      </c>
      <c r="D71"/>
    </row>
    <row r="72" spans="2:11" x14ac:dyDescent="0.25">
      <c r="B72" s="25"/>
      <c r="C72" s="26"/>
      <c r="D72" s="26"/>
      <c r="E72" s="26"/>
      <c r="F72" s="26"/>
      <c r="G72" s="26"/>
      <c r="H72" s="26"/>
      <c r="I72" s="26"/>
      <c r="J72" s="27"/>
    </row>
    <row r="73" spans="2:11" x14ac:dyDescent="0.25">
      <c r="B73" s="28"/>
      <c r="C73" s="23"/>
      <c r="D73" s="29"/>
      <c r="E73" s="29"/>
      <c r="F73" s="24" t="s">
        <v>0</v>
      </c>
      <c r="G73" s="29"/>
      <c r="H73" s="29"/>
      <c r="I73" s="23"/>
      <c r="J73" s="30"/>
    </row>
    <row r="74" spans="2:11" x14ac:dyDescent="0.25">
      <c r="B74" s="28"/>
      <c r="C74" s="23"/>
      <c r="D74" s="29"/>
      <c r="E74" s="29"/>
      <c r="F74" s="29"/>
      <c r="G74" s="29"/>
      <c r="H74" s="29"/>
      <c r="I74" s="23"/>
      <c r="J74" s="30"/>
    </row>
    <row r="75" spans="2:11" x14ac:dyDescent="0.25">
      <c r="B75" s="28"/>
      <c r="C75" s="23"/>
      <c r="D75" s="29" t="s">
        <v>6</v>
      </c>
      <c r="E75" s="29"/>
      <c r="F75" s="29"/>
      <c r="G75" s="29"/>
      <c r="H75" s="31" t="s">
        <v>33</v>
      </c>
      <c r="I75" s="23"/>
      <c r="J75" s="30"/>
    </row>
    <row r="76" spans="2:11" x14ac:dyDescent="0.25">
      <c r="B76" s="28"/>
      <c r="C76" s="23"/>
      <c r="D76" s="29"/>
      <c r="E76" s="29"/>
      <c r="F76" s="29"/>
      <c r="G76" s="29"/>
      <c r="H76" s="29"/>
      <c r="I76" s="23"/>
      <c r="J76" s="30"/>
    </row>
    <row r="77" spans="2:11" x14ac:dyDescent="0.25">
      <c r="B77" s="28"/>
      <c r="C77" s="23"/>
      <c r="D77" s="24" t="s">
        <v>3</v>
      </c>
      <c r="E77" s="29"/>
      <c r="F77" s="29"/>
      <c r="G77" s="29"/>
      <c r="H77" s="24" t="s">
        <v>14</v>
      </c>
      <c r="I77" s="23"/>
      <c r="J77" s="30"/>
    </row>
    <row r="78" spans="2:11" x14ac:dyDescent="0.25">
      <c r="B78" s="28"/>
      <c r="C78" s="38"/>
      <c r="D78" s="38"/>
      <c r="E78" s="38"/>
      <c r="F78" s="23"/>
      <c r="G78" s="23"/>
      <c r="H78" s="23"/>
      <c r="I78" s="23"/>
      <c r="J78" s="30"/>
    </row>
    <row r="79" spans="2:11" x14ac:dyDescent="0.25">
      <c r="B79" s="28"/>
      <c r="C79" s="38"/>
      <c r="D79" s="38"/>
      <c r="E79" s="38"/>
      <c r="F79" s="23"/>
      <c r="G79" s="32" t="s">
        <v>7</v>
      </c>
      <c r="H79" s="23"/>
      <c r="I79" s="23" t="s">
        <v>8</v>
      </c>
      <c r="J79" s="30"/>
    </row>
    <row r="80" spans="2:11" x14ac:dyDescent="0.25">
      <c r="B80" s="28"/>
      <c r="C80" s="38"/>
      <c r="D80" s="38"/>
      <c r="E80" s="38"/>
      <c r="F80" s="23"/>
      <c r="G80" s="23"/>
      <c r="H80" s="23"/>
      <c r="I80" s="23"/>
      <c r="J80" s="30"/>
    </row>
    <row r="81" spans="2:10" x14ac:dyDescent="0.25">
      <c r="B81" s="28"/>
      <c r="C81" s="38"/>
      <c r="D81" s="38"/>
      <c r="E81" s="38"/>
      <c r="F81" s="23"/>
      <c r="G81" s="24" t="s">
        <v>2</v>
      </c>
      <c r="H81" s="23"/>
      <c r="I81" s="24" t="s">
        <v>4</v>
      </c>
      <c r="J81" s="30"/>
    </row>
    <row r="82" spans="2:10" x14ac:dyDescent="0.25">
      <c r="B82" s="33"/>
      <c r="C82" s="34"/>
      <c r="D82" s="34"/>
      <c r="E82" s="34"/>
      <c r="F82" s="34"/>
      <c r="G82" s="34"/>
      <c r="H82" s="34"/>
      <c r="I82" s="34"/>
      <c r="J82" s="35"/>
    </row>
  </sheetData>
  <autoFilter ref="B7:G14" xr:uid="{4095A8C4-BE6E-4B47-A873-3A8D4481384F}"/>
  <mergeCells count="13">
    <mergeCell ref="J55:J60"/>
    <mergeCell ref="K64:K69"/>
    <mergeCell ref="A1:D4"/>
    <mergeCell ref="J7:O7"/>
    <mergeCell ref="B26:B34"/>
    <mergeCell ref="J26:J34"/>
    <mergeCell ref="K26:K34"/>
    <mergeCell ref="B35:B40"/>
    <mergeCell ref="J35:J40"/>
    <mergeCell ref="K35:K40"/>
    <mergeCell ref="K46:K51"/>
    <mergeCell ref="K55:K60"/>
    <mergeCell ref="J46:J5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9</xdr:col>
                <xdr:colOff>123825</xdr:colOff>
                <xdr:row>7</xdr:row>
                <xdr:rowOff>66675</xdr:rowOff>
              </from>
              <to>
                <xdr:col>16</xdr:col>
                <xdr:colOff>514350</xdr:colOff>
                <xdr:row>11</xdr:row>
                <xdr:rowOff>95250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2018-05-09T21:48:19Z</dcterms:modified>
</cp:coreProperties>
</file>