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Obsidian\Проекты\Инвестиции\Excel\"/>
    </mc:Choice>
  </mc:AlternateContent>
  <xr:revisionPtr revIDLastSave="0" documentId="13_ncr:1_{3391B37D-3D8F-4F91-B5E7-4CB48A55C120}" xr6:coauthVersionLast="47" xr6:coauthVersionMax="47" xr10:uidLastSave="{00000000-0000-0000-0000-000000000000}"/>
  <bookViews>
    <workbookView xWindow="840" yWindow="-120" windowWidth="28080" windowHeight="16440" tabRatio="550" activeTab="5" xr2:uid="{00000000-000D-0000-FFFF-FFFF00000000}"/>
  </bookViews>
  <sheets>
    <sheet name="Срочный Рынок" sheetId="6" r:id="rId1"/>
    <sheet name="Мои сделки" sheetId="7" r:id="rId2"/>
    <sheet name="Шаблон" sheetId="9" r:id="rId3"/>
    <sheet name="2026-02-26" sheetId="10" r:id="rId4"/>
    <sheet name="2026-04-18" sheetId="8" r:id="rId5"/>
    <sheet name="2026-06-06" sheetId="11" r:id="rId6"/>
    <sheet name="Данные диаграммы" sheetId="2" state="hidden" r:id="rId7"/>
  </sheets>
  <definedNames>
    <definedName name="_xlnm._FilterDatabase" localSheetId="3" hidden="1">'2026-02-26'!$B$18:$C$19</definedName>
    <definedName name="_xlnm._FilterDatabase" localSheetId="4" hidden="1">'2026-04-18'!$B$18:$C$19</definedName>
    <definedName name="_xlnm._FilterDatabase" localSheetId="5" hidden="1">'2026-06-06'!$B$18:$C$19</definedName>
    <definedName name="_xlnm._FilterDatabase" localSheetId="1" hidden="1">'Мои сделки'!$B$18:$C$21</definedName>
    <definedName name="_xlnm._FilterDatabase" localSheetId="0" hidden="1">'Срочный Рынок'!$B$18:$C$21</definedName>
    <definedName name="_xlnm._FilterDatabase" localSheetId="2" hidden="1">Шаблон!$B$18:$C$19</definedName>
    <definedName name="_xlnm.Print_Titles" localSheetId="3">'2026-02-26'!$16:$17</definedName>
    <definedName name="_xlnm.Print_Titles" localSheetId="4">'2026-04-18'!$16:$17</definedName>
    <definedName name="_xlnm.Print_Titles" localSheetId="5">'2026-06-06'!$16:$17</definedName>
    <definedName name="_xlnm.Print_Titles" localSheetId="1">'Мои сделки'!$16:$17</definedName>
    <definedName name="_xlnm.Print_Titles" localSheetId="0">'Срочный Рынок'!$16:$17</definedName>
    <definedName name="_xlnm.Print_Titles" localSheetId="2">Шаблон!$16:$17</definedName>
    <definedName name="ОбщиеДоходыЗаМесяц" localSheetId="3">'2026-02-26'!$C$12</definedName>
    <definedName name="ОбщиеДоходыЗаМесяц" localSheetId="4">'2026-04-18'!$C$12</definedName>
    <definedName name="ОбщиеДоходыЗаМесяц" localSheetId="5">'2026-06-06'!$C$12</definedName>
    <definedName name="ОбщиеДоходыЗаМесяц" localSheetId="1">'Мои сделки'!$C$12</definedName>
    <definedName name="ОбщиеДоходыЗаМесяц" localSheetId="0">'Срочный Рынок'!$C$12</definedName>
    <definedName name="ОбщиеДоходыЗаМесяц" localSheetId="2">Шаблон!$C$12</definedName>
    <definedName name="ОбщиеДоходыЗаМесяц">#REF!</definedName>
    <definedName name="ОбщиеРасходыЗаМесяц" localSheetId="3">'2026-02-26'!$C$9</definedName>
    <definedName name="ОбщиеРасходыЗаМесяц" localSheetId="4">'2026-04-18'!$C$9</definedName>
    <definedName name="ОбщиеРасходыЗаМесяц" localSheetId="5">'2026-06-06'!$C$9</definedName>
    <definedName name="ОбщиеРасходыЗаМесяц" localSheetId="1">'Мои сделки'!$C$9</definedName>
    <definedName name="ОбщиеРасходыЗаМесяц" localSheetId="0">'Срочный Рынок'!$C$9</definedName>
    <definedName name="ОбщиеРасходыЗаМесяц" localSheetId="2">Шаблон!$C$9</definedName>
    <definedName name="ОбщиеРасходыЗаМесяц">#REF!</definedName>
    <definedName name="ОбщиеСбереженияЗаМесяц" localSheetId="3">'2026-02-26'!$C$15</definedName>
    <definedName name="ОбщиеСбереженияЗаМесяц" localSheetId="4">'2026-04-18'!$C$15</definedName>
    <definedName name="ОбщиеСбереженияЗаМесяц" localSheetId="5">'2026-06-06'!$C$15</definedName>
    <definedName name="ОбщиеСбереженияЗаМесяц" localSheetId="1">'Мои сделки'!$C$15</definedName>
    <definedName name="ОбщиеСбереженияЗаМесяц" localSheetId="0">'Срочный Рынок'!$C$15</definedName>
    <definedName name="ОбщиеСбереженияЗаМесяц" localSheetId="2">Шаблон!$C$15</definedName>
    <definedName name="ОбщиеСбереженияЗаМесяц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1" l="1"/>
  <c r="F20" i="11"/>
  <c r="E20" i="11"/>
  <c r="R33" i="11"/>
  <c r="Q33" i="11"/>
  <c r="L32" i="11"/>
  <c r="S31" i="11"/>
  <c r="O31" i="11"/>
  <c r="S30" i="11"/>
  <c r="O30" i="11"/>
  <c r="S29" i="11"/>
  <c r="O29" i="11"/>
  <c r="O28" i="11" s="1"/>
  <c r="S28" i="11"/>
  <c r="S27" i="11"/>
  <c r="S26" i="11"/>
  <c r="S25" i="11"/>
  <c r="S24" i="11"/>
  <c r="S23" i="11"/>
  <c r="W22" i="11"/>
  <c r="X22" i="11" s="1"/>
  <c r="S22" i="11"/>
  <c r="O22" i="11"/>
  <c r="T22" i="11" s="1"/>
  <c r="I22" i="11"/>
  <c r="J22" i="11" s="1"/>
  <c r="X21" i="11"/>
  <c r="S21" i="11"/>
  <c r="E21" i="11"/>
  <c r="X20" i="11"/>
  <c r="S20" i="11"/>
  <c r="S19" i="11"/>
  <c r="S18" i="11"/>
  <c r="S33" i="11" s="1"/>
  <c r="T25" i="11" s="1"/>
  <c r="L40" i="8"/>
  <c r="F29" i="8"/>
  <c r="E29" i="8"/>
  <c r="E27" i="8"/>
  <c r="F27" i="8"/>
  <c r="I28" i="8"/>
  <c r="J28" i="8" s="1"/>
  <c r="L28" i="8" s="1"/>
  <c r="L29" i="10"/>
  <c r="L31" i="10" s="1"/>
  <c r="L28" i="10"/>
  <c r="F21" i="10"/>
  <c r="F20" i="10"/>
  <c r="R32" i="10"/>
  <c r="Q32" i="10"/>
  <c r="L30" i="10"/>
  <c r="S30" i="10"/>
  <c r="O30" i="10"/>
  <c r="O29" i="10" s="1"/>
  <c r="O28" i="10" s="1"/>
  <c r="O27" i="10" s="1"/>
  <c r="S29" i="10"/>
  <c r="S28" i="10"/>
  <c r="S27" i="10"/>
  <c r="S26" i="10"/>
  <c r="S25" i="10"/>
  <c r="S24" i="10"/>
  <c r="S23" i="10"/>
  <c r="S22" i="10"/>
  <c r="X21" i="10"/>
  <c r="S21" i="10"/>
  <c r="X20" i="10"/>
  <c r="S20" i="10"/>
  <c r="I20" i="10"/>
  <c r="S19" i="10"/>
  <c r="S18" i="10"/>
  <c r="E28" i="9"/>
  <c r="L32" i="9"/>
  <c r="R33" i="9"/>
  <c r="Q33" i="9"/>
  <c r="O31" i="9" s="1"/>
  <c r="O30" i="9" s="1"/>
  <c r="O29" i="9" s="1"/>
  <c r="S31" i="9"/>
  <c r="S30" i="9"/>
  <c r="S29" i="9"/>
  <c r="S28" i="9"/>
  <c r="D28" i="9"/>
  <c r="S27" i="9"/>
  <c r="S26" i="9"/>
  <c r="S25" i="9"/>
  <c r="S24" i="9"/>
  <c r="S23" i="9"/>
  <c r="W22" i="9"/>
  <c r="X22" i="9" s="1"/>
  <c r="S22" i="9"/>
  <c r="I22" i="9"/>
  <c r="J22" i="9" s="1"/>
  <c r="L22" i="9" s="1"/>
  <c r="X21" i="9"/>
  <c r="S21" i="9"/>
  <c r="E21" i="9"/>
  <c r="X20" i="9"/>
  <c r="S20" i="9"/>
  <c r="E20" i="9"/>
  <c r="S19" i="9"/>
  <c r="S18" i="9"/>
  <c r="F25" i="8"/>
  <c r="I26" i="8"/>
  <c r="J26" i="8" s="1"/>
  <c r="L26" i="8" s="1"/>
  <c r="E25" i="8"/>
  <c r="I25" i="8" s="1"/>
  <c r="F23" i="8"/>
  <c r="I24" i="8"/>
  <c r="J24" i="8" s="1"/>
  <c r="L24" i="8" s="1"/>
  <c r="E23" i="8"/>
  <c r="L43" i="8"/>
  <c r="E21" i="8"/>
  <c r="F21" i="8" s="1"/>
  <c r="F20" i="8"/>
  <c r="E20" i="8"/>
  <c r="X20" i="8"/>
  <c r="S20" i="8"/>
  <c r="I22" i="8"/>
  <c r="J22" i="8" s="1"/>
  <c r="L22" i="8" s="1"/>
  <c r="I21" i="8"/>
  <c r="R37" i="8"/>
  <c r="Q37" i="8"/>
  <c r="O35" i="8" s="1"/>
  <c r="O34" i="8" s="1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W22" i="8"/>
  <c r="X22" i="8" s="1"/>
  <c r="S22" i="8"/>
  <c r="X21" i="8"/>
  <c r="S21" i="8"/>
  <c r="S19" i="8"/>
  <c r="S18" i="8"/>
  <c r="G47" i="7"/>
  <c r="I47" i="7" s="1"/>
  <c r="J47" i="7" s="1"/>
  <c r="L47" i="7" s="1"/>
  <c r="F46" i="7"/>
  <c r="E46" i="7"/>
  <c r="G45" i="7"/>
  <c r="G44" i="7"/>
  <c r="L30" i="11" l="1"/>
  <c r="L22" i="11"/>
  <c r="O27" i="11"/>
  <c r="J20" i="11"/>
  <c r="I20" i="11"/>
  <c r="J21" i="11"/>
  <c r="I21" i="11"/>
  <c r="G21" i="11"/>
  <c r="L41" i="8"/>
  <c r="J29" i="8"/>
  <c r="I29" i="8"/>
  <c r="J27" i="8"/>
  <c r="L39" i="8" s="1"/>
  <c r="I27" i="8"/>
  <c r="S32" i="10"/>
  <c r="T24" i="10" s="1"/>
  <c r="O26" i="10"/>
  <c r="J20" i="10"/>
  <c r="J21" i="10"/>
  <c r="I21" i="10"/>
  <c r="L30" i="9"/>
  <c r="S33" i="9"/>
  <c r="T25" i="9" s="1"/>
  <c r="F21" i="9"/>
  <c r="J21" i="9" s="1"/>
  <c r="G21" i="9"/>
  <c r="O28" i="9"/>
  <c r="F20" i="9"/>
  <c r="J20" i="9" s="1"/>
  <c r="I20" i="9"/>
  <c r="I21" i="9"/>
  <c r="J25" i="8"/>
  <c r="G25" i="8"/>
  <c r="J23" i="8"/>
  <c r="L37" i="8" s="1"/>
  <c r="G23" i="8"/>
  <c r="I23" i="8"/>
  <c r="J20" i="8"/>
  <c r="L35" i="8" s="1"/>
  <c r="I20" i="8"/>
  <c r="S37" i="8"/>
  <c r="T29" i="8" s="1"/>
  <c r="O33" i="8"/>
  <c r="G21" i="8"/>
  <c r="J46" i="7"/>
  <c r="L63" i="7" s="1"/>
  <c r="I46" i="7"/>
  <c r="G43" i="7"/>
  <c r="I45" i="7"/>
  <c r="J45" i="7"/>
  <c r="L45" i="7"/>
  <c r="F40" i="7"/>
  <c r="G20" i="11" l="1"/>
  <c r="L29" i="11"/>
  <c r="K21" i="11"/>
  <c r="L21" i="11"/>
  <c r="J24" i="11"/>
  <c r="L28" i="11"/>
  <c r="L31" i="11" s="1"/>
  <c r="L33" i="11" s="1"/>
  <c r="J28" i="11" s="1"/>
  <c r="L20" i="11"/>
  <c r="K20" i="11"/>
  <c r="K24" i="11" s="1"/>
  <c r="E28" i="11"/>
  <c r="D28" i="11" s="1"/>
  <c r="O26" i="11"/>
  <c r="G29" i="8"/>
  <c r="J31" i="8"/>
  <c r="L31" i="8" s="1"/>
  <c r="L29" i="8"/>
  <c r="K29" i="8"/>
  <c r="L38" i="8"/>
  <c r="L27" i="8"/>
  <c r="G27" i="8"/>
  <c r="K27" i="8" s="1"/>
  <c r="J23" i="10"/>
  <c r="G21" i="10"/>
  <c r="G20" i="10"/>
  <c r="K21" i="10"/>
  <c r="L21" i="10"/>
  <c r="E27" i="10"/>
  <c r="D27" i="10" s="1"/>
  <c r="O25" i="10"/>
  <c r="L20" i="10"/>
  <c r="L27" i="10"/>
  <c r="K20" i="10"/>
  <c r="K23" i="10" s="1"/>
  <c r="L28" i="9"/>
  <c r="L20" i="9"/>
  <c r="J24" i="9"/>
  <c r="L29" i="9"/>
  <c r="L21" i="9"/>
  <c r="K21" i="9"/>
  <c r="G20" i="9"/>
  <c r="K20" i="9" s="1"/>
  <c r="O27" i="9"/>
  <c r="L25" i="8"/>
  <c r="K25" i="8"/>
  <c r="L23" i="8"/>
  <c r="K23" i="8"/>
  <c r="J21" i="8"/>
  <c r="L20" i="8"/>
  <c r="G20" i="8"/>
  <c r="K20" i="8" s="1"/>
  <c r="O32" i="8"/>
  <c r="E35" i="8"/>
  <c r="D35" i="8" s="1"/>
  <c r="L46" i="7"/>
  <c r="G46" i="7"/>
  <c r="K46" i="7" s="1"/>
  <c r="I44" i="7"/>
  <c r="J44" i="7" s="1"/>
  <c r="L44" i="7" s="1"/>
  <c r="I43" i="7"/>
  <c r="J43" i="7" s="1"/>
  <c r="F42" i="7"/>
  <c r="E42" i="7"/>
  <c r="E33" i="7"/>
  <c r="F33" i="7" s="1"/>
  <c r="F41" i="7"/>
  <c r="J41" i="7" s="1"/>
  <c r="I41" i="7"/>
  <c r="G38" i="7"/>
  <c r="O25" i="11" l="1"/>
  <c r="L24" i="11"/>
  <c r="D36" i="11"/>
  <c r="E36" i="11" s="1"/>
  <c r="C9" i="11"/>
  <c r="E30" i="11"/>
  <c r="E29" i="11" s="1"/>
  <c r="D29" i="11" s="1"/>
  <c r="D30" i="11" s="1"/>
  <c r="J27" i="10"/>
  <c r="O24" i="10"/>
  <c r="D35" i="10"/>
  <c r="E35" i="10" s="1"/>
  <c r="L23" i="10"/>
  <c r="E29" i="10"/>
  <c r="E28" i="10" s="1"/>
  <c r="D28" i="10" s="1"/>
  <c r="D29" i="10" s="1"/>
  <c r="C9" i="10"/>
  <c r="L31" i="9"/>
  <c r="K24" i="9"/>
  <c r="D36" i="9"/>
  <c r="E36" i="9" s="1"/>
  <c r="L24" i="9"/>
  <c r="C9" i="9"/>
  <c r="E30" i="9"/>
  <c r="E29" i="9" s="1"/>
  <c r="D29" i="9" s="1"/>
  <c r="D30" i="9" s="1"/>
  <c r="O26" i="9"/>
  <c r="L33" i="9"/>
  <c r="J28" i="9" s="1"/>
  <c r="L36" i="8"/>
  <c r="L42" i="8" s="1"/>
  <c r="K21" i="8"/>
  <c r="K31" i="8" s="1"/>
  <c r="L21" i="8"/>
  <c r="D43" i="8"/>
  <c r="E43" i="8" s="1"/>
  <c r="E37" i="8"/>
  <c r="E36" i="8" s="1"/>
  <c r="D36" i="8" s="1"/>
  <c r="D37" i="8" s="1"/>
  <c r="C9" i="8"/>
  <c r="O31" i="8"/>
  <c r="C15" i="8"/>
  <c r="C12" i="8"/>
  <c r="L43" i="7"/>
  <c r="G42" i="7"/>
  <c r="I42" i="7"/>
  <c r="L41" i="7"/>
  <c r="G41" i="7"/>
  <c r="K41" i="7" s="1"/>
  <c r="J40" i="7"/>
  <c r="L62" i="7" s="1"/>
  <c r="I40" i="7"/>
  <c r="G39" i="7"/>
  <c r="C12" i="11" l="1"/>
  <c r="C15" i="11"/>
  <c r="O24" i="11"/>
  <c r="T26" i="11"/>
  <c r="T27" i="11" s="1"/>
  <c r="T28" i="11" s="1"/>
  <c r="T29" i="11" s="1"/>
  <c r="T30" i="11" s="1"/>
  <c r="T31" i="11" s="1"/>
  <c r="C15" i="10"/>
  <c r="C12" i="10"/>
  <c r="O23" i="10"/>
  <c r="T25" i="10"/>
  <c r="T26" i="10" s="1"/>
  <c r="T27" i="10" s="1"/>
  <c r="T28" i="10" s="1"/>
  <c r="T29" i="10" s="1"/>
  <c r="T30" i="10" s="1"/>
  <c r="O25" i="9"/>
  <c r="C15" i="9"/>
  <c r="C12" i="9"/>
  <c r="L44" i="8"/>
  <c r="J35" i="8" s="1"/>
  <c r="O30" i="8"/>
  <c r="J42" i="7"/>
  <c r="L61" i="7" s="1"/>
  <c r="G40" i="7"/>
  <c r="L40" i="7"/>
  <c r="K40" i="7"/>
  <c r="J33" i="7"/>
  <c r="L60" i="7" s="1"/>
  <c r="I33" i="7"/>
  <c r="O23" i="11" l="1"/>
  <c r="T24" i="11"/>
  <c r="O22" i="10"/>
  <c r="T23" i="10"/>
  <c r="O24" i="9"/>
  <c r="T26" i="9"/>
  <c r="T27" i="9" s="1"/>
  <c r="T28" i="9" s="1"/>
  <c r="T29" i="9" s="1"/>
  <c r="T30" i="9" s="1"/>
  <c r="T31" i="9" s="1"/>
  <c r="O29" i="8"/>
  <c r="L42" i="7"/>
  <c r="K42" i="7"/>
  <c r="L33" i="7"/>
  <c r="G33" i="7"/>
  <c r="K33" i="7" s="1"/>
  <c r="I39" i="7"/>
  <c r="J39" i="7" s="1"/>
  <c r="F36" i="7"/>
  <c r="J36" i="7"/>
  <c r="L59" i="7" s="1"/>
  <c r="G36" i="7"/>
  <c r="I36" i="7"/>
  <c r="F35" i="7"/>
  <c r="T23" i="11" l="1"/>
  <c r="T22" i="10"/>
  <c r="O23" i="9"/>
  <c r="T24" i="9"/>
  <c r="T30" i="8"/>
  <c r="T31" i="8" s="1"/>
  <c r="T32" i="8" s="1"/>
  <c r="T33" i="8" s="1"/>
  <c r="T34" i="8" s="1"/>
  <c r="T35" i="8" s="1"/>
  <c r="O28" i="8"/>
  <c r="L39" i="7"/>
  <c r="K36" i="7"/>
  <c r="L36" i="7"/>
  <c r="I38" i="7"/>
  <c r="J38" i="7" s="1"/>
  <c r="I37" i="7"/>
  <c r="J37" i="7" s="1"/>
  <c r="L37" i="7" s="1"/>
  <c r="I35" i="7"/>
  <c r="J35" i="7"/>
  <c r="L58" i="7" s="1"/>
  <c r="F34" i="7"/>
  <c r="J34" i="7" s="1"/>
  <c r="I34" i="7"/>
  <c r="T23" i="9" l="1"/>
  <c r="T28" i="8"/>
  <c r="O27" i="8"/>
  <c r="L38" i="7"/>
  <c r="L35" i="7"/>
  <c r="G35" i="7"/>
  <c r="K35" i="7" s="1"/>
  <c r="L34" i="7"/>
  <c r="G34" i="7"/>
  <c r="K34" i="7" s="1"/>
  <c r="T27" i="8" l="1"/>
  <c r="O26" i="8"/>
  <c r="I32" i="7"/>
  <c r="J32" i="7" s="1"/>
  <c r="T26" i="8" l="1"/>
  <c r="O25" i="8"/>
  <c r="L32" i="7"/>
  <c r="R36" i="7"/>
  <c r="Q36" i="7"/>
  <c r="O34" i="7" s="1"/>
  <c r="O33" i="7" s="1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36" i="7" s="1"/>
  <c r="T28" i="7" s="1"/>
  <c r="S18" i="7"/>
  <c r="J25" i="7"/>
  <c r="L55" i="7" s="1"/>
  <c r="I25" i="7"/>
  <c r="I26" i="7"/>
  <c r="J26" i="7" s="1"/>
  <c r="I31" i="7"/>
  <c r="J31" i="7" s="1"/>
  <c r="L31" i="7" s="1"/>
  <c r="F30" i="7"/>
  <c r="J30" i="7" s="1"/>
  <c r="L57" i="7" s="1"/>
  <c r="I30" i="7"/>
  <c r="F28" i="7"/>
  <c r="G28" i="7" s="1"/>
  <c r="F29" i="7"/>
  <c r="J29" i="7" s="1"/>
  <c r="I28" i="7"/>
  <c r="I29" i="7"/>
  <c r="F27" i="7"/>
  <c r="J27" i="7"/>
  <c r="I27" i="7"/>
  <c r="G25" i="7"/>
  <c r="F22" i="7"/>
  <c r="J22" i="7" s="1"/>
  <c r="G22" i="7"/>
  <c r="I22" i="7"/>
  <c r="F21" i="7"/>
  <c r="J21" i="7" s="1"/>
  <c r="F23" i="7"/>
  <c r="J23" i="7" s="1"/>
  <c r="F20" i="7"/>
  <c r="J20" i="7" s="1"/>
  <c r="L77" i="7"/>
  <c r="H62" i="7"/>
  <c r="I24" i="7"/>
  <c r="J24" i="7" s="1"/>
  <c r="I23" i="7"/>
  <c r="W21" i="7"/>
  <c r="X21" i="7" s="1"/>
  <c r="I21" i="7"/>
  <c r="X20" i="7"/>
  <c r="I20" i="7"/>
  <c r="O24" i="8" l="1"/>
  <c r="T25" i="8"/>
  <c r="L53" i="7"/>
  <c r="L54" i="7"/>
  <c r="L65" i="7"/>
  <c r="L26" i="7"/>
  <c r="O32" i="7"/>
  <c r="K25" i="7"/>
  <c r="L25" i="7"/>
  <c r="G30" i="7"/>
  <c r="L30" i="7"/>
  <c r="L68" i="7"/>
  <c r="L29" i="7"/>
  <c r="G29" i="7"/>
  <c r="K29" i="7" s="1"/>
  <c r="J28" i="7"/>
  <c r="G27" i="7"/>
  <c r="K27" i="7" s="1"/>
  <c r="L27" i="7"/>
  <c r="L74" i="7"/>
  <c r="K22" i="7"/>
  <c r="L22" i="7"/>
  <c r="L23" i="7"/>
  <c r="L71" i="7"/>
  <c r="L73" i="7"/>
  <c r="L24" i="7"/>
  <c r="L21" i="7"/>
  <c r="L67" i="7"/>
  <c r="L69" i="7"/>
  <c r="L20" i="7"/>
  <c r="G20" i="7"/>
  <c r="K20" i="7" s="1"/>
  <c r="G21" i="7"/>
  <c r="K21" i="7" s="1"/>
  <c r="G23" i="7"/>
  <c r="K23" i="7" s="1"/>
  <c r="L55" i="6"/>
  <c r="F42" i="6"/>
  <c r="G42" i="6" s="1"/>
  <c r="F40" i="6"/>
  <c r="G40" i="6" s="1"/>
  <c r="F41" i="6"/>
  <c r="J41" i="6" s="1"/>
  <c r="L57" i="6" s="1"/>
  <c r="I42" i="6"/>
  <c r="I41" i="6"/>
  <c r="F39" i="6"/>
  <c r="J39" i="6" s="1"/>
  <c r="I40" i="6"/>
  <c r="I39" i="6"/>
  <c r="O22" i="9" l="1"/>
  <c r="O23" i="8"/>
  <c r="T24" i="8"/>
  <c r="L56" i="7"/>
  <c r="J49" i="7"/>
  <c r="L66" i="7"/>
  <c r="L78" i="7" s="1"/>
  <c r="K30" i="7"/>
  <c r="E53" i="7"/>
  <c r="D53" i="7" s="1"/>
  <c r="O31" i="7"/>
  <c r="L70" i="7"/>
  <c r="L72" i="7" s="1"/>
  <c r="L75" i="7"/>
  <c r="L76" i="7" s="1"/>
  <c r="K28" i="7"/>
  <c r="L28" i="7"/>
  <c r="C9" i="7"/>
  <c r="I49" i="7"/>
  <c r="L41" i="6"/>
  <c r="J42" i="6"/>
  <c r="L58" i="6" s="1"/>
  <c r="G41" i="6"/>
  <c r="K41" i="6" s="1"/>
  <c r="J40" i="6"/>
  <c r="L56" i="6" s="1"/>
  <c r="L39" i="6"/>
  <c r="G39" i="6"/>
  <c r="K39" i="6" s="1"/>
  <c r="T22" i="9" l="1"/>
  <c r="T23" i="8"/>
  <c r="O22" i="8"/>
  <c r="T22" i="8" s="1"/>
  <c r="O30" i="7"/>
  <c r="J53" i="7"/>
  <c r="L49" i="7"/>
  <c r="C15" i="7" s="1"/>
  <c r="D61" i="7"/>
  <c r="E61" i="7" s="1"/>
  <c r="K49" i="7"/>
  <c r="E55" i="7"/>
  <c r="E54" i="7" s="1"/>
  <c r="D54" i="7" s="1"/>
  <c r="D55" i="7" s="1"/>
  <c r="L42" i="6"/>
  <c r="K42" i="6"/>
  <c r="L40" i="6"/>
  <c r="K40" i="6"/>
  <c r="F38" i="6"/>
  <c r="G38" i="6" s="1"/>
  <c r="I38" i="6"/>
  <c r="O29" i="7" l="1"/>
  <c r="C12" i="7"/>
  <c r="J38" i="6"/>
  <c r="F37" i="6"/>
  <c r="G37" i="6"/>
  <c r="I37" i="6"/>
  <c r="O28" i="7" l="1"/>
  <c r="L64" i="6"/>
  <c r="K38" i="6"/>
  <c r="L38" i="6"/>
  <c r="J37" i="6"/>
  <c r="L54" i="6" s="1"/>
  <c r="H34" i="6"/>
  <c r="H35" i="6" s="1"/>
  <c r="I35" i="6" s="1"/>
  <c r="F36" i="6"/>
  <c r="G36" i="6" s="1"/>
  <c r="I36" i="6"/>
  <c r="F35" i="6"/>
  <c r="O27" i="7" l="1"/>
  <c r="T29" i="7"/>
  <c r="T30" i="7" s="1"/>
  <c r="T31" i="7" s="1"/>
  <c r="T32" i="7" s="1"/>
  <c r="T33" i="7" s="1"/>
  <c r="T34" i="7" s="1"/>
  <c r="L37" i="6"/>
  <c r="K37" i="6"/>
  <c r="J35" i="6"/>
  <c r="J36" i="6"/>
  <c r="L35" i="6"/>
  <c r="G35" i="6"/>
  <c r="K35" i="6" s="1"/>
  <c r="O26" i="7" l="1"/>
  <c r="T27" i="7"/>
  <c r="K36" i="6"/>
  <c r="L53" i="6"/>
  <c r="L36" i="6"/>
  <c r="W21" i="6"/>
  <c r="H32" i="6"/>
  <c r="H30" i="6"/>
  <c r="I30" i="6" s="1"/>
  <c r="I31" i="6"/>
  <c r="I34" i="6"/>
  <c r="F34" i="6"/>
  <c r="G34" i="6" s="1"/>
  <c r="F33" i="6"/>
  <c r="J33" i="6" s="1"/>
  <c r="L63" i="6" s="1"/>
  <c r="I33" i="6"/>
  <c r="F31" i="6"/>
  <c r="G31" i="6"/>
  <c r="I32" i="6"/>
  <c r="G32" i="6"/>
  <c r="F30" i="6"/>
  <c r="I26" i="6"/>
  <c r="J26" i="6" s="1"/>
  <c r="I23" i="6"/>
  <c r="J23" i="6" s="1"/>
  <c r="O25" i="7" l="1"/>
  <c r="T26" i="7"/>
  <c r="J30" i="6"/>
  <c r="L30" i="6" s="1"/>
  <c r="J34" i="6"/>
  <c r="L33" i="6"/>
  <c r="G33" i="6"/>
  <c r="K33" i="6" s="1"/>
  <c r="J31" i="6"/>
  <c r="L52" i="6" s="1"/>
  <c r="J32" i="6"/>
  <c r="G30" i="6"/>
  <c r="K30" i="6" s="1"/>
  <c r="L23" i="6"/>
  <c r="L26" i="6"/>
  <c r="H57" i="6"/>
  <c r="L62" i="6"/>
  <c r="L51" i="6"/>
  <c r="F29" i="6"/>
  <c r="J29" i="6"/>
  <c r="L29" i="6" s="1"/>
  <c r="F28" i="6"/>
  <c r="J28" i="6" s="1"/>
  <c r="L28" i="6" s="1"/>
  <c r="F27" i="6"/>
  <c r="G27" i="6" s="1"/>
  <c r="I29" i="6"/>
  <c r="I28" i="6"/>
  <c r="I27" i="6"/>
  <c r="E26" i="6"/>
  <c r="F25" i="6"/>
  <c r="G25" i="6" s="1"/>
  <c r="F24" i="6"/>
  <c r="G24" i="6" s="1"/>
  <c r="I25" i="6"/>
  <c r="I24" i="6"/>
  <c r="O24" i="7" l="1"/>
  <c r="T25" i="7"/>
  <c r="L68" i="6"/>
  <c r="L67" i="6"/>
  <c r="L34" i="6"/>
  <c r="K34" i="6"/>
  <c r="L31" i="6"/>
  <c r="K31" i="6"/>
  <c r="L32" i="6"/>
  <c r="K32" i="6"/>
  <c r="J27" i="6"/>
  <c r="G29" i="6"/>
  <c r="K29" i="6" s="1"/>
  <c r="G28" i="6"/>
  <c r="K28" i="6" s="1"/>
  <c r="J25" i="6"/>
  <c r="J24" i="6"/>
  <c r="F22" i="6"/>
  <c r="G22" i="6" s="1"/>
  <c r="I22" i="6"/>
  <c r="J22" i="6"/>
  <c r="F21" i="6"/>
  <c r="G21" i="6" s="1"/>
  <c r="I21" i="6"/>
  <c r="F20" i="6"/>
  <c r="X21" i="6"/>
  <c r="X20" i="6"/>
  <c r="L22" i="6" l="1"/>
  <c r="L50" i="6"/>
  <c r="K25" i="6"/>
  <c r="L61" i="6"/>
  <c r="O23" i="7"/>
  <c r="T24" i="7"/>
  <c r="L27" i="6"/>
  <c r="L66" i="6"/>
  <c r="L69" i="6" s="1"/>
  <c r="L24" i="6"/>
  <c r="L60" i="6"/>
  <c r="L65" i="6" s="1"/>
  <c r="L25" i="6"/>
  <c r="K27" i="6"/>
  <c r="K24" i="6"/>
  <c r="K22" i="6"/>
  <c r="J21" i="6"/>
  <c r="L21" i="6" s="1"/>
  <c r="L70" i="6"/>
  <c r="T23" i="7" l="1"/>
  <c r="O22" i="7"/>
  <c r="K21" i="6"/>
  <c r="O21" i="7" l="1"/>
  <c r="T22" i="7"/>
  <c r="R36" i="6"/>
  <c r="T21" i="7" l="1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I20" i="6" l="1"/>
  <c r="I44" i="6" s="1"/>
  <c r="S21" i="6"/>
  <c r="S20" i="6"/>
  <c r="S19" i="6"/>
  <c r="S18" i="6"/>
  <c r="Q36" i="6" l="1"/>
  <c r="O34" i="6" s="1"/>
  <c r="O33" i="6" s="1"/>
  <c r="O32" i="6" s="1"/>
  <c r="O31" i="6" l="1"/>
  <c r="O30" i="6" s="1"/>
  <c r="O29" i="6" s="1"/>
  <c r="O28" i="6" s="1"/>
  <c r="O27" i="6" l="1"/>
  <c r="O26" i="6" l="1"/>
  <c r="O25" i="6" s="1"/>
  <c r="O24" i="6" s="1"/>
  <c r="O23" i="6" s="1"/>
  <c r="O22" i="6" l="1"/>
  <c r="O21" i="6" s="1"/>
  <c r="L49" i="6"/>
  <c r="G20" i="6" l="1"/>
  <c r="E48" i="6" s="1"/>
  <c r="J20" i="6" l="1"/>
  <c r="L20" i="6" l="1"/>
  <c r="J44" i="6"/>
  <c r="L48" i="6"/>
  <c r="L59" i="6" s="1"/>
  <c r="K20" i="6"/>
  <c r="L71" i="6" l="1"/>
  <c r="J48" i="6" s="1"/>
  <c r="L44" i="6"/>
  <c r="C15" i="6" s="1"/>
  <c r="D56" i="6"/>
  <c r="E56" i="6" s="1"/>
  <c r="E50" i="6"/>
  <c r="D48" i="6"/>
  <c r="C9" i="6"/>
  <c r="K44" i="6"/>
  <c r="C12" i="6" l="1"/>
  <c r="E49" i="6"/>
  <c r="D49" i="6" s="1"/>
  <c r="D50" i="6" s="1"/>
  <c r="B5" i="2"/>
  <c r="B4" i="2" s="1"/>
  <c r="B6" i="2" l="1"/>
  <c r="S36" i="6" l="1"/>
  <c r="T28" i="6" s="1"/>
  <c r="T29" i="6" l="1"/>
  <c r="T30" i="6" s="1"/>
  <c r="T31" i="6" s="1"/>
  <c r="T32" i="6" s="1"/>
  <c r="T33" i="6" s="1"/>
  <c r="T34" i="6" s="1"/>
  <c r="T27" i="6"/>
  <c r="T26" i="6" s="1"/>
  <c r="T25" i="6" s="1"/>
  <c r="T24" i="6" s="1"/>
  <c r="T23" i="6" s="1"/>
  <c r="T22" i="6" s="1"/>
  <c r="T21" i="6" s="1"/>
</calcChain>
</file>

<file path=xl/sharedStrings.xml><?xml version="1.0" encoding="utf-8"?>
<sst xmlns="http://schemas.openxmlformats.org/spreadsheetml/2006/main" count="361" uniqueCount="77">
  <si>
    <t>ДАННЫЕ ДИАГРАММЫ</t>
  </si>
  <si>
    <t>Дата</t>
  </si>
  <si>
    <t>Инструмент</t>
  </si>
  <si>
    <t>№</t>
  </si>
  <si>
    <t>Цена Тек.</t>
  </si>
  <si>
    <t>Цена О.</t>
  </si>
  <si>
    <t xml:space="preserve">Не исполненные сделки </t>
  </si>
  <si>
    <t>Срочный Рынок</t>
  </si>
  <si>
    <t>График</t>
  </si>
  <si>
    <t>Сумма</t>
  </si>
  <si>
    <t>%</t>
  </si>
  <si>
    <t>кол-во</t>
  </si>
  <si>
    <t>Начальный Портфель</t>
  </si>
  <si>
    <t>Позиции</t>
  </si>
  <si>
    <t>Кэш</t>
  </si>
  <si>
    <t>ИТОГО</t>
  </si>
  <si>
    <t>Итого</t>
  </si>
  <si>
    <t>Сделка</t>
  </si>
  <si>
    <t>Рез (руб)</t>
  </si>
  <si>
    <t>% к сделке</t>
  </si>
  <si>
    <t xml:space="preserve">% к счету </t>
  </si>
  <si>
    <t>Результат</t>
  </si>
  <si>
    <t>Текущий Результат (руб.)</t>
  </si>
  <si>
    <t>Текущий Результат (%)</t>
  </si>
  <si>
    <t>Это модельный портфель Ильи Коровина на рынке фьючерсов и опционов Московской Биржи, в котором он на ваших глазах торгует на реальном рынке и ведет учет всех сделок. Открытие и закрытие позиций происходит в он-лайн режиме, а также путем заранее выставленных лимитных заявок на еженельных прямых Эфирах Опционного Клуба, а также в промежутках между эфирами - текстом в Телеграм-чате  Клуба. Илья  будет подробно объяснять логику открытия и закрытия всех позиций, работу с распределением капитала по торговым сделкам, анализ профиля конструкций и всю иную внутреннюю кухню, которая происходит в голове у управляющего с 32-летним биржевым опытом, когда он принимает рыночные решения.</t>
  </si>
  <si>
    <t>Б</t>
  </si>
  <si>
    <t>Оценка</t>
  </si>
  <si>
    <t xml:space="preserve">          Текущий рынок</t>
  </si>
  <si>
    <t>комисс</t>
  </si>
  <si>
    <t>Bybit</t>
  </si>
  <si>
    <t>ETH</t>
  </si>
  <si>
    <t>О Портфеле "Опционы на Крипте"</t>
  </si>
  <si>
    <t>ETH 31.10 колл 4500</t>
  </si>
  <si>
    <t>ETH 31.10 колл 5500</t>
  </si>
  <si>
    <t>ETH 31.10 Ф</t>
  </si>
  <si>
    <t>ETH Ф робот</t>
  </si>
  <si>
    <t>SOL 31.10 колл 238</t>
  </si>
  <si>
    <t>SOL 31.10 Ф</t>
  </si>
  <si>
    <t>SOL робот</t>
  </si>
  <si>
    <t>BTC 31.10 Пут 116</t>
  </si>
  <si>
    <t>BTC 31.10 Пут 108</t>
  </si>
  <si>
    <t>BTC 31.10 Пут 100</t>
  </si>
  <si>
    <t>SOL</t>
  </si>
  <si>
    <t>BTC</t>
  </si>
  <si>
    <t>ETH 31.10 колл 3800</t>
  </si>
  <si>
    <t>SOL 31.10 колл 195</t>
  </si>
  <si>
    <t>Нач.</t>
  </si>
  <si>
    <t>ETH 28.11 колл 3800</t>
  </si>
  <si>
    <t>ETH 28.11 колл 3000</t>
  </si>
  <si>
    <t>SOL 26.12 колл 162</t>
  </si>
  <si>
    <t>ETH 26.12 колл 3200</t>
  </si>
  <si>
    <t>ETH 26.12 колл 4200</t>
  </si>
  <si>
    <t>ETH 27.03 колл 2800</t>
  </si>
  <si>
    <t>ETH 27.03 колл 5000</t>
  </si>
  <si>
    <t>ETH 27.02 Колл 2800</t>
  </si>
  <si>
    <t>ETH 27.02 Пут 2800</t>
  </si>
  <si>
    <t>ETH 25.01 Колл 3100</t>
  </si>
  <si>
    <t>ETH 27.02 Колл 2600</t>
  </si>
  <si>
    <t>ETH 27.02 Колл 2400</t>
  </si>
  <si>
    <t>ETH 27.02 Колл 2100</t>
  </si>
  <si>
    <t>ETH 27.02 Пут 2100</t>
  </si>
  <si>
    <t>ETH Ф робот ЛОНГ</t>
  </si>
  <si>
    <t>ETH Ф робот ШОРТ</t>
  </si>
  <si>
    <t>ETH 27.03 Колл 2000</t>
  </si>
  <si>
    <t>ETH 06.03 Пут 1800</t>
  </si>
  <si>
    <t>ETH 27.03 Пут 2000</t>
  </si>
  <si>
    <t>ETH 24.04 Колл 2200</t>
  </si>
  <si>
    <t>ETH 29.05 Колл 2400</t>
  </si>
  <si>
    <t>ETH 29.05 Колл 2300</t>
  </si>
  <si>
    <t>ETH 05.06 Колл 2200</t>
  </si>
  <si>
    <t>ETH 05.06 Колл 2100</t>
  </si>
  <si>
    <t>BTC 25.12 Колл 85000</t>
  </si>
  <si>
    <t>BTC 25.12 Колл 120000</t>
  </si>
  <si>
    <t>ETH 25.09 Колл 2100</t>
  </si>
  <si>
    <t>ETH 25.09 Колл 2000</t>
  </si>
  <si>
    <t>ETH 25SEP26 Колл 1600</t>
  </si>
  <si>
    <t>ETH 25SEP26 Пут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</si>
</sst>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₽_-;\-* #,##0.00\ _₽_-;_-* &quot;-&quot;??\ _₽_-;_-@_-"/>
    <numFmt numFmtId="165" formatCode="_(&quot;₽&quot;* #,##0.00_);_(&quot;₽&quot;* \(#,##0.00\);_(&quot;₽&quot;* &quot;-&quot;??_);_(@_)"/>
    <numFmt numFmtId="166" formatCode="&quot;£&quot;#,##0"/>
    <numFmt numFmtId="167" formatCode="#,##0.00\ &quot;₽&quot;"/>
    <numFmt numFmtId="168" formatCode="0.0000"/>
    <numFmt numFmtId="169" formatCode="_-* #,##0\ _₽_-;\-* #,##0\ _₽_-;_-* &quot;-&quot;??\ _₽_-;_-@_-"/>
    <numFmt numFmtId="170" formatCode="_-* #,##0\ &quot;₽&quot;_-;\-* #,##0\ &quot;₽&quot;_-;_-* &quot;-&quot;??\ &quot;₽&quot;_-;_-@_-"/>
    <numFmt numFmtId="171" formatCode="_-* #\ ##0\ _₽_-;\-* #\ ##0\ _₽_-;_-* &quot;-&quot;??\ _₽_-;_-@_-"/>
    <numFmt numFmtId="172" formatCode="0.0"/>
    <numFmt numFmtId="173" formatCode="#,##0\ &quot;₽&quot;"/>
    <numFmt numFmtId="174" formatCode="[$$-C09]#,##0.00"/>
    <numFmt numFmtId="175" formatCode="_-[$$-C09]* #,##0.00_-;\-[$$-C09]* #,##0.00_-;_-[$$-C09]* &quot;-&quot;??_-;_-@_-"/>
    <numFmt numFmtId="176" formatCode="_-* #,##0.0\ _₽_-;\-* #,##0.0\ _₽_-;_-* &quot;-&quot;??\ _₽_-;_-@_-"/>
    <numFmt numFmtId="177" formatCode="0.000"/>
    <numFmt numFmtId="178" formatCode="_-* #,##0.000\ _₽_-;\-* #,##0.000\ _₽_-;_-* &quot;-&quot;??\ _₽_-;_-@_-"/>
  </numFmts>
  <fonts count="53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6"/>
      <name val="Century Gothic"/>
      <family val="3"/>
      <charset val="128"/>
      <scheme val="minor"/>
    </font>
    <font>
      <sz val="10"/>
      <color rgb="FF00B050"/>
      <name val="Tahoma"/>
      <family val="2"/>
      <scheme val="major"/>
    </font>
    <font>
      <sz val="24"/>
      <color theme="0"/>
      <name val="Tahoma (Заголовки)"/>
      <charset val="204"/>
    </font>
    <font>
      <sz val="10"/>
      <color theme="2" tint="-9.9978637043366805E-2"/>
      <name val="Century Gothic"/>
      <family val="2"/>
      <charset val="204"/>
      <scheme val="minor"/>
    </font>
    <font>
      <sz val="10"/>
      <color theme="3" tint="0.24994659260841701"/>
      <name val="Century Gothic"/>
      <family val="2"/>
      <scheme val="minor"/>
    </font>
    <font>
      <sz val="18"/>
      <color theme="3" tint="0.24994659260841701"/>
      <name val="Tahoma"/>
      <family val="2"/>
      <scheme val="major"/>
    </font>
    <font>
      <sz val="10"/>
      <color theme="3" tint="0.24994659260841701"/>
      <name val="Tahoma"/>
      <family val="2"/>
      <scheme val="major"/>
    </font>
    <font>
      <b/>
      <sz val="11"/>
      <name val="Tahoma"/>
      <family val="2"/>
      <scheme val="major"/>
    </font>
    <font>
      <b/>
      <sz val="14"/>
      <color theme="1"/>
      <name val="Century Gothic"/>
      <family val="2"/>
      <charset val="204"/>
      <scheme val="minor"/>
    </font>
    <font>
      <b/>
      <sz val="14"/>
      <color theme="5" tint="-0.499984740745262"/>
      <name val="Tahoma"/>
      <family val="2"/>
      <charset val="204"/>
      <scheme val="major"/>
    </font>
    <font>
      <sz val="20"/>
      <color theme="2" tint="-0.749992370372631"/>
      <name val="Tahoma"/>
      <family val="2"/>
      <scheme val="major"/>
    </font>
    <font>
      <sz val="10"/>
      <color theme="2" tint="-0.749992370372631"/>
      <name val="Century Gothic"/>
      <family val="2"/>
      <scheme val="minor"/>
    </font>
    <font>
      <sz val="12"/>
      <color theme="2" tint="-0.749992370372631"/>
      <name val="Tahoma"/>
      <family val="2"/>
      <scheme val="major"/>
    </font>
    <font>
      <sz val="18"/>
      <color theme="2" tint="-0.749992370372631"/>
      <name val="Tahoma (Заголовки)"/>
      <charset val="204"/>
    </font>
    <font>
      <b/>
      <sz val="12"/>
      <color theme="1"/>
      <name val="Century Gothic"/>
      <family val="2"/>
      <charset val="204"/>
      <scheme val="minor"/>
    </font>
    <font>
      <b/>
      <sz val="12"/>
      <color theme="1"/>
      <name val="Century Gothic"/>
      <family val="2"/>
      <scheme val="minor"/>
    </font>
    <font>
      <sz val="12"/>
      <color theme="3" tint="0.24994659260841701"/>
      <name val="Century Gothic"/>
      <family val="2"/>
      <scheme val="minor"/>
    </font>
    <font>
      <sz val="8"/>
      <name val="Century Gothic"/>
      <family val="2"/>
      <scheme val="minor"/>
    </font>
    <font>
      <sz val="14"/>
      <color theme="3" tint="0.24994659260841701"/>
      <name val="Century Gothic"/>
      <family val="2"/>
      <scheme val="minor"/>
    </font>
    <font>
      <sz val="14"/>
      <name val="Tahoma (Заголовки)"/>
      <charset val="204"/>
    </font>
    <font>
      <b/>
      <sz val="12"/>
      <color rgb="FF5A0E0B"/>
      <name val="Century Gothic"/>
      <family val="2"/>
      <scheme val="minor"/>
    </font>
    <font>
      <sz val="12"/>
      <color theme="1" tint="4.9989318521683403E-2"/>
      <name val="Century Gothic"/>
      <family val="2"/>
      <scheme val="minor"/>
    </font>
    <font>
      <b/>
      <sz val="12"/>
      <color rgb="FF0070C0"/>
      <name val="Century Gothic"/>
      <family val="2"/>
      <scheme val="minor"/>
    </font>
    <font>
      <b/>
      <sz val="12"/>
      <color rgb="FFFF0000"/>
      <name val="Century Gothic"/>
      <family val="2"/>
      <scheme val="minor"/>
    </font>
    <font>
      <sz val="12"/>
      <name val="Century Gothic"/>
      <family val="2"/>
      <scheme val="minor"/>
    </font>
    <font>
      <b/>
      <sz val="12"/>
      <color rgb="FF005C2A"/>
      <name val="Century Gothic"/>
      <family val="2"/>
      <scheme val="minor"/>
    </font>
    <font>
      <b/>
      <sz val="12"/>
      <color rgb="FF0B631B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rgb="FF005C2A"/>
      <name val="Century Gothic"/>
      <family val="2"/>
      <scheme val="minor"/>
    </font>
    <font>
      <b/>
      <sz val="12"/>
      <name val="Century Gothic"/>
      <family val="2"/>
      <scheme val="minor"/>
    </font>
    <font>
      <sz val="12"/>
      <color theme="1" tint="0.14999847407452621"/>
      <name val="Century Gothic"/>
      <family val="2"/>
      <scheme val="minor"/>
    </font>
    <font>
      <b/>
      <sz val="12"/>
      <color theme="1" tint="0.14999847407452621"/>
      <name val="Century Gothic"/>
      <family val="2"/>
      <scheme val="minor"/>
    </font>
    <font>
      <b/>
      <sz val="12"/>
      <color theme="1" tint="4.9989318521683403E-2"/>
      <name val="Century Gothic"/>
      <family val="2"/>
      <scheme val="minor"/>
    </font>
    <font>
      <sz val="12"/>
      <color theme="1"/>
      <name val="Century Gothic"/>
      <family val="2"/>
      <charset val="204"/>
      <scheme val="minor"/>
    </font>
    <font>
      <b/>
      <sz val="12"/>
      <name val="Century Gothic"/>
      <family val="2"/>
      <charset val="204"/>
      <scheme val="minor"/>
    </font>
    <font>
      <b/>
      <sz val="12"/>
      <color rgb="FF7030A0"/>
      <name val="Century Gothic"/>
      <family val="2"/>
      <scheme val="minor"/>
    </font>
    <font>
      <b/>
      <sz val="12"/>
      <color rgb="FFFF0000"/>
      <name val="Century Gothic"/>
      <family val="2"/>
      <charset val="204"/>
      <scheme val="minor"/>
    </font>
    <font>
      <b/>
      <sz val="12"/>
      <color rgb="FF0B631B"/>
      <name val="Century Gothic"/>
      <family val="2"/>
      <charset val="204"/>
      <scheme val="minor"/>
    </font>
    <font>
      <b/>
      <sz val="12"/>
      <color theme="1" tint="4.9989318521683403E-2"/>
      <name val="Century Gothic"/>
      <family val="2"/>
      <charset val="204"/>
      <scheme val="minor"/>
    </font>
    <font>
      <sz val="12"/>
      <color theme="1" tint="4.9989318521683403E-2"/>
      <name val="Century Gothic"/>
      <family val="2"/>
      <charset val="204"/>
      <scheme val="minor"/>
    </font>
    <font>
      <b/>
      <sz val="12"/>
      <color rgb="FF005C2A"/>
      <name val="Century Gothic"/>
      <family val="2"/>
      <charset val="204"/>
      <scheme val="minor"/>
    </font>
    <font>
      <i/>
      <sz val="12"/>
      <color theme="1"/>
      <name val="Century Gothic"/>
      <family val="2"/>
      <charset val="204"/>
      <scheme val="minor"/>
    </font>
    <font>
      <b/>
      <sz val="12"/>
      <color rgb="FF11425A"/>
      <name val="Century Gothic"/>
      <family val="2"/>
      <scheme val="minor"/>
    </font>
    <font>
      <b/>
      <sz val="14"/>
      <color rgb="FF11425A"/>
      <name val="Century Gothic"/>
      <family val="2"/>
      <charset val="204"/>
      <scheme val="minor"/>
    </font>
    <font>
      <b/>
      <sz val="12"/>
      <color rgb="FF17333F"/>
      <name val="Century Gothic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1632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1D4C5"/>
        <bgColor indexed="64"/>
      </patternFill>
    </fill>
    <fill>
      <patternFill patternType="solid">
        <fgColor rgb="FFF3F1CE"/>
        <bgColor indexed="64"/>
      </patternFill>
    </fill>
    <fill>
      <patternFill patternType="solid">
        <fgColor rgb="FFF3F1CE"/>
        <bgColor theme="1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1425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9">
    <xf numFmtId="0" fontId="0" fillId="3" borderId="0"/>
    <xf numFmtId="0" fontId="5" fillId="2" borderId="0" applyNumberFormat="0" applyBorder="0" applyProtection="0">
      <alignment horizontal="left" vertical="center"/>
    </xf>
    <xf numFmtId="0" fontId="6" fillId="3" borderId="0" applyNumberFormat="0" applyProtection="0">
      <alignment horizontal="left"/>
    </xf>
    <xf numFmtId="0" fontId="4" fillId="3" borderId="1" applyNumberFormat="0" applyAlignment="0" applyProtection="0"/>
    <xf numFmtId="166" fontId="3" fillId="3" borderId="0" applyAlignment="0" applyProtection="0"/>
    <xf numFmtId="0" fontId="1" fillId="0" borderId="0" applyNumberForma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295">
    <xf numFmtId="0" fontId="0" fillId="3" borderId="0" xfId="0"/>
    <xf numFmtId="0" fontId="0" fillId="3" borderId="0" xfId="0" applyAlignment="1">
      <alignment horizontal="left" vertical="center"/>
    </xf>
    <xf numFmtId="0" fontId="0" fillId="3" borderId="0" xfId="0" applyAlignment="1">
      <alignment horizontal="left"/>
    </xf>
    <xf numFmtId="14" fontId="0" fillId="3" borderId="0" xfId="0" applyNumberFormat="1" applyAlignment="1">
      <alignment horizontal="left"/>
    </xf>
    <xf numFmtId="0" fontId="5" fillId="2" borderId="0" xfId="1" applyBorder="1">
      <alignment horizontal="left" vertical="center"/>
    </xf>
    <xf numFmtId="9" fontId="7" fillId="3" borderId="0" xfId="0" applyNumberFormat="1" applyFont="1" applyAlignment="1">
      <alignment horizontal="left" vertical="center"/>
    </xf>
    <xf numFmtId="167" fontId="0" fillId="3" borderId="0" xfId="0" applyNumberFormat="1" applyAlignment="1">
      <alignment horizontal="left"/>
    </xf>
    <xf numFmtId="0" fontId="5" fillId="4" borderId="0" xfId="1" applyFill="1" applyBorder="1">
      <alignment horizontal="left" vertical="center"/>
    </xf>
    <xf numFmtId="10" fontId="0" fillId="3" borderId="0" xfId="0" applyNumberFormat="1" applyAlignment="1">
      <alignment horizontal="left"/>
    </xf>
    <xf numFmtId="168" fontId="0" fillId="3" borderId="0" xfId="0" applyNumberFormat="1" applyAlignment="1">
      <alignment horizontal="left"/>
    </xf>
    <xf numFmtId="0" fontId="0" fillId="13" borderId="0" xfId="0" applyFill="1" applyAlignment="1">
      <alignment horizontal="left" vertical="center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 vertical="center"/>
    </xf>
    <xf numFmtId="168" fontId="14" fillId="14" borderId="0" xfId="2" applyNumberFormat="1" applyFont="1" applyFill="1">
      <alignment horizontal="left"/>
    </xf>
    <xf numFmtId="10" fontId="12" fillId="14" borderId="0" xfId="0" applyNumberFormat="1" applyFont="1" applyFill="1" applyAlignment="1">
      <alignment horizontal="left"/>
    </xf>
    <xf numFmtId="0" fontId="21" fillId="14" borderId="0" xfId="0" applyFont="1" applyFill="1"/>
    <xf numFmtId="0" fontId="18" fillId="14" borderId="0" xfId="0" applyFont="1" applyFill="1"/>
    <xf numFmtId="0" fontId="19" fillId="14" borderId="0" xfId="0" applyFont="1" applyFill="1" applyAlignment="1">
      <alignment horizontal="left" vertical="center"/>
    </xf>
    <xf numFmtId="168" fontId="0" fillId="14" borderId="0" xfId="0" applyNumberFormat="1" applyFill="1" applyAlignment="1">
      <alignment horizontal="left" vertical="center"/>
    </xf>
    <xf numFmtId="10" fontId="0" fillId="14" borderId="0" xfId="0" applyNumberFormat="1" applyFill="1" applyAlignment="1">
      <alignment horizontal="left" vertical="center"/>
    </xf>
    <xf numFmtId="10" fontId="0" fillId="14" borderId="0" xfId="0" applyNumberFormat="1" applyFill="1" applyAlignment="1">
      <alignment horizontal="left"/>
    </xf>
    <xf numFmtId="0" fontId="0" fillId="14" borderId="0" xfId="0" applyFill="1" applyAlignment="1">
      <alignment horizontal="left"/>
    </xf>
    <xf numFmtId="0" fontId="2" fillId="14" borderId="0" xfId="0" applyFont="1" applyFill="1" applyAlignment="1">
      <alignment horizontal="left" vertical="center"/>
    </xf>
    <xf numFmtId="168" fontId="0" fillId="14" borderId="0" xfId="0" applyNumberFormat="1" applyFill="1"/>
    <xf numFmtId="10" fontId="0" fillId="14" borderId="0" xfId="0" applyNumberFormat="1" applyFill="1"/>
    <xf numFmtId="0" fontId="0" fillId="14" borderId="4" xfId="0" applyFill="1" applyBorder="1" applyAlignment="1">
      <alignment horizontal="left" vertical="center"/>
    </xf>
    <xf numFmtId="10" fontId="9" fillId="15" borderId="0" xfId="3" applyNumberFormat="1" applyFont="1" applyFill="1" applyBorder="1" applyAlignment="1">
      <alignment horizontal="left" vertical="center"/>
    </xf>
    <xf numFmtId="168" fontId="9" fillId="15" borderId="0" xfId="3" applyNumberFormat="1" applyFont="1" applyFill="1" applyBorder="1" applyAlignment="1">
      <alignment horizontal="left" vertical="center"/>
    </xf>
    <xf numFmtId="0" fontId="0" fillId="14" borderId="4" xfId="0" applyFill="1" applyBorder="1" applyAlignment="1">
      <alignment horizontal="left"/>
    </xf>
    <xf numFmtId="168" fontId="0" fillId="14" borderId="0" xfId="0" applyNumberFormat="1" applyFill="1" applyAlignment="1">
      <alignment horizontal="left"/>
    </xf>
    <xf numFmtId="0" fontId="0" fillId="14" borderId="3" xfId="0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14" fontId="0" fillId="14" borderId="0" xfId="0" applyNumberFormat="1" applyFill="1" applyAlignment="1">
      <alignment horizontal="left"/>
    </xf>
    <xf numFmtId="0" fontId="16" fillId="20" borderId="14" xfId="0" applyFont="1" applyFill="1" applyBorder="1"/>
    <xf numFmtId="0" fontId="16" fillId="20" borderId="15" xfId="0" applyFont="1" applyFill="1" applyBorder="1"/>
    <xf numFmtId="14" fontId="22" fillId="20" borderId="14" xfId="0" applyNumberFormat="1" applyFont="1" applyFill="1" applyBorder="1" applyAlignment="1">
      <alignment horizontal="center"/>
    </xf>
    <xf numFmtId="0" fontId="24" fillId="14" borderId="0" xfId="0" applyFont="1" applyFill="1" applyAlignment="1">
      <alignment horizontal="left"/>
    </xf>
    <xf numFmtId="168" fontId="26" fillId="14" borderId="0" xfId="0" applyNumberFormat="1" applyFont="1" applyFill="1"/>
    <xf numFmtId="10" fontId="26" fillId="14" borderId="0" xfId="0" applyNumberFormat="1" applyFont="1" applyFill="1"/>
    <xf numFmtId="0" fontId="0" fillId="14" borderId="0" xfId="0" applyFill="1"/>
    <xf numFmtId="0" fontId="23" fillId="7" borderId="14" xfId="0" applyFont="1" applyFill="1" applyBorder="1" applyAlignment="1">
      <alignment horizontal="center"/>
    </xf>
    <xf numFmtId="0" fontId="23" fillId="7" borderId="15" xfId="0" applyFont="1" applyFill="1" applyBorder="1" applyAlignment="1">
      <alignment horizontal="center"/>
    </xf>
    <xf numFmtId="0" fontId="23" fillId="7" borderId="10" xfId="0" applyFont="1" applyFill="1" applyBorder="1" applyAlignment="1">
      <alignment horizontal="center"/>
    </xf>
    <xf numFmtId="0" fontId="5" fillId="25" borderId="0" xfId="1" applyFill="1" applyBorder="1">
      <alignment horizontal="left" vertical="center"/>
    </xf>
    <xf numFmtId="10" fontId="0" fillId="25" borderId="0" xfId="0" applyNumberFormat="1" applyFill="1" applyAlignment="1">
      <alignment horizontal="left" vertical="center"/>
    </xf>
    <xf numFmtId="168" fontId="0" fillId="25" borderId="0" xfId="0" applyNumberFormat="1" applyFill="1" applyAlignment="1">
      <alignment horizontal="left" vertical="center"/>
    </xf>
    <xf numFmtId="0" fontId="0" fillId="25" borderId="0" xfId="0" applyFill="1" applyAlignment="1">
      <alignment horizontal="left" vertical="center"/>
    </xf>
    <xf numFmtId="10" fontId="5" fillId="25" borderId="0" xfId="1" applyNumberFormat="1" applyFill="1" applyBorder="1">
      <alignment horizontal="left" vertical="center"/>
    </xf>
    <xf numFmtId="168" fontId="5" fillId="25" borderId="0" xfId="1" applyNumberFormat="1" applyFill="1" applyBorder="1">
      <alignment horizontal="left" vertical="center"/>
    </xf>
    <xf numFmtId="0" fontId="0" fillId="25" borderId="0" xfId="0" applyFill="1" applyAlignment="1">
      <alignment horizontal="left"/>
    </xf>
    <xf numFmtId="10" fontId="0" fillId="25" borderId="0" xfId="0" applyNumberFormat="1" applyFill="1" applyAlignment="1">
      <alignment horizontal="left"/>
    </xf>
    <xf numFmtId="0" fontId="26" fillId="14" borderId="0" xfId="0" applyFont="1" applyFill="1" applyAlignment="1">
      <alignment horizontal="left"/>
    </xf>
    <xf numFmtId="0" fontId="26" fillId="14" borderId="0" xfId="0" applyFont="1" applyFill="1" applyAlignment="1">
      <alignment horizontal="left" vertical="center"/>
    </xf>
    <xf numFmtId="10" fontId="26" fillId="14" borderId="0" xfId="0" applyNumberFormat="1" applyFont="1" applyFill="1" applyAlignment="1">
      <alignment horizontal="left"/>
    </xf>
    <xf numFmtId="0" fontId="24" fillId="14" borderId="0" xfId="0" applyFont="1" applyFill="1" applyAlignment="1">
      <alignment horizontal="left" vertical="center"/>
    </xf>
    <xf numFmtId="167" fontId="24" fillId="17" borderId="14" xfId="0" applyNumberFormat="1" applyFont="1" applyFill="1" applyBorder="1" applyAlignment="1">
      <alignment horizontal="left"/>
    </xf>
    <xf numFmtId="10" fontId="28" fillId="17" borderId="15" xfId="0" applyNumberFormat="1" applyFont="1" applyFill="1" applyBorder="1" applyAlignment="1">
      <alignment horizontal="center"/>
    </xf>
    <xf numFmtId="10" fontId="24" fillId="17" borderId="16" xfId="0" applyNumberFormat="1" applyFont="1" applyFill="1" applyBorder="1" applyAlignment="1">
      <alignment horizontal="left"/>
    </xf>
    <xf numFmtId="167" fontId="28" fillId="3" borderId="14" xfId="0" applyNumberFormat="1" applyFont="1" applyBorder="1" applyAlignment="1">
      <alignment horizontal="center"/>
    </xf>
    <xf numFmtId="10" fontId="28" fillId="3" borderId="10" xfId="0" applyNumberFormat="1" applyFont="1" applyBorder="1" applyAlignment="1">
      <alignment horizontal="center"/>
    </xf>
    <xf numFmtId="10" fontId="28" fillId="3" borderId="16" xfId="0" applyNumberFormat="1" applyFont="1" applyBorder="1" applyAlignment="1">
      <alignment horizontal="center"/>
    </xf>
    <xf numFmtId="16" fontId="28" fillId="3" borderId="8" xfId="0" applyNumberFormat="1" applyFont="1" applyBorder="1" applyAlignment="1">
      <alignment horizontal="center"/>
    </xf>
    <xf numFmtId="169" fontId="28" fillId="3" borderId="28" xfId="0" applyNumberFormat="1" applyFont="1" applyBorder="1"/>
    <xf numFmtId="0" fontId="24" fillId="18" borderId="14" xfId="0" applyFont="1" applyFill="1" applyBorder="1" applyAlignment="1">
      <alignment horizontal="left" vertical="center"/>
    </xf>
    <xf numFmtId="14" fontId="24" fillId="18" borderId="15" xfId="0" applyNumberFormat="1" applyFont="1" applyFill="1" applyBorder="1" applyAlignment="1">
      <alignment horizontal="left"/>
    </xf>
    <xf numFmtId="168" fontId="24" fillId="18" borderId="16" xfId="0" applyNumberFormat="1" applyFont="1" applyFill="1" applyBorder="1" applyAlignment="1">
      <alignment horizontal="left"/>
    </xf>
    <xf numFmtId="0" fontId="24" fillId="14" borderId="0" xfId="0" applyFont="1" applyFill="1"/>
    <xf numFmtId="171" fontId="30" fillId="8" borderId="22" xfId="7" applyNumberFormat="1" applyFont="1" applyFill="1" applyBorder="1"/>
    <xf numFmtId="172" fontId="23" fillId="8" borderId="7" xfId="0" applyNumberFormat="1" applyFont="1" applyFill="1" applyBorder="1" applyAlignment="1">
      <alignment horizontal="center"/>
    </xf>
    <xf numFmtId="171" fontId="30" fillId="8" borderId="31" xfId="7" applyNumberFormat="1" applyFont="1" applyFill="1" applyBorder="1"/>
    <xf numFmtId="173" fontId="29" fillId="8" borderId="7" xfId="8" applyNumberFormat="1" applyFont="1" applyFill="1" applyBorder="1"/>
    <xf numFmtId="171" fontId="30" fillId="8" borderId="25" xfId="7" applyNumberFormat="1" applyFont="1" applyFill="1" applyBorder="1"/>
    <xf numFmtId="172" fontId="23" fillId="12" borderId="5" xfId="0" applyNumberFormat="1" applyFont="1" applyFill="1" applyBorder="1" applyAlignment="1">
      <alignment horizontal="center"/>
    </xf>
    <xf numFmtId="171" fontId="30" fillId="12" borderId="22" xfId="7" applyNumberFormat="1" applyFont="1" applyFill="1" applyBorder="1"/>
    <xf numFmtId="173" fontId="32" fillId="12" borderId="5" xfId="8" applyNumberFormat="1" applyFont="1" applyFill="1" applyBorder="1"/>
    <xf numFmtId="170" fontId="31" fillId="19" borderId="33" xfId="8" applyNumberFormat="1" applyFont="1" applyFill="1" applyBorder="1"/>
    <xf numFmtId="172" fontId="23" fillId="12" borderId="7" xfId="0" applyNumberFormat="1" applyFont="1" applyFill="1" applyBorder="1" applyAlignment="1">
      <alignment horizontal="center"/>
    </xf>
    <xf numFmtId="171" fontId="30" fillId="12" borderId="31" xfId="7" applyNumberFormat="1" applyFont="1" applyFill="1" applyBorder="1"/>
    <xf numFmtId="170" fontId="33" fillId="19" borderId="7" xfId="8" applyNumberFormat="1" applyFont="1" applyFill="1" applyBorder="1"/>
    <xf numFmtId="172" fontId="23" fillId="10" borderId="7" xfId="0" applyNumberFormat="1" applyFont="1" applyFill="1" applyBorder="1" applyAlignment="1">
      <alignment horizontal="center"/>
    </xf>
    <xf numFmtId="170" fontId="34" fillId="19" borderId="8" xfId="8" applyNumberFormat="1" applyFont="1" applyFill="1" applyBorder="1"/>
    <xf numFmtId="172" fontId="23" fillId="12" borderId="8" xfId="0" applyNumberFormat="1" applyFont="1" applyFill="1" applyBorder="1" applyAlignment="1">
      <alignment horizontal="center"/>
    </xf>
    <xf numFmtId="171" fontId="30" fillId="12" borderId="23" xfId="7" applyNumberFormat="1" applyFont="1" applyFill="1" applyBorder="1"/>
    <xf numFmtId="0" fontId="36" fillId="18" borderId="10" xfId="0" applyFont="1" applyFill="1" applyBorder="1"/>
    <xf numFmtId="0" fontId="23" fillId="18" borderId="10" xfId="0" applyFont="1" applyFill="1" applyBorder="1" applyAlignment="1">
      <alignment horizontal="center"/>
    </xf>
    <xf numFmtId="0" fontId="24" fillId="18" borderId="14" xfId="0" applyFont="1" applyFill="1" applyBorder="1"/>
    <xf numFmtId="171" fontId="24" fillId="18" borderId="15" xfId="7" applyNumberFormat="1" applyFont="1" applyFill="1" applyBorder="1"/>
    <xf numFmtId="173" fontId="24" fillId="18" borderId="16" xfId="0" applyNumberFormat="1" applyFont="1" applyFill="1" applyBorder="1"/>
    <xf numFmtId="171" fontId="23" fillId="5" borderId="24" xfId="7" applyNumberFormat="1" applyFont="1" applyFill="1" applyBorder="1"/>
    <xf numFmtId="0" fontId="24" fillId="10" borderId="14" xfId="0" applyFont="1" applyFill="1" applyBorder="1"/>
    <xf numFmtId="0" fontId="23" fillId="10" borderId="15" xfId="0" applyFont="1" applyFill="1" applyBorder="1"/>
    <xf numFmtId="0" fontId="24" fillId="10" borderId="15" xfId="0" applyFont="1" applyFill="1" applyBorder="1" applyAlignment="1">
      <alignment horizontal="left" vertical="center"/>
    </xf>
    <xf numFmtId="0" fontId="23" fillId="24" borderId="14" xfId="0" applyFont="1" applyFill="1" applyBorder="1" applyAlignment="1">
      <alignment horizontal="left"/>
    </xf>
    <xf numFmtId="0" fontId="23" fillId="5" borderId="15" xfId="0" applyFont="1" applyFill="1" applyBorder="1" applyAlignment="1">
      <alignment horizontal="left"/>
    </xf>
    <xf numFmtId="0" fontId="24" fillId="5" borderId="16" xfId="0" applyFont="1" applyFill="1" applyBorder="1" applyAlignment="1">
      <alignment horizontal="center"/>
    </xf>
    <xf numFmtId="0" fontId="23" fillId="10" borderId="19" xfId="0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24" borderId="20" xfId="0" applyFont="1" applyFill="1" applyBorder="1" applyAlignment="1">
      <alignment horizontal="center"/>
    </xf>
    <xf numFmtId="0" fontId="23" fillId="5" borderId="0" xfId="0" applyFont="1" applyFill="1" applyAlignment="1">
      <alignment horizontal="center"/>
    </xf>
    <xf numFmtId="0" fontId="23" fillId="5" borderId="11" xfId="0" applyFont="1" applyFill="1" applyBorder="1" applyAlignment="1">
      <alignment horizontal="center"/>
    </xf>
    <xf numFmtId="10" fontId="32" fillId="22" borderId="18" xfId="0" applyNumberFormat="1" applyFont="1" applyFill="1" applyBorder="1"/>
    <xf numFmtId="0" fontId="23" fillId="9" borderId="10" xfId="0" applyFont="1" applyFill="1" applyBorder="1" applyAlignment="1">
      <alignment horizontal="center"/>
    </xf>
    <xf numFmtId="10" fontId="23" fillId="9" borderId="10" xfId="0" applyNumberFormat="1" applyFont="1" applyFill="1" applyBorder="1" applyAlignment="1">
      <alignment horizontal="center"/>
    </xf>
    <xf numFmtId="10" fontId="23" fillId="22" borderId="24" xfId="0" applyNumberFormat="1" applyFont="1" applyFill="1" applyBorder="1"/>
    <xf numFmtId="0" fontId="23" fillId="16" borderId="10" xfId="0" applyFont="1" applyFill="1" applyBorder="1" applyAlignment="1">
      <alignment horizontal="center"/>
    </xf>
    <xf numFmtId="10" fontId="39" fillId="16" borderId="10" xfId="6" applyNumberFormat="1" applyFont="1" applyFill="1" applyBorder="1" applyAlignment="1">
      <alignment horizontal="center"/>
    </xf>
    <xf numFmtId="0" fontId="23" fillId="21" borderId="10" xfId="0" applyFont="1" applyFill="1" applyBorder="1" applyAlignment="1">
      <alignment horizontal="center"/>
    </xf>
    <xf numFmtId="10" fontId="39" fillId="21" borderId="10" xfId="6" applyNumberFormat="1" applyFont="1" applyFill="1" applyBorder="1" applyAlignment="1">
      <alignment horizontal="center"/>
    </xf>
    <xf numFmtId="0" fontId="40" fillId="19" borderId="10" xfId="0" applyFont="1" applyFill="1" applyBorder="1" applyAlignment="1">
      <alignment horizontal="center"/>
    </xf>
    <xf numFmtId="16" fontId="43" fillId="3" borderId="5" xfId="0" applyNumberFormat="1" applyFont="1" applyBorder="1" applyAlignment="1">
      <alignment horizontal="center"/>
    </xf>
    <xf numFmtId="169" fontId="43" fillId="3" borderId="26" xfId="0" applyNumberFormat="1" applyFont="1" applyBorder="1"/>
    <xf numFmtId="10" fontId="43" fillId="6" borderId="6" xfId="6" applyNumberFormat="1" applyFont="1" applyFill="1" applyBorder="1"/>
    <xf numFmtId="171" fontId="32" fillId="8" borderId="26" xfId="7" applyNumberFormat="1" applyFont="1" applyFill="1" applyBorder="1"/>
    <xf numFmtId="171" fontId="32" fillId="8" borderId="27" xfId="7" applyNumberFormat="1" applyFont="1" applyFill="1" applyBorder="1"/>
    <xf numFmtId="171" fontId="32" fillId="8" borderId="29" xfId="7" applyNumberFormat="1" applyFont="1" applyFill="1" applyBorder="1"/>
    <xf numFmtId="171" fontId="32" fillId="12" borderId="26" xfId="7" applyNumberFormat="1" applyFont="1" applyFill="1" applyBorder="1"/>
    <xf numFmtId="171" fontId="32" fillId="12" borderId="27" xfId="7" applyNumberFormat="1" applyFont="1" applyFill="1" applyBorder="1"/>
    <xf numFmtId="171" fontId="32" fillId="12" borderId="28" xfId="7" applyNumberFormat="1" applyFont="1" applyFill="1" applyBorder="1"/>
    <xf numFmtId="171" fontId="44" fillId="23" borderId="7" xfId="7" applyNumberFormat="1" applyFont="1" applyFill="1" applyBorder="1"/>
    <xf numFmtId="171" fontId="45" fillId="23" borderId="7" xfId="7" applyNumberFormat="1" applyFont="1" applyFill="1" applyBorder="1"/>
    <xf numFmtId="173" fontId="32" fillId="10" borderId="5" xfId="8" applyNumberFormat="1" applyFont="1" applyFill="1" applyBorder="1"/>
    <xf numFmtId="170" fontId="34" fillId="19" borderId="7" xfId="8" applyNumberFormat="1" applyFont="1" applyFill="1" applyBorder="1"/>
    <xf numFmtId="170" fontId="31" fillId="19" borderId="5" xfId="8" applyNumberFormat="1" applyFont="1" applyFill="1" applyBorder="1"/>
    <xf numFmtId="171" fontId="44" fillId="23" borderId="8" xfId="7" applyNumberFormat="1" applyFont="1" applyFill="1" applyBorder="1"/>
    <xf numFmtId="171" fontId="48" fillId="23" borderId="5" xfId="7" applyNumberFormat="1" applyFont="1" applyFill="1" applyBorder="1"/>
    <xf numFmtId="172" fontId="23" fillId="28" borderId="5" xfId="0" applyNumberFormat="1" applyFont="1" applyFill="1" applyBorder="1" applyAlignment="1">
      <alignment horizontal="center"/>
    </xf>
    <xf numFmtId="172" fontId="23" fillId="28" borderId="7" xfId="0" applyNumberFormat="1" applyFont="1" applyFill="1" applyBorder="1" applyAlignment="1">
      <alignment horizontal="center"/>
    </xf>
    <xf numFmtId="173" fontId="29" fillId="28" borderId="5" xfId="8" applyNumberFormat="1" applyFont="1" applyFill="1" applyBorder="1"/>
    <xf numFmtId="173" fontId="32" fillId="28" borderId="5" xfId="8" applyNumberFormat="1" applyFont="1" applyFill="1" applyBorder="1"/>
    <xf numFmtId="172" fontId="23" fillId="8" borderId="30" xfId="0" applyNumberFormat="1" applyFont="1" applyFill="1" applyBorder="1" applyAlignment="1">
      <alignment horizontal="center"/>
    </xf>
    <xf numFmtId="173" fontId="29" fillId="8" borderId="30" xfId="8" applyNumberFormat="1" applyFont="1" applyFill="1" applyBorder="1"/>
    <xf numFmtId="0" fontId="24" fillId="24" borderId="15" xfId="0" applyFont="1" applyFill="1" applyBorder="1" applyAlignment="1">
      <alignment horizontal="left"/>
    </xf>
    <xf numFmtId="0" fontId="23" fillId="24" borderId="34" xfId="0" applyFont="1" applyFill="1" applyBorder="1" applyAlignment="1">
      <alignment horizontal="center"/>
    </xf>
    <xf numFmtId="0" fontId="24" fillId="5" borderId="14" xfId="0" applyFont="1" applyFill="1" applyBorder="1" applyAlignment="1">
      <alignment horizontal="left" vertical="center"/>
    </xf>
    <xf numFmtId="0" fontId="23" fillId="5" borderId="19" xfId="0" applyFont="1" applyFill="1" applyBorder="1" applyAlignment="1">
      <alignment horizontal="center"/>
    </xf>
    <xf numFmtId="10" fontId="23" fillId="5" borderId="24" xfId="0" applyNumberFormat="1" applyFont="1" applyFill="1" applyBorder="1" applyAlignment="1">
      <alignment horizontal="center"/>
    </xf>
    <xf numFmtId="172" fontId="23" fillId="20" borderId="7" xfId="0" applyNumberFormat="1" applyFont="1" applyFill="1" applyBorder="1" applyAlignment="1">
      <alignment horizontal="center"/>
    </xf>
    <xf numFmtId="173" fontId="32" fillId="20" borderId="5" xfId="8" applyNumberFormat="1" applyFont="1" applyFill="1" applyBorder="1"/>
    <xf numFmtId="0" fontId="42" fillId="26" borderId="24" xfId="0" applyFont="1" applyFill="1" applyBorder="1" applyAlignment="1">
      <alignment horizontal="center"/>
    </xf>
    <xf numFmtId="170" fontId="46" fillId="26" borderId="24" xfId="8" applyNumberFormat="1" applyFont="1" applyFill="1" applyBorder="1"/>
    <xf numFmtId="10" fontId="32" fillId="22" borderId="6" xfId="0" applyNumberFormat="1" applyFont="1" applyFill="1" applyBorder="1"/>
    <xf numFmtId="10" fontId="32" fillId="22" borderId="35" xfId="0" applyNumberFormat="1" applyFont="1" applyFill="1" applyBorder="1"/>
    <xf numFmtId="174" fontId="22" fillId="20" borderId="10" xfId="8" applyNumberFormat="1" applyFont="1" applyFill="1" applyBorder="1" applyAlignment="1">
      <alignment horizontal="center"/>
    </xf>
    <xf numFmtId="0" fontId="38" fillId="11" borderId="24" xfId="0" applyFont="1" applyFill="1" applyBorder="1"/>
    <xf numFmtId="175" fontId="23" fillId="24" borderId="38" xfId="8" applyNumberFormat="1" applyFont="1" applyFill="1" applyBorder="1"/>
    <xf numFmtId="175" fontId="23" fillId="5" borderId="24" xfId="8" applyNumberFormat="1" applyFont="1" applyFill="1" applyBorder="1"/>
    <xf numFmtId="175" fontId="0" fillId="14" borderId="0" xfId="0" applyNumberFormat="1" applyFill="1" applyAlignment="1">
      <alignment horizontal="left"/>
    </xf>
    <xf numFmtId="175" fontId="24" fillId="14" borderId="0" xfId="0" applyNumberFormat="1" applyFont="1" applyFill="1" applyAlignment="1">
      <alignment horizontal="left"/>
    </xf>
    <xf numFmtId="175" fontId="23" fillId="9" borderId="10" xfId="8" applyNumberFormat="1" applyFont="1" applyFill="1" applyBorder="1" applyAlignment="1">
      <alignment horizontal="center"/>
    </xf>
    <xf numFmtId="175" fontId="39" fillId="16" borderId="10" xfId="8" applyNumberFormat="1" applyFont="1" applyFill="1" applyBorder="1" applyAlignment="1">
      <alignment horizontal="center"/>
    </xf>
    <xf numFmtId="175" fontId="39" fillId="21" borderId="10" xfId="8" applyNumberFormat="1" applyFont="1" applyFill="1" applyBorder="1" applyAlignment="1">
      <alignment horizontal="center"/>
    </xf>
    <xf numFmtId="175" fontId="23" fillId="7" borderId="14" xfId="8" applyNumberFormat="1" applyFont="1" applyFill="1" applyBorder="1"/>
    <xf numFmtId="175" fontId="23" fillId="7" borderId="15" xfId="8" applyNumberFormat="1" applyFont="1" applyFill="1" applyBorder="1"/>
    <xf numFmtId="175" fontId="23" fillId="21" borderId="10" xfId="8" applyNumberFormat="1" applyFont="1" applyFill="1" applyBorder="1"/>
    <xf numFmtId="175" fontId="47" fillId="13" borderId="5" xfId="0" applyNumberFormat="1" applyFont="1" applyFill="1" applyBorder="1" applyAlignment="1">
      <alignment horizontal="left"/>
    </xf>
    <xf numFmtId="175" fontId="47" fillId="13" borderId="7" xfId="0" applyNumberFormat="1" applyFont="1" applyFill="1" applyBorder="1" applyAlignment="1">
      <alignment horizontal="left"/>
    </xf>
    <xf numFmtId="175" fontId="46" fillId="26" borderId="24" xfId="8" applyNumberFormat="1" applyFont="1" applyFill="1" applyBorder="1"/>
    <xf numFmtId="175" fontId="46" fillId="5" borderId="24" xfId="0" applyNumberFormat="1" applyFont="1" applyFill="1" applyBorder="1" applyAlignment="1">
      <alignment horizontal="left"/>
    </xf>
    <xf numFmtId="175" fontId="37" fillId="27" borderId="24" xfId="0" applyNumberFormat="1" applyFont="1" applyFill="1" applyBorder="1"/>
    <xf numFmtId="175" fontId="23" fillId="10" borderId="13" xfId="0" applyNumberFormat="1" applyFont="1" applyFill="1" applyBorder="1"/>
    <xf numFmtId="175" fontId="24" fillId="14" borderId="0" xfId="0" applyNumberFormat="1" applyFont="1" applyFill="1"/>
    <xf numFmtId="175" fontId="30" fillId="14" borderId="0" xfId="8" applyNumberFormat="1" applyFont="1" applyFill="1" applyBorder="1"/>
    <xf numFmtId="0" fontId="49" fillId="12" borderId="37" xfId="0" applyFont="1" applyFill="1" applyBorder="1" applyAlignment="1">
      <alignment horizontal="center"/>
    </xf>
    <xf numFmtId="16" fontId="49" fillId="12" borderId="35" xfId="0" applyNumberFormat="1" applyFont="1" applyFill="1" applyBorder="1" applyAlignment="1">
      <alignment horizontal="center"/>
    </xf>
    <xf numFmtId="0" fontId="49" fillId="12" borderId="35" xfId="0" applyFont="1" applyFill="1" applyBorder="1"/>
    <xf numFmtId="176" fontId="49" fillId="12" borderId="35" xfId="7" applyNumberFormat="1" applyFont="1" applyFill="1" applyBorder="1"/>
    <xf numFmtId="1" fontId="49" fillId="12" borderId="35" xfId="8" applyNumberFormat="1" applyFont="1" applyFill="1" applyBorder="1" applyAlignment="1">
      <alignment horizontal="center"/>
    </xf>
    <xf numFmtId="0" fontId="49" fillId="23" borderId="37" xfId="0" applyFont="1" applyFill="1" applyBorder="1" applyAlignment="1">
      <alignment horizontal="center"/>
    </xf>
    <xf numFmtId="16" fontId="35" fillId="23" borderId="18" xfId="0" applyNumberFormat="1" applyFont="1" applyFill="1" applyBorder="1" applyAlignment="1">
      <alignment horizontal="center"/>
    </xf>
    <xf numFmtId="176" fontId="35" fillId="23" borderId="18" xfId="7" applyNumberFormat="1" applyFont="1" applyFill="1" applyBorder="1"/>
    <xf numFmtId="1" fontId="35" fillId="23" borderId="18" xfId="8" applyNumberFormat="1" applyFont="1" applyFill="1" applyBorder="1" applyAlignment="1">
      <alignment horizontal="center"/>
    </xf>
    <xf numFmtId="0" fontId="49" fillId="23" borderId="18" xfId="0" applyFont="1" applyFill="1" applyBorder="1"/>
    <xf numFmtId="175" fontId="49" fillId="12" borderId="39" xfId="8" applyNumberFormat="1" applyFont="1" applyFill="1" applyBorder="1"/>
    <xf numFmtId="175" fontId="35" fillId="23" borderId="22" xfId="8" applyNumberFormat="1" applyFont="1" applyFill="1" applyBorder="1"/>
    <xf numFmtId="175" fontId="32" fillId="22" borderId="26" xfId="8" applyNumberFormat="1" applyFont="1" applyFill="1" applyBorder="1"/>
    <xf numFmtId="175" fontId="32" fillId="22" borderId="40" xfId="8" applyNumberFormat="1" applyFont="1" applyFill="1" applyBorder="1"/>
    <xf numFmtId="175" fontId="35" fillId="28" borderId="6" xfId="8" applyNumberFormat="1" applyFont="1" applyFill="1" applyBorder="1"/>
    <xf numFmtId="175" fontId="35" fillId="28" borderId="36" xfId="8" applyNumberFormat="1" applyFont="1" applyFill="1" applyBorder="1"/>
    <xf numFmtId="175" fontId="23" fillId="5" borderId="14" xfId="8" applyNumberFormat="1" applyFont="1" applyFill="1" applyBorder="1"/>
    <xf numFmtId="0" fontId="49" fillId="12" borderId="37" xfId="0" applyFont="1" applyFill="1" applyBorder="1"/>
    <xf numFmtId="0" fontId="46" fillId="16" borderId="19" xfId="0" applyFont="1" applyFill="1" applyBorder="1" applyAlignment="1">
      <alignment horizontal="center"/>
    </xf>
    <xf numFmtId="0" fontId="35" fillId="23" borderId="21" xfId="0" applyFont="1" applyFill="1" applyBorder="1"/>
    <xf numFmtId="0" fontId="35" fillId="23" borderId="32" xfId="0" applyFont="1" applyFill="1" applyBorder="1"/>
    <xf numFmtId="0" fontId="35" fillId="29" borderId="21" xfId="0" applyFont="1" applyFill="1" applyBorder="1"/>
    <xf numFmtId="0" fontId="35" fillId="29" borderId="32" xfId="0" applyFont="1" applyFill="1" applyBorder="1"/>
    <xf numFmtId="0" fontId="35" fillId="29" borderId="42" xfId="0" applyFont="1" applyFill="1" applyBorder="1"/>
    <xf numFmtId="175" fontId="47" fillId="13" borderId="8" xfId="0" applyNumberFormat="1" applyFont="1" applyFill="1" applyBorder="1" applyAlignment="1">
      <alignment horizontal="left"/>
    </xf>
    <xf numFmtId="175" fontId="47" fillId="29" borderId="5" xfId="0" applyNumberFormat="1" applyFont="1" applyFill="1" applyBorder="1" applyAlignment="1">
      <alignment horizontal="left"/>
    </xf>
    <xf numFmtId="175" fontId="47" fillId="29" borderId="7" xfId="0" applyNumberFormat="1" applyFont="1" applyFill="1" applyBorder="1" applyAlignment="1">
      <alignment horizontal="left"/>
    </xf>
    <xf numFmtId="175" fontId="47" fillId="29" borderId="8" xfId="0" applyNumberFormat="1" applyFont="1" applyFill="1" applyBorder="1" applyAlignment="1">
      <alignment horizontal="left"/>
    </xf>
    <xf numFmtId="0" fontId="46" fillId="24" borderId="38" xfId="0" applyFont="1" applyFill="1" applyBorder="1" applyAlignment="1">
      <alignment horizontal="center"/>
    </xf>
    <xf numFmtId="175" fontId="46" fillId="24" borderId="24" xfId="0" applyNumberFormat="1" applyFont="1" applyFill="1" applyBorder="1" applyAlignment="1">
      <alignment horizontal="left"/>
    </xf>
    <xf numFmtId="0" fontId="46" fillId="19" borderId="19" xfId="0" applyFont="1" applyFill="1" applyBorder="1" applyAlignment="1">
      <alignment horizontal="center"/>
    </xf>
    <xf numFmtId="175" fontId="46" fillId="16" borderId="41" xfId="0" applyNumberFormat="1" applyFont="1" applyFill="1" applyBorder="1" applyAlignment="1">
      <alignment horizontal="left"/>
    </xf>
    <xf numFmtId="176" fontId="49" fillId="12" borderId="36" xfId="7" applyNumberFormat="1" applyFont="1" applyFill="1" applyBorder="1"/>
    <xf numFmtId="0" fontId="23" fillId="22" borderId="14" xfId="0" applyFont="1" applyFill="1" applyBorder="1" applyAlignment="1">
      <alignment horizontal="center"/>
    </xf>
    <xf numFmtId="171" fontId="35" fillId="22" borderId="10" xfId="7" applyNumberFormat="1" applyFont="1" applyFill="1" applyBorder="1"/>
    <xf numFmtId="2" fontId="50" fillId="28" borderId="17" xfId="8" applyNumberFormat="1" applyFont="1" applyFill="1" applyBorder="1" applyAlignment="1">
      <alignment horizontal="center"/>
    </xf>
    <xf numFmtId="2" fontId="50" fillId="28" borderId="37" xfId="8" applyNumberFormat="1" applyFont="1" applyFill="1" applyBorder="1" applyAlignment="1">
      <alignment horizontal="center"/>
    </xf>
    <xf numFmtId="16" fontId="35" fillId="30" borderId="18" xfId="0" applyNumberFormat="1" applyFont="1" applyFill="1" applyBorder="1" applyAlignment="1">
      <alignment horizontal="center"/>
    </xf>
    <xf numFmtId="0" fontId="35" fillId="30" borderId="18" xfId="0" applyFont="1" applyFill="1" applyBorder="1"/>
    <xf numFmtId="176" fontId="35" fillId="30" borderId="18" xfId="7" applyNumberFormat="1" applyFont="1" applyFill="1" applyBorder="1"/>
    <xf numFmtId="1" fontId="35" fillId="30" borderId="18" xfId="8" applyNumberFormat="1" applyFont="1" applyFill="1" applyBorder="1" applyAlignment="1">
      <alignment horizontal="center"/>
    </xf>
    <xf numFmtId="175" fontId="35" fillId="30" borderId="22" xfId="8" applyNumberFormat="1" applyFont="1" applyFill="1" applyBorder="1"/>
    <xf numFmtId="2" fontId="30" fillId="30" borderId="17" xfId="8" applyNumberFormat="1" applyFont="1" applyFill="1" applyBorder="1" applyAlignment="1">
      <alignment horizontal="center"/>
    </xf>
    <xf numFmtId="175" fontId="35" fillId="30" borderId="6" xfId="8" applyNumberFormat="1" applyFont="1" applyFill="1" applyBorder="1"/>
    <xf numFmtId="175" fontId="32" fillId="30" borderId="26" xfId="8" applyNumberFormat="1" applyFont="1" applyFill="1" applyBorder="1"/>
    <xf numFmtId="10" fontId="32" fillId="30" borderId="18" xfId="0" applyNumberFormat="1" applyFont="1" applyFill="1" applyBorder="1"/>
    <xf numFmtId="10" fontId="32" fillId="30" borderId="6" xfId="0" applyNumberFormat="1" applyFont="1" applyFill="1" applyBorder="1"/>
    <xf numFmtId="2" fontId="50" fillId="30" borderId="17" xfId="8" applyNumberFormat="1" applyFont="1" applyFill="1" applyBorder="1" applyAlignment="1">
      <alignment horizontal="center"/>
    </xf>
    <xf numFmtId="172" fontId="35" fillId="30" borderId="18" xfId="8" applyNumberFormat="1" applyFont="1" applyFill="1" applyBorder="1" applyAlignment="1">
      <alignment horizontal="center"/>
    </xf>
    <xf numFmtId="0" fontId="41" fillId="30" borderId="17" xfId="0" applyFont="1" applyFill="1" applyBorder="1" applyAlignment="1">
      <alignment horizontal="center"/>
    </xf>
    <xf numFmtId="0" fontId="49" fillId="30" borderId="37" xfId="0" applyFont="1" applyFill="1" applyBorder="1" applyAlignment="1">
      <alignment horizontal="center"/>
    </xf>
    <xf numFmtId="10" fontId="50" fillId="6" borderId="9" xfId="6" applyNumberFormat="1" applyFont="1" applyFill="1" applyBorder="1"/>
    <xf numFmtId="0" fontId="49" fillId="23" borderId="32" xfId="0" applyFont="1" applyFill="1" applyBorder="1"/>
    <xf numFmtId="0" fontId="35" fillId="23" borderId="42" xfId="0" applyFont="1" applyFill="1" applyBorder="1"/>
    <xf numFmtId="0" fontId="41" fillId="12" borderId="37" xfId="0" applyFont="1" applyFill="1" applyBorder="1" applyAlignment="1">
      <alignment horizontal="center"/>
    </xf>
    <xf numFmtId="16" fontId="35" fillId="12" borderId="35" xfId="0" applyNumberFormat="1" applyFont="1" applyFill="1" applyBorder="1" applyAlignment="1">
      <alignment horizontal="center"/>
    </xf>
    <xf numFmtId="0" fontId="35" fillId="12" borderId="35" xfId="0" applyFont="1" applyFill="1" applyBorder="1"/>
    <xf numFmtId="176" fontId="35" fillId="12" borderId="35" xfId="7" applyNumberFormat="1" applyFont="1" applyFill="1" applyBorder="1"/>
    <xf numFmtId="1" fontId="35" fillId="12" borderId="35" xfId="8" applyNumberFormat="1" applyFont="1" applyFill="1" applyBorder="1" applyAlignment="1">
      <alignment horizontal="center"/>
    </xf>
    <xf numFmtId="175" fontId="35" fillId="12" borderId="39" xfId="8" applyNumberFormat="1" applyFont="1" applyFill="1" applyBorder="1"/>
    <xf numFmtId="10" fontId="32" fillId="22" borderId="36" xfId="0" applyNumberFormat="1" applyFont="1" applyFill="1" applyBorder="1"/>
    <xf numFmtId="2" fontId="52" fillId="28" borderId="37" xfId="8" applyNumberFormat="1" applyFont="1" applyFill="1" applyBorder="1" applyAlignment="1">
      <alignment horizontal="center"/>
    </xf>
    <xf numFmtId="0" fontId="41" fillId="30" borderId="37" xfId="0" applyFont="1" applyFill="1" applyBorder="1" applyAlignment="1">
      <alignment horizontal="center"/>
    </xf>
    <xf numFmtId="16" fontId="35" fillId="30" borderId="35" xfId="0" applyNumberFormat="1" applyFont="1" applyFill="1" applyBorder="1" applyAlignment="1">
      <alignment horizontal="center"/>
    </xf>
    <xf numFmtId="0" fontId="35" fillId="30" borderId="35" xfId="0" applyFont="1" applyFill="1" applyBorder="1"/>
    <xf numFmtId="176" fontId="35" fillId="30" borderId="35" xfId="7" applyNumberFormat="1" applyFont="1" applyFill="1" applyBorder="1"/>
    <xf numFmtId="1" fontId="35" fillId="30" borderId="35" xfId="8" applyNumberFormat="1" applyFont="1" applyFill="1" applyBorder="1" applyAlignment="1">
      <alignment horizontal="center"/>
    </xf>
    <xf numFmtId="175" fontId="35" fillId="30" borderId="39" xfId="8" applyNumberFormat="1" applyFont="1" applyFill="1" applyBorder="1"/>
    <xf numFmtId="2" fontId="30" fillId="30" borderId="37" xfId="8" applyNumberFormat="1" applyFont="1" applyFill="1" applyBorder="1" applyAlignment="1">
      <alignment horizontal="center"/>
    </xf>
    <xf numFmtId="175" fontId="35" fillId="30" borderId="36" xfId="8" applyNumberFormat="1" applyFont="1" applyFill="1" applyBorder="1"/>
    <xf numFmtId="175" fontId="32" fillId="30" borderId="40" xfId="8" applyNumberFormat="1" applyFont="1" applyFill="1" applyBorder="1"/>
    <xf numFmtId="10" fontId="32" fillId="30" borderId="35" xfId="0" applyNumberFormat="1" applyFont="1" applyFill="1" applyBorder="1"/>
    <xf numFmtId="10" fontId="32" fillId="30" borderId="36" xfId="0" applyNumberFormat="1" applyFont="1" applyFill="1" applyBorder="1"/>
    <xf numFmtId="175" fontId="46" fillId="19" borderId="41" xfId="0" applyNumberFormat="1" applyFont="1" applyFill="1" applyBorder="1" applyAlignment="1">
      <alignment horizontal="left"/>
    </xf>
    <xf numFmtId="0" fontId="35" fillId="12" borderId="21" xfId="0" applyFont="1" applyFill="1" applyBorder="1"/>
    <xf numFmtId="0" fontId="35" fillId="12" borderId="32" xfId="0" applyFont="1" applyFill="1" applyBorder="1"/>
    <xf numFmtId="0" fontId="49" fillId="12" borderId="32" xfId="0" applyFont="1" applyFill="1" applyBorder="1"/>
    <xf numFmtId="0" fontId="35" fillId="12" borderId="43" xfId="0" applyFont="1" applyFill="1" applyBorder="1"/>
    <xf numFmtId="0" fontId="35" fillId="12" borderId="42" xfId="0" applyFont="1" applyFill="1" applyBorder="1"/>
    <xf numFmtId="175" fontId="47" fillId="12" borderId="5" xfId="0" applyNumberFormat="1" applyFont="1" applyFill="1" applyBorder="1" applyAlignment="1">
      <alignment horizontal="left"/>
    </xf>
    <xf numFmtId="175" fontId="47" fillId="12" borderId="7" xfId="0" applyNumberFormat="1" applyFont="1" applyFill="1" applyBorder="1" applyAlignment="1">
      <alignment horizontal="left"/>
    </xf>
    <xf numFmtId="175" fontId="47" fillId="12" borderId="30" xfId="0" applyNumberFormat="1" applyFont="1" applyFill="1" applyBorder="1" applyAlignment="1">
      <alignment horizontal="left"/>
    </xf>
    <xf numFmtId="175" fontId="47" fillId="12" borderId="8" xfId="0" applyNumberFormat="1" applyFont="1" applyFill="1" applyBorder="1" applyAlignment="1">
      <alignment horizontal="left"/>
    </xf>
    <xf numFmtId="178" fontId="35" fillId="30" borderId="18" xfId="7" applyNumberFormat="1" applyFont="1" applyFill="1" applyBorder="1"/>
    <xf numFmtId="2" fontId="35" fillId="30" borderId="18" xfId="8" applyNumberFormat="1" applyFont="1" applyFill="1" applyBorder="1" applyAlignment="1">
      <alignment horizontal="center"/>
    </xf>
    <xf numFmtId="177" fontId="30" fillId="30" borderId="17" xfId="8" applyNumberFormat="1" applyFont="1" applyFill="1" applyBorder="1" applyAlignment="1">
      <alignment horizontal="center"/>
    </xf>
    <xf numFmtId="0" fontId="41" fillId="23" borderId="37" xfId="0" applyFont="1" applyFill="1" applyBorder="1" applyAlignment="1">
      <alignment horizontal="center"/>
    </xf>
    <xf numFmtId="16" fontId="35" fillId="23" borderId="35" xfId="0" applyNumberFormat="1" applyFont="1" applyFill="1" applyBorder="1" applyAlignment="1">
      <alignment horizontal="center"/>
    </xf>
    <xf numFmtId="0" fontId="35" fillId="23" borderId="35" xfId="0" applyFont="1" applyFill="1" applyBorder="1"/>
    <xf numFmtId="176" fontId="35" fillId="23" borderId="35" xfId="7" applyNumberFormat="1" applyFont="1" applyFill="1" applyBorder="1"/>
    <xf numFmtId="175" fontId="35" fillId="23" borderId="39" xfId="8" applyNumberFormat="1" applyFont="1" applyFill="1" applyBorder="1"/>
    <xf numFmtId="2" fontId="35" fillId="23" borderId="35" xfId="8" applyNumberFormat="1" applyFont="1" applyFill="1" applyBorder="1" applyAlignment="1">
      <alignment horizontal="center"/>
    </xf>
    <xf numFmtId="172" fontId="52" fillId="28" borderId="37" xfId="8" applyNumberFormat="1" applyFont="1" applyFill="1" applyBorder="1" applyAlignment="1">
      <alignment horizontal="center"/>
    </xf>
    <xf numFmtId="0" fontId="35" fillId="12" borderId="37" xfId="0" applyFont="1" applyFill="1" applyBorder="1"/>
    <xf numFmtId="176" fontId="35" fillId="12" borderId="36" xfId="7" applyNumberFormat="1" applyFont="1" applyFill="1" applyBorder="1"/>
    <xf numFmtId="0" fontId="35" fillId="23" borderId="37" xfId="0" applyFont="1" applyFill="1" applyBorder="1"/>
    <xf numFmtId="176" fontId="35" fillId="23" borderId="36" xfId="7" applyNumberFormat="1" applyFont="1" applyFill="1" applyBorder="1"/>
    <xf numFmtId="0" fontId="49" fillId="23" borderId="37" xfId="0" applyFont="1" applyFill="1" applyBorder="1"/>
    <xf numFmtId="0" fontId="41" fillId="31" borderId="37" xfId="0" applyFont="1" applyFill="1" applyBorder="1" applyAlignment="1">
      <alignment horizontal="center"/>
    </xf>
    <xf numFmtId="16" fontId="35" fillId="31" borderId="35" xfId="0" applyNumberFormat="1" applyFont="1" applyFill="1" applyBorder="1" applyAlignment="1">
      <alignment horizontal="center"/>
    </xf>
    <xf numFmtId="0" fontId="35" fillId="31" borderId="35" xfId="0" applyFont="1" applyFill="1" applyBorder="1"/>
    <xf numFmtId="176" fontId="35" fillId="31" borderId="35" xfId="7" applyNumberFormat="1" applyFont="1" applyFill="1" applyBorder="1"/>
    <xf numFmtId="1" fontId="35" fillId="31" borderId="35" xfId="8" applyNumberFormat="1" applyFont="1" applyFill="1" applyBorder="1" applyAlignment="1">
      <alignment horizontal="center"/>
    </xf>
    <xf numFmtId="175" fontId="35" fillId="31" borderId="39" xfId="8" applyNumberFormat="1" applyFont="1" applyFill="1" applyBorder="1"/>
    <xf numFmtId="2" fontId="52" fillId="31" borderId="37" xfId="8" applyNumberFormat="1" applyFont="1" applyFill="1" applyBorder="1" applyAlignment="1">
      <alignment horizontal="center"/>
    </xf>
    <xf numFmtId="175" fontId="35" fillId="31" borderId="36" xfId="8" applyNumberFormat="1" applyFont="1" applyFill="1" applyBorder="1"/>
    <xf numFmtId="175" fontId="32" fillId="31" borderId="40" xfId="8" applyNumberFormat="1" applyFont="1" applyFill="1" applyBorder="1"/>
    <xf numFmtId="10" fontId="32" fillId="31" borderId="35" xfId="0" applyNumberFormat="1" applyFont="1" applyFill="1" applyBorder="1"/>
    <xf numFmtId="10" fontId="32" fillId="31" borderId="36" xfId="0" applyNumberFormat="1" applyFont="1" applyFill="1" applyBorder="1"/>
    <xf numFmtId="172" fontId="52" fillId="31" borderId="37" xfId="8" applyNumberFormat="1" applyFont="1" applyFill="1" applyBorder="1" applyAlignment="1">
      <alignment horizontal="center"/>
    </xf>
    <xf numFmtId="172" fontId="35" fillId="12" borderId="35" xfId="8" applyNumberFormat="1" applyFont="1" applyFill="1" applyBorder="1" applyAlignment="1">
      <alignment horizontal="center"/>
    </xf>
    <xf numFmtId="0" fontId="35" fillId="30" borderId="21" xfId="0" applyFont="1" applyFill="1" applyBorder="1"/>
    <xf numFmtId="175" fontId="47" fillId="30" borderId="5" xfId="0" applyNumberFormat="1" applyFont="1" applyFill="1" applyBorder="1" applyAlignment="1">
      <alignment horizontal="left"/>
    </xf>
    <xf numFmtId="0" fontId="35" fillId="30" borderId="32" xfId="0" applyFont="1" applyFill="1" applyBorder="1"/>
    <xf numFmtId="175" fontId="47" fillId="30" borderId="7" xfId="0" applyNumberFormat="1" applyFont="1" applyFill="1" applyBorder="1" applyAlignment="1">
      <alignment horizontal="left"/>
    </xf>
    <xf numFmtId="0" fontId="49" fillId="30" borderId="32" xfId="0" applyFont="1" applyFill="1" applyBorder="1"/>
    <xf numFmtId="0" fontId="35" fillId="30" borderId="43" xfId="0" applyFont="1" applyFill="1" applyBorder="1"/>
    <xf numFmtId="175" fontId="47" fillId="30" borderId="30" xfId="0" applyNumberFormat="1" applyFont="1" applyFill="1" applyBorder="1" applyAlignment="1">
      <alignment horizontal="left"/>
    </xf>
    <xf numFmtId="164" fontId="35" fillId="12" borderId="35" xfId="7" applyFont="1" applyFill="1" applyBorder="1"/>
    <xf numFmtId="0" fontId="15" fillId="14" borderId="0" xfId="0" applyFont="1" applyFill="1" applyAlignment="1">
      <alignment horizontal="center"/>
    </xf>
    <xf numFmtId="0" fontId="10" fillId="25" borderId="0" xfId="1" applyFont="1" applyFill="1" applyBorder="1" applyAlignment="1">
      <alignment horizontal="center" vertical="center"/>
    </xf>
    <xf numFmtId="0" fontId="5" fillId="25" borderId="0" xfId="1" applyFill="1" applyBorder="1" applyAlignment="1">
      <alignment horizontal="center" vertical="center"/>
    </xf>
    <xf numFmtId="0" fontId="27" fillId="14" borderId="0" xfId="2" applyFont="1" applyFill="1" applyAlignment="1">
      <alignment horizontal="center" vertical="center"/>
    </xf>
    <xf numFmtId="168" fontId="13" fillId="14" borderId="0" xfId="0" applyNumberFormat="1" applyFont="1" applyFill="1" applyAlignment="1">
      <alignment horizontal="center"/>
    </xf>
    <xf numFmtId="0" fontId="20" fillId="14" borderId="0" xfId="0" applyFont="1" applyFill="1" applyAlignment="1">
      <alignment horizontal="left" vertical="top" wrapText="1"/>
    </xf>
    <xf numFmtId="0" fontId="20" fillId="14" borderId="12" xfId="0" applyFont="1" applyFill="1" applyBorder="1" applyAlignment="1">
      <alignment horizontal="left" vertical="top" wrapText="1"/>
    </xf>
    <xf numFmtId="0" fontId="26" fillId="14" borderId="0" xfId="0" applyFont="1" applyFill="1" applyAlignment="1">
      <alignment horizontal="center" vertical="center"/>
    </xf>
    <xf numFmtId="168" fontId="11" fillId="14" borderId="0" xfId="0" applyNumberFormat="1" applyFont="1" applyFill="1" applyAlignment="1">
      <alignment horizontal="left" vertical="top" wrapText="1"/>
    </xf>
    <xf numFmtId="0" fontId="17" fillId="14" borderId="1" xfId="3" applyFont="1" applyFill="1" applyAlignment="1"/>
    <xf numFmtId="175" fontId="51" fillId="14" borderId="0" xfId="4" applyNumberFormat="1" applyFont="1" applyFill="1" applyAlignment="1">
      <alignment vertical="top"/>
    </xf>
    <xf numFmtId="10" fontId="51" fillId="14" borderId="0" xfId="4" applyNumberFormat="1" applyFont="1" applyFill="1" applyAlignment="1">
      <alignment vertical="top"/>
    </xf>
    <xf numFmtId="0" fontId="17" fillId="14" borderId="1" xfId="3" applyFont="1" applyFill="1" applyAlignment="1">
      <alignment wrapText="1"/>
    </xf>
    <xf numFmtId="0" fontId="9" fillId="14" borderId="1" xfId="3" applyFont="1" applyFill="1" applyAlignment="1"/>
  </cellXfs>
  <cellStyles count="9">
    <cellStyle name="Денежный" xfId="8" builtinId="4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Название" xfId="1" builtinId="15" customBuiltin="1"/>
    <cellStyle name="Обычный" xfId="0" builtinId="0" customBuiltin="1"/>
    <cellStyle name="Процентный" xfId="6" builtinId="5"/>
    <cellStyle name="Финансовый" xfId="7" builtinId="3"/>
  </cellStyles>
  <dxfs count="3"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Таблица личного бюджета" pivot="0" count="3" xr9:uid="{00000000-0011-0000-FFFF-FFFF00000000}">
      <tableStyleElement type="wholeTable" dxfId="2"/>
      <tableStyleElement type="headerRow" dxfId="1"/>
      <tableStyleElement type="totalRow" dxfId="0"/>
    </tableStyle>
  </tableStyles>
  <colors>
    <mruColors>
      <color rgb="FF17333F"/>
      <color rgb="FF11425A"/>
      <color rgb="FFF1D4C5"/>
      <color rgb="FF0B631B"/>
      <color rgb="FF5A0E0B"/>
      <color rgb="FFF3F1CE"/>
      <color rgb="FF5A2308"/>
      <color rgb="FFE3F5DF"/>
      <color rgb="FF60605E"/>
      <color rgb="FF9416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D8-0F49-ADFB-9653887652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1C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0082311133092"/>
          <c:y val="0.14940360173324821"/>
          <c:w val="0.769509696824351"/>
          <c:h val="0.6254579150929807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AB-3D4E-A195-B0A36E1AE52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AB-3D4E-A195-B0A36E1AE528}"/>
              </c:ext>
            </c:extLst>
          </c:dPt>
          <c:cat>
            <c:numRef>
              <c:f>'Срочный Рынок'!$V$20:$V$84</c:f>
              <c:numCache>
                <c:formatCode>d\-mmm</c:formatCode>
                <c:ptCount val="65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'Срочный Рынок'!$W$20:$W$84</c:f>
              <c:numCache>
                <c:formatCode>_-* #\ ##0\ _₽_-;\-* #\ ##0\ _₽_-;_-* "-"??\ _₽_-;_-@_-</c:formatCode>
                <c:ptCount val="65"/>
                <c:pt idx="0">
                  <c:v>10000</c:v>
                </c:pt>
                <c:pt idx="1">
                  <c:v>10478.4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7-5A4D-A317-133B0856F6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'Срочный Рынок'!$V$20:$V$84</c:f>
              <c:numCache>
                <c:formatCode>d\-mmm</c:formatCode>
                <c:ptCount val="65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'Срочный Рынок'!$X$20:$X$84</c:f>
              <c:numCache>
                <c:formatCode>0.00%</c:formatCode>
                <c:ptCount val="65"/>
                <c:pt idx="0">
                  <c:v>0</c:v>
                </c:pt>
                <c:pt idx="1">
                  <c:v>4.7839999999999883E-2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7-5A4D-A317-133B0856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20977136"/>
        <c:axId val="-520975504"/>
      </c:lineChart>
      <c:dateAx>
        <c:axId val="-520977136"/>
        <c:scaling>
          <c:orientation val="minMax"/>
          <c:max val="45904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5504"/>
        <c:crosses val="autoZero"/>
        <c:auto val="1"/>
        <c:lblOffset val="100"/>
        <c:baseTimeUnit val="days"/>
        <c:majorUnit val="2"/>
        <c:majorTimeUnit val="days"/>
      </c:dateAx>
      <c:valAx>
        <c:axId val="-5209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89531642119938"/>
          <c:y val="0.95183453867047729"/>
          <c:w val="0.14098798911504634"/>
          <c:h val="4.8165349205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D8-0F49-ADFB-9653887652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1C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0082311133092"/>
          <c:y val="0.14940360173324821"/>
          <c:w val="0.769509696824351"/>
          <c:h val="0.6254579150929807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AB-3D4E-A195-B0A36E1AE52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AB-3D4E-A195-B0A36E1AE528}"/>
              </c:ext>
            </c:extLst>
          </c:dPt>
          <c:cat>
            <c:numRef>
              <c:f>'Мои сделки'!$V$20:$V$65</c:f>
              <c:numCache>
                <c:formatCode>d\-mmm</c:formatCode>
                <c:ptCount val="46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'Мои сделки'!$W$20:$W$65</c:f>
              <c:numCache>
                <c:formatCode>_-* #\ ##0\ _₽_-;\-* #\ ##0\ _₽_-;_-* "-"??\ _₽_-;_-@_-</c:formatCode>
                <c:ptCount val="46"/>
                <c:pt idx="0">
                  <c:v>10000</c:v>
                </c:pt>
                <c:pt idx="1">
                  <c:v>10478.4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7-5A4D-A317-133B0856F6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'Мои сделки'!$V$20:$V$65</c:f>
              <c:numCache>
                <c:formatCode>d\-mmm</c:formatCode>
                <c:ptCount val="46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'Мои сделки'!$X$20:$X$65</c:f>
              <c:numCache>
                <c:formatCode>0.00%</c:formatCode>
                <c:ptCount val="46"/>
                <c:pt idx="0">
                  <c:v>0</c:v>
                </c:pt>
                <c:pt idx="1">
                  <c:v>4.7839999999999883E-2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7-5A4D-A317-133B0856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20966256"/>
        <c:axId val="-520976592"/>
      </c:lineChart>
      <c:dateAx>
        <c:axId val="-520966256"/>
        <c:scaling>
          <c:orientation val="minMax"/>
          <c:max val="45904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6592"/>
        <c:crosses val="autoZero"/>
        <c:auto val="1"/>
        <c:lblOffset val="100"/>
        <c:baseTimeUnit val="days"/>
        <c:majorUnit val="2"/>
        <c:majorTimeUnit val="days"/>
      </c:dateAx>
      <c:valAx>
        <c:axId val="-5209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89531642119938"/>
          <c:y val="0.95183453867047729"/>
          <c:w val="0.14098798911504634"/>
          <c:h val="4.8165349205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F-4286-BCDF-0D27537C1F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1C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0082311133092"/>
          <c:y val="0.14940360173324821"/>
          <c:w val="0.769509696824351"/>
          <c:h val="0.6254579150929807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7A-4B10-AEF8-925F773E5F8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7A-4B10-AEF8-925F773E5F87}"/>
              </c:ext>
            </c:extLst>
          </c:dPt>
          <c:cat>
            <c:numRef>
              <c:f>Шаблон!$V$21:$V$62</c:f>
              <c:numCache>
                <c:formatCode>d\-mmm</c:formatCode>
                <c:ptCount val="42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Шаблон!$W$21:$W$62</c:f>
              <c:numCache>
                <c:formatCode>_-* #\ ##0\ _₽_-;\-* #\ ##0\ _₽_-;_-* "-"??\ _₽_-;_-@_-</c:formatCode>
                <c:ptCount val="42"/>
                <c:pt idx="0">
                  <c:v>10000</c:v>
                </c:pt>
                <c:pt idx="1">
                  <c:v>10478.4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7A-4B10-AEF8-925F773E5F8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Шаблон!$V$21:$V$62</c:f>
              <c:numCache>
                <c:formatCode>d\-mmm</c:formatCode>
                <c:ptCount val="42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Шаблон!$X$21:$X$62</c:f>
              <c:numCache>
                <c:formatCode>0.00%</c:formatCode>
                <c:ptCount val="42"/>
                <c:pt idx="0">
                  <c:v>0</c:v>
                </c:pt>
                <c:pt idx="1">
                  <c:v>4.7839999999999883E-2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7A-4B10-AEF8-925F773E5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20966256"/>
        <c:axId val="-520976592"/>
      </c:lineChart>
      <c:dateAx>
        <c:axId val="-520966256"/>
        <c:scaling>
          <c:orientation val="minMax"/>
          <c:max val="45904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6592"/>
        <c:crosses val="autoZero"/>
        <c:auto val="1"/>
        <c:lblOffset val="100"/>
        <c:baseTimeUnit val="days"/>
        <c:majorUnit val="2"/>
        <c:majorTimeUnit val="days"/>
      </c:dateAx>
      <c:valAx>
        <c:axId val="-5209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89531642119938"/>
          <c:y val="0.95183453867047729"/>
          <c:w val="0.14098798911504634"/>
          <c:h val="4.8165349205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A-4078-AE07-BB3B377612F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1C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0082311133092"/>
          <c:y val="0.14940360173324821"/>
          <c:w val="0.769509696824351"/>
          <c:h val="0.6254579150929807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19-462B-97DD-8C0CDFA99459}"/>
              </c:ext>
            </c:extLst>
          </c:dPt>
          <c:cat>
            <c:numRef>
              <c:f>'2026-02-26'!$V$21:$V$61</c:f>
              <c:numCache>
                <c:formatCode>0.0000</c:formatCode>
                <c:ptCount val="41"/>
                <c:pt idx="0" formatCode="d\-mmm">
                  <c:v>45919</c:v>
                </c:pt>
              </c:numCache>
            </c:numRef>
          </c:cat>
          <c:val>
            <c:numRef>
              <c:f>'2026-02-26'!$W$21:$W$61</c:f>
              <c:numCache>
                <c:formatCode>General</c:formatCode>
                <c:ptCount val="41"/>
                <c:pt idx="0" formatCode="_-* #\ ##0\ _₽_-;\-* #\ ##0\ _₽_-;_-* &quot;-&quot;??\ _₽_-;_-@_-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19-462B-97DD-8C0CDFA9945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'2026-02-26'!$V$21:$V$61</c:f>
              <c:numCache>
                <c:formatCode>0.0000</c:formatCode>
                <c:ptCount val="41"/>
                <c:pt idx="0" formatCode="d\-mmm">
                  <c:v>45919</c:v>
                </c:pt>
              </c:numCache>
            </c:numRef>
          </c:cat>
          <c:val>
            <c:numRef>
              <c:f>'2026-02-26'!$X$21:$X$61</c:f>
              <c:numCache>
                <c:formatCode>General</c:formatCode>
                <c:ptCount val="41"/>
                <c:pt idx="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19-462B-97DD-8C0CDFA9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20966256"/>
        <c:axId val="-520976592"/>
      </c:lineChart>
      <c:dateAx>
        <c:axId val="-520966256"/>
        <c:scaling>
          <c:orientation val="minMax"/>
          <c:max val="45904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6592"/>
        <c:crosses val="autoZero"/>
        <c:auto val="1"/>
        <c:lblOffset val="100"/>
        <c:baseTimeUnit val="days"/>
        <c:majorUnit val="2"/>
        <c:majorTimeUnit val="days"/>
      </c:dateAx>
      <c:valAx>
        <c:axId val="-5209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89531642119938"/>
          <c:y val="0.95183453867047729"/>
          <c:w val="0.14098798911504634"/>
          <c:h val="4.8165349205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E-4816-B9B1-F787AB0147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1C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0082311133092"/>
          <c:y val="0.14940360173324821"/>
          <c:w val="0.769509696824351"/>
          <c:h val="0.6254579150929807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DB-4315-85DF-94BA1BB2BF7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DB-4315-85DF-94BA1BB2BF77}"/>
              </c:ext>
            </c:extLst>
          </c:dPt>
          <c:cat>
            <c:numRef>
              <c:f>'2026-04-18'!$V$21:$V$66</c:f>
              <c:numCache>
                <c:formatCode>d\-mmm</c:formatCode>
                <c:ptCount val="46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'2026-04-18'!$W$21:$W$66</c:f>
              <c:numCache>
                <c:formatCode>_-* #\ ##0\ _₽_-;\-* #\ ##0\ _₽_-;_-* "-"??\ _₽_-;_-@_-</c:formatCode>
                <c:ptCount val="46"/>
                <c:pt idx="0">
                  <c:v>10000</c:v>
                </c:pt>
                <c:pt idx="1">
                  <c:v>10478.4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DB-4315-85DF-94BA1BB2BF7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'2026-04-18'!$V$21:$V$66</c:f>
              <c:numCache>
                <c:formatCode>d\-mmm</c:formatCode>
                <c:ptCount val="46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'2026-04-18'!$X$21:$X$66</c:f>
              <c:numCache>
                <c:formatCode>0.00%</c:formatCode>
                <c:ptCount val="46"/>
                <c:pt idx="0">
                  <c:v>0</c:v>
                </c:pt>
                <c:pt idx="1">
                  <c:v>4.7839999999999883E-2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DB-4315-85DF-94BA1BB2B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20966256"/>
        <c:axId val="-520976592"/>
      </c:lineChart>
      <c:dateAx>
        <c:axId val="-520966256"/>
        <c:scaling>
          <c:orientation val="minMax"/>
          <c:max val="45904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6592"/>
        <c:crosses val="autoZero"/>
        <c:auto val="1"/>
        <c:lblOffset val="100"/>
        <c:baseTimeUnit val="days"/>
        <c:majorUnit val="2"/>
        <c:majorTimeUnit val="days"/>
      </c:dateAx>
      <c:valAx>
        <c:axId val="-5209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89531642119938"/>
          <c:y val="0.95183453867047729"/>
          <c:w val="0.14098798911504634"/>
          <c:h val="4.8165349205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E-4B2E-AEF0-DCD3D37D8D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1C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0082311133092"/>
          <c:y val="0.14940360173324821"/>
          <c:w val="0.769509696824351"/>
          <c:h val="0.6254579150929807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1A-4C80-9387-2D0BD9DAE450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A-4C80-9387-2D0BD9DAE450}"/>
              </c:ext>
            </c:extLst>
          </c:dPt>
          <c:cat>
            <c:numRef>
              <c:f>'2026-06-06'!$V$21:$V$62</c:f>
              <c:numCache>
                <c:formatCode>d\-mmm</c:formatCode>
                <c:ptCount val="42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'2026-06-06'!$W$21:$W$62</c:f>
              <c:numCache>
                <c:formatCode>_-* #\ ##0\ _₽_-;\-* #\ ##0\ _₽_-;_-* "-"??\ _₽_-;_-@_-</c:formatCode>
                <c:ptCount val="42"/>
                <c:pt idx="0">
                  <c:v>10000</c:v>
                </c:pt>
                <c:pt idx="1">
                  <c:v>10478.4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1A-4C80-9387-2D0BD9DAE45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'2026-06-06'!$V$21:$V$62</c:f>
              <c:numCache>
                <c:formatCode>d\-mmm</c:formatCode>
                <c:ptCount val="42"/>
                <c:pt idx="0">
                  <c:v>45919</c:v>
                </c:pt>
                <c:pt idx="1">
                  <c:v>45942</c:v>
                </c:pt>
              </c:numCache>
            </c:numRef>
          </c:cat>
          <c:val>
            <c:numRef>
              <c:f>'2026-06-06'!$X$21:$X$62</c:f>
              <c:numCache>
                <c:formatCode>0.00%</c:formatCode>
                <c:ptCount val="42"/>
                <c:pt idx="0">
                  <c:v>0</c:v>
                </c:pt>
                <c:pt idx="1">
                  <c:v>4.7839999999999883E-2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1A-4C80-9387-2D0BD9DAE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20966256"/>
        <c:axId val="-520976592"/>
      </c:lineChart>
      <c:dateAx>
        <c:axId val="-520966256"/>
        <c:scaling>
          <c:orientation val="minMax"/>
          <c:max val="45904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76592"/>
        <c:crosses val="autoZero"/>
        <c:auto val="1"/>
        <c:lblOffset val="100"/>
        <c:baseTimeUnit val="days"/>
        <c:majorUnit val="2"/>
        <c:majorTimeUnit val="days"/>
      </c:dateAx>
      <c:valAx>
        <c:axId val="-5209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209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89531642119938"/>
          <c:y val="0.95183453867047729"/>
          <c:w val="0.14098798911504634"/>
          <c:h val="4.81653492056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399551</xdr:colOff>
      <xdr:row>5</xdr:row>
      <xdr:rowOff>0</xdr:rowOff>
    </xdr:from>
    <xdr:to>
      <xdr:col>8</xdr:col>
      <xdr:colOff>559594</xdr:colOff>
      <xdr:row>14</xdr:row>
      <xdr:rowOff>451043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8BC85A4-9A53-A448-BDF8-4A03851DA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3</xdr:row>
      <xdr:rowOff>137583</xdr:rowOff>
    </xdr:from>
    <xdr:to>
      <xdr:col>11</xdr:col>
      <xdr:colOff>917222</xdr:colOff>
      <xdr:row>14</xdr:row>
      <xdr:rowOff>613833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3A8F9CF-F329-964F-AC63-ED8A16313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465666</xdr:colOff>
      <xdr:row>0</xdr:row>
      <xdr:rowOff>2566</xdr:rowOff>
    </xdr:from>
    <xdr:to>
      <xdr:col>13</xdr:col>
      <xdr:colOff>294394</xdr:colOff>
      <xdr:row>1</xdr:row>
      <xdr:rowOff>1259417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563783-AEE8-FA40-AB99-2DD5138F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5083" y="2566"/>
          <a:ext cx="7237061" cy="1320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399551</xdr:colOff>
      <xdr:row>5</xdr:row>
      <xdr:rowOff>0</xdr:rowOff>
    </xdr:from>
    <xdr:to>
      <xdr:col>8</xdr:col>
      <xdr:colOff>559594</xdr:colOff>
      <xdr:row>14</xdr:row>
      <xdr:rowOff>451043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BC85A4-9A53-A448-BDF8-4A03851DA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3</xdr:row>
      <xdr:rowOff>137583</xdr:rowOff>
    </xdr:from>
    <xdr:to>
      <xdr:col>11</xdr:col>
      <xdr:colOff>917222</xdr:colOff>
      <xdr:row>14</xdr:row>
      <xdr:rowOff>613833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3A8F9CF-F329-964F-AC63-ED8A16313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465666</xdr:colOff>
      <xdr:row>0</xdr:row>
      <xdr:rowOff>2566</xdr:rowOff>
    </xdr:from>
    <xdr:to>
      <xdr:col>12</xdr:col>
      <xdr:colOff>506060</xdr:colOff>
      <xdr:row>1</xdr:row>
      <xdr:rowOff>1259417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5563783-AEE8-FA40-AB99-2DD5138F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5866" y="2566"/>
          <a:ext cx="7220128" cy="13235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399551</xdr:colOff>
      <xdr:row>5</xdr:row>
      <xdr:rowOff>0</xdr:rowOff>
    </xdr:from>
    <xdr:to>
      <xdr:col>8</xdr:col>
      <xdr:colOff>559594</xdr:colOff>
      <xdr:row>14</xdr:row>
      <xdr:rowOff>451043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78BB0F-C33C-443E-A4B5-E179DB517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3</xdr:row>
      <xdr:rowOff>137583</xdr:rowOff>
    </xdr:from>
    <xdr:to>
      <xdr:col>11</xdr:col>
      <xdr:colOff>917222</xdr:colOff>
      <xdr:row>14</xdr:row>
      <xdr:rowOff>613833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C4C8B11-6FA2-4157-8006-C90027B2A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465666</xdr:colOff>
      <xdr:row>0</xdr:row>
      <xdr:rowOff>2566</xdr:rowOff>
    </xdr:from>
    <xdr:to>
      <xdr:col>12</xdr:col>
      <xdr:colOff>506060</xdr:colOff>
      <xdr:row>1</xdr:row>
      <xdr:rowOff>1259417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371D314-CCF1-4F5D-832B-A7B2F94CD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0166" y="2566"/>
          <a:ext cx="7222244" cy="13235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399551</xdr:colOff>
      <xdr:row>5</xdr:row>
      <xdr:rowOff>0</xdr:rowOff>
    </xdr:from>
    <xdr:to>
      <xdr:col>8</xdr:col>
      <xdr:colOff>559594</xdr:colOff>
      <xdr:row>14</xdr:row>
      <xdr:rowOff>451043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0517E9-BE69-4AAC-ACE3-612489257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3</xdr:row>
      <xdr:rowOff>137583</xdr:rowOff>
    </xdr:from>
    <xdr:to>
      <xdr:col>11</xdr:col>
      <xdr:colOff>917222</xdr:colOff>
      <xdr:row>14</xdr:row>
      <xdr:rowOff>613833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D3A6DE8-08EB-40E1-870E-609FEB8CB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465666</xdr:colOff>
      <xdr:row>0</xdr:row>
      <xdr:rowOff>2566</xdr:rowOff>
    </xdr:from>
    <xdr:to>
      <xdr:col>12</xdr:col>
      <xdr:colOff>252060</xdr:colOff>
      <xdr:row>1</xdr:row>
      <xdr:rowOff>1259417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96E9932-B3BD-416F-AF44-9E404E1F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0166" y="2566"/>
          <a:ext cx="7222244" cy="13235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399551</xdr:colOff>
      <xdr:row>5</xdr:row>
      <xdr:rowOff>0</xdr:rowOff>
    </xdr:from>
    <xdr:to>
      <xdr:col>8</xdr:col>
      <xdr:colOff>559594</xdr:colOff>
      <xdr:row>14</xdr:row>
      <xdr:rowOff>451043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84EC82-0869-4DEA-B1CF-3675D3AF1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3</xdr:row>
      <xdr:rowOff>137583</xdr:rowOff>
    </xdr:from>
    <xdr:to>
      <xdr:col>11</xdr:col>
      <xdr:colOff>917222</xdr:colOff>
      <xdr:row>14</xdr:row>
      <xdr:rowOff>613833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F5B2EBC-AC7F-4828-8115-8A5355D00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465666</xdr:colOff>
      <xdr:row>0</xdr:row>
      <xdr:rowOff>2566</xdr:rowOff>
    </xdr:from>
    <xdr:to>
      <xdr:col>12</xdr:col>
      <xdr:colOff>506060</xdr:colOff>
      <xdr:row>1</xdr:row>
      <xdr:rowOff>1259417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D0EAC6D-3F66-4544-8A02-6DFE32FF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0166" y="2566"/>
          <a:ext cx="7222244" cy="13235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399551</xdr:colOff>
      <xdr:row>5</xdr:row>
      <xdr:rowOff>0</xdr:rowOff>
    </xdr:from>
    <xdr:to>
      <xdr:col>8</xdr:col>
      <xdr:colOff>559594</xdr:colOff>
      <xdr:row>14</xdr:row>
      <xdr:rowOff>451043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36B3C4B-5B11-40B0-90A3-00AF25768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3</xdr:row>
      <xdr:rowOff>137583</xdr:rowOff>
    </xdr:from>
    <xdr:to>
      <xdr:col>11</xdr:col>
      <xdr:colOff>917222</xdr:colOff>
      <xdr:row>14</xdr:row>
      <xdr:rowOff>613833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7E7454D-27CF-4566-8F91-F6D9E7AA5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465666</xdr:colOff>
      <xdr:row>0</xdr:row>
      <xdr:rowOff>2566</xdr:rowOff>
    </xdr:from>
    <xdr:to>
      <xdr:col>12</xdr:col>
      <xdr:colOff>506060</xdr:colOff>
      <xdr:row>1</xdr:row>
      <xdr:rowOff>1259417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69B20B3-B011-4F14-88C4-D3B78F521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0166" y="2566"/>
          <a:ext cx="7222244" cy="1323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ersonal budget">
    <a:dk1>
      <a:sysClr val="windowText" lastClr="000000"/>
    </a:dk1>
    <a:lt1>
      <a:sysClr val="window" lastClr="FFFFFF"/>
    </a:lt1>
    <a:dk2>
      <a:srgbClr val="2A2A29"/>
    </a:dk2>
    <a:lt2>
      <a:srgbClr val="EEEEEB"/>
    </a:lt2>
    <a:accent1>
      <a:srgbClr val="0592FE"/>
    </a:accent1>
    <a:accent2>
      <a:srgbClr val="69BBFE"/>
    </a:accent2>
    <a:accent3>
      <a:srgbClr val="2EB470"/>
    </a:accent3>
    <a:accent4>
      <a:srgbClr val="F35754"/>
    </a:accent4>
    <a:accent5>
      <a:srgbClr val="B35297"/>
    </a:accent5>
    <a:accent6>
      <a:srgbClr val="FB911F"/>
    </a:accent6>
    <a:hlink>
      <a:srgbClr val="B35297"/>
    </a:hlink>
    <a:folHlink>
      <a:srgbClr val="0591FE"/>
    </a:folHlink>
  </a:clrScheme>
  <a:fontScheme name="Personal budget">
    <a:majorFont>
      <a:latin typeface="Tahoma"/>
      <a:ea typeface=""/>
      <a:cs typeface=""/>
    </a:majorFont>
    <a:minorFont>
      <a:latin typeface="Century Gothic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ersonal budget">
    <a:dk1>
      <a:sysClr val="windowText" lastClr="000000"/>
    </a:dk1>
    <a:lt1>
      <a:sysClr val="window" lastClr="FFFFFF"/>
    </a:lt1>
    <a:dk2>
      <a:srgbClr val="2A2A29"/>
    </a:dk2>
    <a:lt2>
      <a:srgbClr val="EEEEEB"/>
    </a:lt2>
    <a:accent1>
      <a:srgbClr val="0592FE"/>
    </a:accent1>
    <a:accent2>
      <a:srgbClr val="69BBFE"/>
    </a:accent2>
    <a:accent3>
      <a:srgbClr val="2EB470"/>
    </a:accent3>
    <a:accent4>
      <a:srgbClr val="F35754"/>
    </a:accent4>
    <a:accent5>
      <a:srgbClr val="B35297"/>
    </a:accent5>
    <a:accent6>
      <a:srgbClr val="FB911F"/>
    </a:accent6>
    <a:hlink>
      <a:srgbClr val="B35297"/>
    </a:hlink>
    <a:folHlink>
      <a:srgbClr val="0591FE"/>
    </a:folHlink>
  </a:clrScheme>
  <a:fontScheme name="Personal budget">
    <a:majorFont>
      <a:latin typeface="Tahoma"/>
      <a:ea typeface=""/>
      <a:cs typeface=""/>
    </a:majorFont>
    <a:minorFont>
      <a:latin typeface="Century Gothic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ersonal budget">
    <a:dk1>
      <a:sysClr val="windowText" lastClr="000000"/>
    </a:dk1>
    <a:lt1>
      <a:sysClr val="window" lastClr="FFFFFF"/>
    </a:lt1>
    <a:dk2>
      <a:srgbClr val="2A2A29"/>
    </a:dk2>
    <a:lt2>
      <a:srgbClr val="EEEEEB"/>
    </a:lt2>
    <a:accent1>
      <a:srgbClr val="0592FE"/>
    </a:accent1>
    <a:accent2>
      <a:srgbClr val="69BBFE"/>
    </a:accent2>
    <a:accent3>
      <a:srgbClr val="2EB470"/>
    </a:accent3>
    <a:accent4>
      <a:srgbClr val="F35754"/>
    </a:accent4>
    <a:accent5>
      <a:srgbClr val="B35297"/>
    </a:accent5>
    <a:accent6>
      <a:srgbClr val="FB911F"/>
    </a:accent6>
    <a:hlink>
      <a:srgbClr val="B35297"/>
    </a:hlink>
    <a:folHlink>
      <a:srgbClr val="0591FE"/>
    </a:folHlink>
  </a:clrScheme>
  <a:fontScheme name="Personal budget">
    <a:majorFont>
      <a:latin typeface="Tahoma"/>
      <a:ea typeface=""/>
      <a:cs typeface=""/>
    </a:majorFont>
    <a:minorFont>
      <a:latin typeface="Century Gothic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ersonal budget">
    <a:dk1>
      <a:sysClr val="windowText" lastClr="000000"/>
    </a:dk1>
    <a:lt1>
      <a:sysClr val="window" lastClr="FFFFFF"/>
    </a:lt1>
    <a:dk2>
      <a:srgbClr val="2A2A29"/>
    </a:dk2>
    <a:lt2>
      <a:srgbClr val="EEEEEB"/>
    </a:lt2>
    <a:accent1>
      <a:srgbClr val="0592FE"/>
    </a:accent1>
    <a:accent2>
      <a:srgbClr val="69BBFE"/>
    </a:accent2>
    <a:accent3>
      <a:srgbClr val="2EB470"/>
    </a:accent3>
    <a:accent4>
      <a:srgbClr val="F35754"/>
    </a:accent4>
    <a:accent5>
      <a:srgbClr val="B35297"/>
    </a:accent5>
    <a:accent6>
      <a:srgbClr val="FB911F"/>
    </a:accent6>
    <a:hlink>
      <a:srgbClr val="B35297"/>
    </a:hlink>
    <a:folHlink>
      <a:srgbClr val="0591FE"/>
    </a:folHlink>
  </a:clrScheme>
  <a:fontScheme name="Personal budget">
    <a:majorFont>
      <a:latin typeface="Tahoma"/>
      <a:ea typeface=""/>
      <a:cs typeface=""/>
    </a:majorFont>
    <a:minorFont>
      <a:latin typeface="Century Gothic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ersonal budget">
    <a:dk1>
      <a:sysClr val="windowText" lastClr="000000"/>
    </a:dk1>
    <a:lt1>
      <a:sysClr val="window" lastClr="FFFFFF"/>
    </a:lt1>
    <a:dk2>
      <a:srgbClr val="2A2A29"/>
    </a:dk2>
    <a:lt2>
      <a:srgbClr val="EEEEEB"/>
    </a:lt2>
    <a:accent1>
      <a:srgbClr val="0592FE"/>
    </a:accent1>
    <a:accent2>
      <a:srgbClr val="69BBFE"/>
    </a:accent2>
    <a:accent3>
      <a:srgbClr val="2EB470"/>
    </a:accent3>
    <a:accent4>
      <a:srgbClr val="F35754"/>
    </a:accent4>
    <a:accent5>
      <a:srgbClr val="B35297"/>
    </a:accent5>
    <a:accent6>
      <a:srgbClr val="FB911F"/>
    </a:accent6>
    <a:hlink>
      <a:srgbClr val="B35297"/>
    </a:hlink>
    <a:folHlink>
      <a:srgbClr val="0591FE"/>
    </a:folHlink>
  </a:clrScheme>
  <a:fontScheme name="Personal budget">
    <a:majorFont>
      <a:latin typeface="Tahoma"/>
      <a:ea typeface=""/>
      <a:cs typeface=""/>
    </a:majorFont>
    <a:minorFont>
      <a:latin typeface="Century Gothic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ersonal budget">
    <a:dk1>
      <a:sysClr val="windowText" lastClr="000000"/>
    </a:dk1>
    <a:lt1>
      <a:sysClr val="window" lastClr="FFFFFF"/>
    </a:lt1>
    <a:dk2>
      <a:srgbClr val="2A2A29"/>
    </a:dk2>
    <a:lt2>
      <a:srgbClr val="EEEEEB"/>
    </a:lt2>
    <a:accent1>
      <a:srgbClr val="0592FE"/>
    </a:accent1>
    <a:accent2>
      <a:srgbClr val="69BBFE"/>
    </a:accent2>
    <a:accent3>
      <a:srgbClr val="2EB470"/>
    </a:accent3>
    <a:accent4>
      <a:srgbClr val="F35754"/>
    </a:accent4>
    <a:accent5>
      <a:srgbClr val="B35297"/>
    </a:accent5>
    <a:accent6>
      <a:srgbClr val="FB911F"/>
    </a:accent6>
    <a:hlink>
      <a:srgbClr val="B35297"/>
    </a:hlink>
    <a:folHlink>
      <a:srgbClr val="0591FE"/>
    </a:folHlink>
  </a:clrScheme>
  <a:fontScheme name="Personal budget">
    <a:majorFont>
      <a:latin typeface="Tahoma"/>
      <a:ea typeface=""/>
      <a:cs typeface=""/>
    </a:majorFont>
    <a:minorFont>
      <a:latin typeface="Century Gothic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  <pageSetUpPr fitToPage="1"/>
  </sheetPr>
  <dimension ref="A1:AV121"/>
  <sheetViews>
    <sheetView showGridLines="0" topLeftCell="A16" zoomScale="90" zoomScaleNormal="90" workbookViewId="0">
      <selection activeCell="G26" sqref="G26"/>
    </sheetView>
  </sheetViews>
  <sheetFormatPr defaultColWidth="9.140625" defaultRowHeight="27.75" customHeight="1"/>
  <cols>
    <col min="1" max="1" width="0.28515625" style="2" customWidth="1"/>
    <col min="2" max="2" width="6" style="2" customWidth="1"/>
    <col min="3" max="3" width="17.85546875" style="2" customWidth="1"/>
    <col min="4" max="4" width="21.85546875" style="2" customWidth="1"/>
    <col min="5" max="5" width="16.7109375" style="6" customWidth="1"/>
    <col min="6" max="6" width="18.42578125" style="6" customWidth="1"/>
    <col min="7" max="7" width="21.5703125" style="8" customWidth="1"/>
    <col min="8" max="8" width="16" style="8" customWidth="1"/>
    <col min="9" max="9" width="15" style="2" customWidth="1"/>
    <col min="10" max="10" width="14.7109375" style="2" customWidth="1"/>
    <col min="11" max="11" width="16.42578125" style="9" customWidth="1"/>
    <col min="12" max="12" width="15.140625" style="8" customWidth="1"/>
    <col min="13" max="13" width="12" style="2" customWidth="1"/>
    <col min="14" max="14" width="9.7109375" style="3" customWidth="1"/>
    <col min="15" max="15" width="11.42578125" style="9" customWidth="1"/>
    <col min="16" max="16" width="14" style="8" customWidth="1"/>
    <col min="17" max="17" width="12.140625" style="9" customWidth="1"/>
    <col min="18" max="18" width="13.7109375" style="8" customWidth="1"/>
    <col min="19" max="19" width="14" style="2" customWidth="1"/>
    <col min="20" max="20" width="14.140625" style="9" customWidth="1"/>
    <col min="21" max="21" width="9.28515625" style="8" customWidth="1"/>
    <col min="22" max="22" width="10.7109375" style="9" bestFit="1" customWidth="1"/>
    <col min="23" max="23" width="14.42578125" style="2" customWidth="1"/>
    <col min="24" max="24" width="10.5703125" style="2" customWidth="1"/>
    <col min="25" max="16384" width="9.140625" style="2"/>
  </cols>
  <sheetData>
    <row r="1" spans="1:48" s="46" customFormat="1" ht="5.25" customHeight="1">
      <c r="D1" s="49"/>
      <c r="E1" s="49"/>
      <c r="F1" s="49"/>
      <c r="G1" s="50"/>
      <c r="H1" s="50"/>
      <c r="I1" s="49"/>
      <c r="J1" s="49"/>
      <c r="K1" s="45"/>
      <c r="L1" s="50"/>
      <c r="O1" s="45"/>
      <c r="P1" s="50"/>
      <c r="Q1" s="45"/>
      <c r="R1" s="44"/>
      <c r="T1" s="45"/>
      <c r="U1" s="44"/>
      <c r="V1" s="45"/>
    </row>
    <row r="2" spans="1:48" s="4" customFormat="1" ht="102" customHeight="1">
      <c r="A2" s="7"/>
      <c r="B2" s="43"/>
      <c r="C2" s="43"/>
      <c r="D2" s="282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47"/>
      <c r="V2" s="48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s="1" customFormat="1" ht="33" customHeight="1">
      <c r="A3" s="12"/>
      <c r="B3" s="12"/>
      <c r="C3" s="52"/>
      <c r="D3" s="284" t="s">
        <v>7</v>
      </c>
      <c r="E3" s="284"/>
      <c r="F3" s="284"/>
      <c r="G3" s="284"/>
      <c r="H3" s="284"/>
      <c r="I3" s="284"/>
      <c r="J3" s="284"/>
      <c r="K3" s="13"/>
      <c r="L3" s="14"/>
      <c r="M3" s="12"/>
      <c r="N3" s="12"/>
      <c r="O3" s="15" t="s">
        <v>31</v>
      </c>
      <c r="P3" s="16"/>
      <c r="Q3" s="16"/>
      <c r="R3" s="16"/>
      <c r="S3" s="17"/>
      <c r="T3" s="285"/>
      <c r="U3" s="285"/>
      <c r="V3" s="285"/>
      <c r="W3" s="285"/>
      <c r="X3" s="285"/>
      <c r="Y3" s="18"/>
      <c r="Z3" s="19"/>
      <c r="AA3" s="10"/>
    </row>
    <row r="4" spans="1:48" s="1" customFormat="1" ht="18.75" customHeight="1">
      <c r="A4" s="12"/>
      <c r="B4" s="12"/>
      <c r="C4" s="52"/>
      <c r="D4" s="284"/>
      <c r="E4" s="284"/>
      <c r="F4" s="284"/>
      <c r="G4" s="284"/>
      <c r="H4" s="284"/>
      <c r="I4" s="284"/>
      <c r="J4" s="284"/>
      <c r="K4" s="12"/>
      <c r="L4" s="12"/>
      <c r="M4" s="12"/>
      <c r="N4" s="12"/>
      <c r="O4" s="12"/>
      <c r="P4" s="12"/>
      <c r="Q4" s="12"/>
      <c r="R4" s="12"/>
      <c r="S4" s="12"/>
      <c r="T4" s="18"/>
      <c r="U4" s="20"/>
      <c r="V4" s="18"/>
      <c r="W4" s="19"/>
      <c r="X4" s="12"/>
      <c r="Y4" s="18"/>
      <c r="Z4" s="19"/>
      <c r="AA4" s="10"/>
    </row>
    <row r="5" spans="1:48" s="1" customFormat="1" ht="3.75" customHeight="1">
      <c r="A5" s="12"/>
      <c r="B5" s="12"/>
      <c r="C5" s="52"/>
      <c r="D5" s="284"/>
      <c r="E5" s="284"/>
      <c r="F5" s="284"/>
      <c r="G5" s="284"/>
      <c r="H5" s="284"/>
      <c r="I5" s="284"/>
      <c r="J5" s="284"/>
      <c r="K5" s="12"/>
      <c r="L5" s="12"/>
      <c r="M5" s="12"/>
      <c r="N5" s="12"/>
      <c r="O5" s="286" t="s">
        <v>24</v>
      </c>
      <c r="P5" s="286"/>
      <c r="Q5" s="286"/>
      <c r="R5" s="286"/>
      <c r="S5" s="286"/>
      <c r="T5" s="18"/>
      <c r="U5" s="20"/>
      <c r="V5" s="18"/>
      <c r="W5" s="19"/>
      <c r="X5" s="12"/>
      <c r="Y5" s="18"/>
      <c r="Z5" s="19"/>
      <c r="AA5" s="10"/>
    </row>
    <row r="6" spans="1:48" s="1" customFormat="1" ht="46.5" customHeight="1">
      <c r="A6" s="12"/>
      <c r="B6" s="12"/>
      <c r="C6" s="52"/>
      <c r="D6" s="51"/>
      <c r="E6" s="51"/>
      <c r="F6" s="288"/>
      <c r="G6" s="288"/>
      <c r="H6" s="288"/>
      <c r="I6" s="288"/>
      <c r="J6" s="288"/>
      <c r="K6" s="12"/>
      <c r="L6" s="12"/>
      <c r="M6" s="12"/>
      <c r="N6" s="22"/>
      <c r="O6" s="286"/>
      <c r="P6" s="286"/>
      <c r="Q6" s="286"/>
      <c r="R6" s="286"/>
      <c r="S6" s="286"/>
      <c r="T6" s="289"/>
      <c r="U6" s="289"/>
      <c r="V6" s="289"/>
      <c r="W6" s="289"/>
      <c r="X6" s="289"/>
      <c r="Y6" s="289"/>
      <c r="Z6" s="289"/>
      <c r="AA6" s="10"/>
    </row>
    <row r="7" spans="1:48" s="1" customFormat="1" ht="18.75" customHeight="1">
      <c r="A7" s="12"/>
      <c r="B7" s="12"/>
      <c r="C7" s="290" t="s">
        <v>22</v>
      </c>
      <c r="D7" s="290"/>
      <c r="E7" s="51"/>
      <c r="F7" s="51"/>
      <c r="G7" s="53"/>
      <c r="H7" s="53"/>
      <c r="I7" s="51"/>
      <c r="J7" s="51"/>
      <c r="K7" s="12"/>
      <c r="L7" s="12"/>
      <c r="M7" s="12"/>
      <c r="N7" s="22"/>
      <c r="O7" s="286"/>
      <c r="P7" s="286"/>
      <c r="Q7" s="286"/>
      <c r="R7" s="286"/>
      <c r="S7" s="286"/>
      <c r="T7" s="289"/>
      <c r="U7" s="289"/>
      <c r="V7" s="289"/>
      <c r="W7" s="289"/>
      <c r="X7" s="289"/>
      <c r="Y7" s="289"/>
      <c r="Z7" s="289"/>
      <c r="AA7" s="10"/>
    </row>
    <row r="8" spans="1:48" s="1" customFormat="1" ht="3.75" customHeight="1">
      <c r="A8" s="12"/>
      <c r="B8" s="12"/>
      <c r="C8" s="37"/>
      <c r="D8" s="38"/>
      <c r="E8" s="51"/>
      <c r="F8" s="51"/>
      <c r="G8" s="53"/>
      <c r="H8" s="53"/>
      <c r="I8" s="51"/>
      <c r="J8" s="51"/>
      <c r="K8" s="12"/>
      <c r="L8" s="12"/>
      <c r="M8" s="12"/>
      <c r="N8" s="22"/>
      <c r="O8" s="286"/>
      <c r="P8" s="286"/>
      <c r="Q8" s="286"/>
      <c r="R8" s="286"/>
      <c r="S8" s="286"/>
      <c r="T8" s="289"/>
      <c r="U8" s="289"/>
      <c r="V8" s="289"/>
      <c r="W8" s="289"/>
      <c r="X8" s="289"/>
      <c r="Y8" s="289"/>
      <c r="Z8" s="289"/>
      <c r="AA8" s="10"/>
    </row>
    <row r="9" spans="1:48" s="1" customFormat="1" ht="33.75" customHeight="1">
      <c r="A9" s="12"/>
      <c r="B9" s="22">
        <v>3</v>
      </c>
      <c r="C9" s="291">
        <f>J44</f>
        <v>-2545.84</v>
      </c>
      <c r="D9" s="291"/>
      <c r="E9" s="51"/>
      <c r="F9" s="51"/>
      <c r="G9" s="53"/>
      <c r="H9" s="53"/>
      <c r="I9" s="51"/>
      <c r="J9" s="51"/>
      <c r="K9" s="12"/>
      <c r="L9" s="12"/>
      <c r="M9" s="12"/>
      <c r="N9" s="12"/>
      <c r="O9" s="286"/>
      <c r="P9" s="286"/>
      <c r="Q9" s="286"/>
      <c r="R9" s="286"/>
      <c r="S9" s="286"/>
      <c r="T9" s="289"/>
      <c r="U9" s="289"/>
      <c r="V9" s="289"/>
      <c r="W9" s="289"/>
      <c r="X9" s="289"/>
      <c r="Y9" s="289"/>
      <c r="Z9" s="289"/>
      <c r="AA9" s="10"/>
    </row>
    <row r="10" spans="1:48" s="1" customFormat="1" ht="22.5" customHeight="1">
      <c r="A10" s="12"/>
      <c r="B10" s="22">
        <v>2</v>
      </c>
      <c r="C10" s="290" t="s">
        <v>23</v>
      </c>
      <c r="D10" s="290"/>
      <c r="E10" s="51"/>
      <c r="F10" s="51"/>
      <c r="G10" s="53"/>
      <c r="H10" s="53"/>
      <c r="I10" s="51"/>
      <c r="J10" s="51"/>
      <c r="K10" s="12"/>
      <c r="L10" s="12"/>
      <c r="M10" s="12"/>
      <c r="N10" s="12"/>
      <c r="O10" s="286"/>
      <c r="P10" s="286"/>
      <c r="Q10" s="286"/>
      <c r="R10" s="286"/>
      <c r="S10" s="286"/>
      <c r="T10" s="289"/>
      <c r="U10" s="289"/>
      <c r="V10" s="289"/>
      <c r="W10" s="289"/>
      <c r="X10" s="289"/>
      <c r="Y10" s="289"/>
      <c r="Z10" s="289"/>
      <c r="AA10" s="10"/>
    </row>
    <row r="11" spans="1:48" s="1" customFormat="1" ht="3.75" customHeight="1">
      <c r="A11" s="12"/>
      <c r="B11" s="22"/>
      <c r="C11" s="37"/>
      <c r="D11" s="38"/>
      <c r="E11" s="51"/>
      <c r="F11" s="51"/>
      <c r="G11" s="53"/>
      <c r="H11" s="53"/>
      <c r="I11" s="51"/>
      <c r="J11" s="51"/>
      <c r="K11" s="12"/>
      <c r="L11" s="12"/>
      <c r="M11" s="12"/>
      <c r="N11" s="12"/>
      <c r="O11" s="286"/>
      <c r="P11" s="286"/>
      <c r="Q11" s="286"/>
      <c r="R11" s="286"/>
      <c r="S11" s="286"/>
      <c r="T11" s="289"/>
      <c r="U11" s="289"/>
      <c r="V11" s="289"/>
      <c r="W11" s="289"/>
      <c r="X11" s="289"/>
      <c r="Y11" s="289"/>
      <c r="Z11" s="289"/>
      <c r="AA11" s="10"/>
    </row>
    <row r="12" spans="1:48" s="1" customFormat="1" ht="31.5" customHeight="1">
      <c r="A12" s="12"/>
      <c r="B12" s="22">
        <v>11</v>
      </c>
      <c r="C12" s="292">
        <f>L44</f>
        <v>-0.25458400000000003</v>
      </c>
      <c r="D12" s="292"/>
      <c r="E12" s="51"/>
      <c r="F12" s="51"/>
      <c r="G12" s="53"/>
      <c r="H12" s="53"/>
      <c r="I12" s="51"/>
      <c r="J12" s="51"/>
      <c r="K12" s="12"/>
      <c r="L12" s="12"/>
      <c r="M12" s="12"/>
      <c r="N12" s="12"/>
      <c r="O12" s="286"/>
      <c r="P12" s="286"/>
      <c r="Q12" s="286"/>
      <c r="R12" s="286"/>
      <c r="S12" s="286"/>
      <c r="T12" s="289"/>
      <c r="U12" s="289"/>
      <c r="V12" s="289"/>
      <c r="W12" s="289"/>
      <c r="X12" s="289"/>
      <c r="Y12" s="289"/>
      <c r="Z12" s="289"/>
      <c r="AA12" s="10"/>
    </row>
    <row r="13" spans="1:48" s="1" customFormat="1" ht="18.75" customHeight="1">
      <c r="A13" s="12"/>
      <c r="B13" s="12"/>
      <c r="C13" s="293" t="s">
        <v>6</v>
      </c>
      <c r="D13" s="293"/>
      <c r="E13" s="51"/>
      <c r="F13" s="51"/>
      <c r="G13" s="53"/>
      <c r="H13" s="53"/>
      <c r="I13" s="51"/>
      <c r="J13" s="51"/>
      <c r="K13" s="294"/>
      <c r="L13" s="294"/>
      <c r="M13" s="12"/>
      <c r="N13" s="12"/>
      <c r="O13" s="286"/>
      <c r="P13" s="286"/>
      <c r="Q13" s="286"/>
      <c r="R13" s="286"/>
      <c r="S13" s="286"/>
      <c r="T13" s="289"/>
      <c r="U13" s="289"/>
      <c r="V13" s="289"/>
      <c r="W13" s="289"/>
      <c r="X13" s="289"/>
      <c r="Y13" s="289"/>
      <c r="Z13" s="289"/>
      <c r="AA13" s="10"/>
    </row>
    <row r="14" spans="1:48" s="1" customFormat="1" ht="3.75" customHeight="1">
      <c r="A14" s="12"/>
      <c r="B14" s="12"/>
      <c r="C14" s="37"/>
      <c r="D14" s="38"/>
      <c r="E14" s="51"/>
      <c r="F14" s="51"/>
      <c r="G14" s="53"/>
      <c r="H14" s="53"/>
      <c r="I14" s="51"/>
      <c r="J14" s="51"/>
      <c r="K14" s="23"/>
      <c r="L14" s="24"/>
      <c r="M14" s="12"/>
      <c r="N14" s="12"/>
      <c r="O14" s="286"/>
      <c r="P14" s="286"/>
      <c r="Q14" s="286"/>
      <c r="R14" s="286"/>
      <c r="S14" s="286"/>
      <c r="T14" s="289"/>
      <c r="U14" s="289"/>
      <c r="V14" s="289"/>
      <c r="W14" s="289"/>
      <c r="X14" s="289"/>
      <c r="Y14" s="289"/>
      <c r="Z14" s="289"/>
      <c r="AA14" s="10"/>
    </row>
    <row r="15" spans="1:48" s="1" customFormat="1" ht="57.95" customHeight="1" thickBot="1">
      <c r="A15" s="12"/>
      <c r="B15" s="12"/>
      <c r="C15" s="292">
        <f>L44</f>
        <v>-0.25458400000000003</v>
      </c>
      <c r="D15" s="292"/>
      <c r="E15" s="51"/>
      <c r="F15" s="51"/>
      <c r="G15" s="53"/>
      <c r="H15" s="53"/>
      <c r="I15" s="51"/>
      <c r="J15" s="51"/>
      <c r="K15" s="12"/>
      <c r="L15" s="12"/>
      <c r="M15" s="12"/>
      <c r="N15" s="12"/>
      <c r="O15" s="287"/>
      <c r="P15" s="287"/>
      <c r="Q15" s="287"/>
      <c r="R15" s="287"/>
      <c r="S15" s="287"/>
      <c r="T15" s="289"/>
      <c r="U15" s="289"/>
      <c r="V15" s="289"/>
      <c r="W15" s="289"/>
      <c r="X15" s="289"/>
      <c r="Y15" s="289"/>
      <c r="Z15" s="289"/>
      <c r="AA15" s="10"/>
    </row>
    <row r="16" spans="1:48" s="1" customFormat="1" ht="23.25" customHeight="1" thickBot="1">
      <c r="A16" s="12"/>
      <c r="B16" s="12"/>
      <c r="C16" s="20"/>
      <c r="D16" s="35">
        <v>45797</v>
      </c>
      <c r="E16" s="33" t="s">
        <v>12</v>
      </c>
      <c r="F16" s="34"/>
      <c r="G16" s="142">
        <v>10000</v>
      </c>
      <c r="H16" s="20"/>
      <c r="I16" s="21"/>
      <c r="J16" s="21"/>
      <c r="K16" s="12"/>
      <c r="L16" s="12"/>
      <c r="M16" s="12"/>
      <c r="N16" s="32"/>
      <c r="O16" s="29"/>
      <c r="P16" s="20"/>
      <c r="Q16" s="29"/>
      <c r="R16" s="20"/>
      <c r="S16" s="21"/>
      <c r="T16" s="281"/>
      <c r="U16" s="281"/>
      <c r="V16" s="281"/>
      <c r="W16" s="12"/>
      <c r="X16" s="12"/>
      <c r="Y16" s="12"/>
      <c r="Z16" s="12"/>
      <c r="AA16" s="10"/>
    </row>
    <row r="17" spans="1:27" s="1" customFormat="1" ht="18.75" customHeight="1" thickBot="1">
      <c r="A17" s="25"/>
      <c r="B17" s="20"/>
      <c r="C17" s="20"/>
      <c r="D17" s="20"/>
      <c r="E17" s="20"/>
      <c r="F17" s="20"/>
      <c r="G17" s="20"/>
      <c r="H17" s="20"/>
      <c r="I17" s="21"/>
      <c r="J17" s="21"/>
      <c r="K17" s="12"/>
      <c r="L17" s="12"/>
      <c r="M17" s="12"/>
      <c r="N17" s="32"/>
      <c r="O17" s="29"/>
      <c r="P17" s="20"/>
      <c r="Q17" s="29"/>
      <c r="R17" s="20"/>
      <c r="S17" s="21"/>
      <c r="T17" s="12"/>
      <c r="U17" s="26"/>
      <c r="V17" s="27"/>
      <c r="W17" s="12"/>
      <c r="X17" s="12"/>
      <c r="Y17" s="12"/>
      <c r="Z17" s="12"/>
      <c r="AA17" s="10"/>
    </row>
    <row r="18" spans="1:27" ht="18.75" customHeight="1" thickBot="1">
      <c r="A18" s="20"/>
      <c r="B18" s="89"/>
      <c r="C18" s="90"/>
      <c r="D18" s="90" t="s">
        <v>17</v>
      </c>
      <c r="E18" s="90"/>
      <c r="F18" s="91"/>
      <c r="G18" s="91"/>
      <c r="H18" s="92" t="s">
        <v>27</v>
      </c>
      <c r="I18" s="131"/>
      <c r="J18" s="133"/>
      <c r="K18" s="93" t="s">
        <v>21</v>
      </c>
      <c r="L18" s="94"/>
      <c r="M18" s="54"/>
      <c r="N18" s="32"/>
      <c r="O18" s="36"/>
      <c r="P18" s="125">
        <v>760</v>
      </c>
      <c r="Q18" s="112"/>
      <c r="R18" s="67"/>
      <c r="S18" s="127">
        <f t="shared" ref="S18:S34" si="0">Q18*-R18</f>
        <v>0</v>
      </c>
      <c r="T18" s="39"/>
      <c r="U18" s="20"/>
      <c r="V18" s="55"/>
      <c r="W18" s="56" t="s">
        <v>8</v>
      </c>
      <c r="X18" s="57"/>
      <c r="Y18" s="12"/>
      <c r="Z18" s="12"/>
      <c r="AA18" s="11"/>
    </row>
    <row r="19" spans="1:27" ht="18" customHeight="1" thickBot="1">
      <c r="A19" s="30"/>
      <c r="B19" s="95" t="s">
        <v>3</v>
      </c>
      <c r="C19" s="95" t="s">
        <v>1</v>
      </c>
      <c r="D19" s="96" t="s">
        <v>2</v>
      </c>
      <c r="E19" s="96" t="s">
        <v>11</v>
      </c>
      <c r="F19" s="96" t="s">
        <v>5</v>
      </c>
      <c r="G19" s="96" t="s">
        <v>9</v>
      </c>
      <c r="H19" s="97" t="s">
        <v>4</v>
      </c>
      <c r="I19" s="132" t="s">
        <v>26</v>
      </c>
      <c r="J19" s="134" t="s">
        <v>18</v>
      </c>
      <c r="K19" s="98" t="s">
        <v>19</v>
      </c>
      <c r="L19" s="99" t="s">
        <v>20</v>
      </c>
      <c r="M19" s="54"/>
      <c r="N19" s="32"/>
      <c r="O19" s="36"/>
      <c r="P19" s="68">
        <v>820</v>
      </c>
      <c r="Q19" s="113"/>
      <c r="R19" s="69"/>
      <c r="S19" s="70">
        <f t="shared" si="0"/>
        <v>0</v>
      </c>
      <c r="T19" s="39"/>
      <c r="U19" s="20"/>
      <c r="V19" s="58" t="s">
        <v>1</v>
      </c>
      <c r="W19" s="59" t="s">
        <v>9</v>
      </c>
      <c r="X19" s="60" t="s">
        <v>10</v>
      </c>
      <c r="Y19" s="12"/>
      <c r="Z19" s="12"/>
      <c r="AA19" s="11"/>
    </row>
    <row r="20" spans="1:27" ht="18" customHeight="1" thickBot="1">
      <c r="A20" s="30"/>
      <c r="B20" s="211">
        <v>1</v>
      </c>
      <c r="C20" s="199">
        <v>45919</v>
      </c>
      <c r="D20" s="200" t="s">
        <v>32</v>
      </c>
      <c r="E20" s="201">
        <v>4</v>
      </c>
      <c r="F20" s="202">
        <f>(4*393.7)/E20</f>
        <v>393.7</v>
      </c>
      <c r="G20" s="203">
        <f t="shared" ref="G20" si="1">-E20*F20</f>
        <v>-1574.8</v>
      </c>
      <c r="H20" s="204">
        <v>0</v>
      </c>
      <c r="I20" s="205">
        <f t="shared" ref="I20" si="2">E20*H20</f>
        <v>0</v>
      </c>
      <c r="J20" s="206">
        <f t="shared" ref="J20" si="3">E20*(H20-F20)</f>
        <v>-1574.8</v>
      </c>
      <c r="K20" s="207">
        <f>-J20/G20</f>
        <v>-1</v>
      </c>
      <c r="L20" s="208">
        <f>(J20)/10000</f>
        <v>-0.15748000000000001</v>
      </c>
      <c r="M20" s="54"/>
      <c r="N20" s="32"/>
      <c r="O20" s="36"/>
      <c r="P20" s="129">
        <v>830</v>
      </c>
      <c r="Q20" s="114"/>
      <c r="R20" s="71"/>
      <c r="S20" s="130">
        <f t="shared" si="0"/>
        <v>0</v>
      </c>
      <c r="T20" s="39"/>
      <c r="U20" s="20"/>
      <c r="V20" s="109">
        <v>45919</v>
      </c>
      <c r="W20" s="110">
        <v>10000</v>
      </c>
      <c r="X20" s="111">
        <f>(W20-10000)/10000</f>
        <v>0</v>
      </c>
      <c r="Y20" s="12"/>
      <c r="Z20" s="12"/>
      <c r="AA20" s="11"/>
    </row>
    <row r="21" spans="1:27" ht="18" customHeight="1" thickBot="1">
      <c r="A21" s="30"/>
      <c r="B21" s="211">
        <v>2</v>
      </c>
      <c r="C21" s="199">
        <v>45919</v>
      </c>
      <c r="D21" s="200" t="s">
        <v>33</v>
      </c>
      <c r="E21" s="201">
        <v>-4</v>
      </c>
      <c r="F21" s="202">
        <f>-(4*100.4)/E21</f>
        <v>100.4</v>
      </c>
      <c r="G21" s="203">
        <f t="shared" ref="G21" si="4">-E21*F21</f>
        <v>401.6</v>
      </c>
      <c r="H21" s="204">
        <v>0</v>
      </c>
      <c r="I21" s="205">
        <f t="shared" ref="I21" si="5">E21*H21</f>
        <v>0</v>
      </c>
      <c r="J21" s="206">
        <f t="shared" ref="J21" si="6">E21*(H21-F21)</f>
        <v>401.6</v>
      </c>
      <c r="K21" s="207">
        <f>-J21/G21</f>
        <v>-1</v>
      </c>
      <c r="L21" s="208">
        <f t="shared" ref="L21:L29" si="7">(J21)/10000</f>
        <v>4.0160000000000001E-2</v>
      </c>
      <c r="M21" s="54"/>
      <c r="N21" s="32"/>
      <c r="O21" s="124">
        <f>O22-Q22-Q18</f>
        <v>0</v>
      </c>
      <c r="P21" s="72">
        <v>750</v>
      </c>
      <c r="Q21" s="115"/>
      <c r="R21" s="73"/>
      <c r="S21" s="74">
        <f t="shared" si="0"/>
        <v>0</v>
      </c>
      <c r="T21" s="122">
        <f>-(P22-P21)*O21*100+T22</f>
        <v>0</v>
      </c>
      <c r="U21" s="20"/>
      <c r="V21" s="61">
        <v>45942</v>
      </c>
      <c r="W21" s="62">
        <f>10478.4</f>
        <v>10478.4</v>
      </c>
      <c r="X21" s="213">
        <f>W21/10000-1</f>
        <v>4.7839999999999883E-2</v>
      </c>
      <c r="Y21" s="12"/>
      <c r="Z21" s="12"/>
      <c r="AA21" s="11"/>
    </row>
    <row r="22" spans="1:27" ht="18.75" customHeight="1" thickBot="1">
      <c r="A22" s="30"/>
      <c r="B22" s="211">
        <v>3</v>
      </c>
      <c r="C22" s="199">
        <v>45919</v>
      </c>
      <c r="D22" s="200" t="s">
        <v>34</v>
      </c>
      <c r="E22" s="201">
        <v>-0.5</v>
      </c>
      <c r="F22" s="202">
        <f>-(0.5*4560.4)/E22</f>
        <v>4560.3999999999996</v>
      </c>
      <c r="G22" s="203">
        <f t="shared" ref="G22" si="8">-E22*F22</f>
        <v>2280.1999999999998</v>
      </c>
      <c r="H22" s="204">
        <v>3890</v>
      </c>
      <c r="I22" s="205">
        <f t="shared" ref="I22" si="9">E22*H22</f>
        <v>-1945</v>
      </c>
      <c r="J22" s="206">
        <f t="shared" ref="J22" si="10">E22*(H22-F22)</f>
        <v>335.19999999999982</v>
      </c>
      <c r="K22" s="207">
        <f>-J22/G22</f>
        <v>-0.14700464871502492</v>
      </c>
      <c r="L22" s="208">
        <f t="shared" si="7"/>
        <v>3.351999999999998E-2</v>
      </c>
      <c r="M22" s="21"/>
      <c r="N22" s="32"/>
      <c r="O22" s="118">
        <f t="shared" ref="O22:O30" si="11">O23-Q23</f>
        <v>0</v>
      </c>
      <c r="P22" s="76">
        <v>760</v>
      </c>
      <c r="Q22" s="116"/>
      <c r="R22" s="77"/>
      <c r="S22" s="74">
        <f t="shared" si="0"/>
        <v>0</v>
      </c>
      <c r="T22" s="75">
        <f>-(P23-P22)*O22*100+T23</f>
        <v>0</v>
      </c>
      <c r="U22" s="20"/>
      <c r="V22" s="63"/>
      <c r="W22" s="64"/>
      <c r="X22" s="65"/>
      <c r="Y22" s="21"/>
      <c r="Z22" s="12"/>
      <c r="AA22" s="11"/>
    </row>
    <row r="23" spans="1:27" ht="21.75" customHeight="1" thickBot="1">
      <c r="A23" s="30"/>
      <c r="B23" s="162">
        <v>4</v>
      </c>
      <c r="C23" s="163">
        <v>45919</v>
      </c>
      <c r="D23" s="164" t="s">
        <v>35</v>
      </c>
      <c r="E23" s="165">
        <v>1E-3</v>
      </c>
      <c r="F23" s="166">
        <v>0</v>
      </c>
      <c r="G23" s="172">
        <v>126</v>
      </c>
      <c r="H23" s="198">
        <v>0</v>
      </c>
      <c r="I23" s="177">
        <f>G23</f>
        <v>126</v>
      </c>
      <c r="J23" s="175">
        <f>I23</f>
        <v>126</v>
      </c>
      <c r="K23" s="141">
        <v>0</v>
      </c>
      <c r="L23" s="140">
        <f t="shared" si="7"/>
        <v>1.26E-2</v>
      </c>
      <c r="M23" s="66"/>
      <c r="N23" s="32"/>
      <c r="O23" s="118">
        <f t="shared" si="11"/>
        <v>0</v>
      </c>
      <c r="P23" s="76">
        <v>770</v>
      </c>
      <c r="Q23" s="116"/>
      <c r="R23" s="77"/>
      <c r="S23" s="74">
        <f t="shared" si="0"/>
        <v>0</v>
      </c>
      <c r="T23" s="75">
        <f t="shared" ref="T23:T27" si="12">-(P24-P23)*O23*100+T24</f>
        <v>0</v>
      </c>
      <c r="U23" s="20"/>
      <c r="V23" s="29"/>
      <c r="W23" s="21"/>
      <c r="X23" s="21"/>
      <c r="Y23" s="21"/>
      <c r="Z23" s="12"/>
      <c r="AA23" s="11"/>
    </row>
    <row r="24" spans="1:27" ht="18.75" customHeight="1" thickBot="1">
      <c r="A24" s="30"/>
      <c r="B24" s="212">
        <v>5</v>
      </c>
      <c r="C24" s="199">
        <v>45919</v>
      </c>
      <c r="D24" s="200" t="s">
        <v>36</v>
      </c>
      <c r="E24" s="201">
        <v>10</v>
      </c>
      <c r="F24" s="246">
        <f>(10*27.36)/E24</f>
        <v>27.360000000000003</v>
      </c>
      <c r="G24" s="203">
        <f t="shared" ref="G24:G30" si="13">-E24*F24</f>
        <v>-273.60000000000002</v>
      </c>
      <c r="H24" s="247">
        <v>0</v>
      </c>
      <c r="I24" s="205">
        <f t="shared" ref="I24:I30" si="14">E24*H24</f>
        <v>0</v>
      </c>
      <c r="J24" s="206">
        <f t="shared" ref="J24:J30" si="15">E24*(H24-F24)</f>
        <v>-273.60000000000002</v>
      </c>
      <c r="K24" s="207">
        <f>-J24/G24</f>
        <v>-1</v>
      </c>
      <c r="L24" s="208">
        <f t="shared" si="7"/>
        <v>-2.7360000000000002E-2</v>
      </c>
      <c r="M24" s="21"/>
      <c r="N24" s="32"/>
      <c r="O24" s="119">
        <f t="shared" si="11"/>
        <v>0</v>
      </c>
      <c r="P24" s="126">
        <v>785</v>
      </c>
      <c r="Q24" s="116"/>
      <c r="R24" s="77"/>
      <c r="S24" s="128">
        <f t="shared" si="0"/>
        <v>0</v>
      </c>
      <c r="T24" s="75">
        <f t="shared" si="12"/>
        <v>0</v>
      </c>
      <c r="U24" s="20"/>
      <c r="V24" s="29"/>
      <c r="W24" s="21"/>
      <c r="X24" s="21"/>
      <c r="Y24" s="21"/>
      <c r="Z24" s="12"/>
      <c r="AA24" s="11"/>
    </row>
    <row r="25" spans="1:27" ht="18.75" customHeight="1" thickBot="1">
      <c r="A25" s="30"/>
      <c r="B25" s="212">
        <v>6</v>
      </c>
      <c r="C25" s="199">
        <v>45919</v>
      </c>
      <c r="D25" s="200" t="s">
        <v>37</v>
      </c>
      <c r="E25" s="201">
        <v>-5</v>
      </c>
      <c r="F25" s="210">
        <f>-(5*242.35)/E25</f>
        <v>242.35</v>
      </c>
      <c r="G25" s="203">
        <f t="shared" ref="G25" si="16">-E25*F25</f>
        <v>1211.75</v>
      </c>
      <c r="H25" s="204">
        <v>194</v>
      </c>
      <c r="I25" s="205">
        <f t="shared" si="14"/>
        <v>-970</v>
      </c>
      <c r="J25" s="206">
        <f t="shared" si="15"/>
        <v>241.74999999999997</v>
      </c>
      <c r="K25" s="207">
        <f>-J25/G25</f>
        <v>-0.19950484835981017</v>
      </c>
      <c r="L25" s="208">
        <f t="shared" si="7"/>
        <v>2.4174999999999999E-2</v>
      </c>
      <c r="M25" s="21"/>
      <c r="N25" s="32"/>
      <c r="O25" s="119">
        <f t="shared" si="11"/>
        <v>0</v>
      </c>
      <c r="P25" s="76">
        <v>800</v>
      </c>
      <c r="Q25" s="116"/>
      <c r="R25" s="77"/>
      <c r="S25" s="74">
        <f t="shared" si="0"/>
        <v>0</v>
      </c>
      <c r="T25" s="75">
        <f t="shared" si="12"/>
        <v>0</v>
      </c>
      <c r="U25" s="20"/>
      <c r="V25" s="29"/>
      <c r="W25" s="21"/>
      <c r="X25" s="21"/>
      <c r="Y25" s="21"/>
      <c r="Z25" s="12"/>
      <c r="AA25" s="11"/>
    </row>
    <row r="26" spans="1:27" ht="20.25" customHeight="1" thickBot="1">
      <c r="A26" s="30"/>
      <c r="B26" s="167">
        <v>7</v>
      </c>
      <c r="C26" s="168">
        <v>45919</v>
      </c>
      <c r="D26" s="171" t="s">
        <v>38</v>
      </c>
      <c r="E26" s="169">
        <f>0.0001</f>
        <v>1E-4</v>
      </c>
      <c r="F26" s="170">
        <v>0</v>
      </c>
      <c r="G26" s="173">
        <v>-22.8</v>
      </c>
      <c r="H26" s="197">
        <v>0</v>
      </c>
      <c r="I26" s="176">
        <f>G26</f>
        <v>-22.8</v>
      </c>
      <c r="J26" s="174">
        <f>I26</f>
        <v>-22.8</v>
      </c>
      <c r="K26" s="100">
        <v>0</v>
      </c>
      <c r="L26" s="140">
        <f t="shared" si="7"/>
        <v>-2.2799999999999999E-3</v>
      </c>
      <c r="M26" s="21"/>
      <c r="N26" s="32"/>
      <c r="O26" s="119">
        <f>O27-Q27-Q19</f>
        <v>0</v>
      </c>
      <c r="P26" s="76">
        <v>810</v>
      </c>
      <c r="Q26" s="116"/>
      <c r="R26" s="77"/>
      <c r="S26" s="74">
        <f t="shared" si="0"/>
        <v>0</v>
      </c>
      <c r="T26" s="75">
        <f t="shared" si="12"/>
        <v>0</v>
      </c>
      <c r="U26" s="20"/>
      <c r="V26" s="29"/>
      <c r="W26" s="21"/>
      <c r="X26" s="21"/>
      <c r="Y26" s="21"/>
      <c r="Z26" s="12"/>
      <c r="AA26" s="11"/>
    </row>
    <row r="27" spans="1:27" s="21" customFormat="1" ht="21.75" customHeight="1" thickBot="1">
      <c r="A27" s="30"/>
      <c r="B27" s="211">
        <v>8</v>
      </c>
      <c r="C27" s="199">
        <v>45919</v>
      </c>
      <c r="D27" s="200" t="s">
        <v>39</v>
      </c>
      <c r="E27" s="245">
        <v>0.01</v>
      </c>
      <c r="F27" s="202">
        <f>(0.01*4515)/E27</f>
        <v>4515</v>
      </c>
      <c r="G27" s="203">
        <f t="shared" si="13"/>
        <v>-45.15</v>
      </c>
      <c r="H27" s="204">
        <v>6481</v>
      </c>
      <c r="I27" s="205">
        <f t="shared" si="14"/>
        <v>64.81</v>
      </c>
      <c r="J27" s="206">
        <f t="shared" si="15"/>
        <v>19.66</v>
      </c>
      <c r="K27" s="207">
        <f t="shared" ref="K27:K34" si="17">-J27/G27</f>
        <v>0.43543743078626801</v>
      </c>
      <c r="L27" s="208">
        <f t="shared" si="7"/>
        <v>1.9659999999999999E-3</v>
      </c>
      <c r="N27" s="32"/>
      <c r="O27" s="119">
        <f>O28-Q28-Q20</f>
        <v>0</v>
      </c>
      <c r="P27" s="136">
        <v>815</v>
      </c>
      <c r="Q27" s="116"/>
      <c r="R27" s="77"/>
      <c r="S27" s="137">
        <f t="shared" si="0"/>
        <v>0</v>
      </c>
      <c r="T27" s="75">
        <f t="shared" si="12"/>
        <v>0</v>
      </c>
      <c r="U27" s="20"/>
      <c r="V27" s="29"/>
      <c r="Z27" s="12"/>
    </row>
    <row r="28" spans="1:27" s="21" customFormat="1" ht="20.25" customHeight="1" thickBot="1">
      <c r="A28" s="30"/>
      <c r="B28" s="211">
        <v>9</v>
      </c>
      <c r="C28" s="199">
        <v>45919</v>
      </c>
      <c r="D28" s="200" t="s">
        <v>40</v>
      </c>
      <c r="E28" s="245">
        <v>-0.02</v>
      </c>
      <c r="F28" s="202">
        <f>-(0.02*1865)/E28</f>
        <v>1865.0000000000002</v>
      </c>
      <c r="G28" s="203">
        <f t="shared" si="13"/>
        <v>37.300000000000004</v>
      </c>
      <c r="H28" s="204">
        <v>0</v>
      </c>
      <c r="I28" s="205">
        <f t="shared" si="14"/>
        <v>0</v>
      </c>
      <c r="J28" s="206">
        <f t="shared" si="15"/>
        <v>37.300000000000004</v>
      </c>
      <c r="K28" s="207">
        <f t="shared" si="17"/>
        <v>-1</v>
      </c>
      <c r="L28" s="208">
        <f t="shared" si="7"/>
        <v>3.7300000000000002E-3</v>
      </c>
      <c r="N28" s="32"/>
      <c r="O28" s="119">
        <f t="shared" si="11"/>
        <v>0</v>
      </c>
      <c r="P28" s="79">
        <v>817</v>
      </c>
      <c r="Q28" s="116"/>
      <c r="R28" s="77"/>
      <c r="S28" s="120">
        <f t="shared" si="0"/>
        <v>0</v>
      </c>
      <c r="T28" s="121">
        <f>S36</f>
        <v>0</v>
      </c>
      <c r="U28" s="20"/>
      <c r="V28" s="29"/>
      <c r="Z28" s="12"/>
    </row>
    <row r="29" spans="1:27" s="21" customFormat="1" ht="21.75" customHeight="1" thickBot="1">
      <c r="A29" s="30"/>
      <c r="B29" s="211">
        <v>10</v>
      </c>
      <c r="C29" s="199">
        <v>45919</v>
      </c>
      <c r="D29" s="200" t="s">
        <v>41</v>
      </c>
      <c r="E29" s="245">
        <v>-0.01</v>
      </c>
      <c r="F29" s="202">
        <f>-(0.01*795)/E29</f>
        <v>795</v>
      </c>
      <c r="G29" s="203">
        <f t="shared" si="13"/>
        <v>7.95</v>
      </c>
      <c r="H29" s="230">
        <v>0</v>
      </c>
      <c r="I29" s="231">
        <f t="shared" si="14"/>
        <v>0</v>
      </c>
      <c r="J29" s="206">
        <f t="shared" si="15"/>
        <v>7.95</v>
      </c>
      <c r="K29" s="207">
        <f t="shared" si="17"/>
        <v>-1</v>
      </c>
      <c r="L29" s="208">
        <f t="shared" si="7"/>
        <v>7.9500000000000003E-4</v>
      </c>
      <c r="O29" s="119">
        <f t="shared" si="11"/>
        <v>0</v>
      </c>
      <c r="P29" s="76">
        <v>820</v>
      </c>
      <c r="Q29" s="116"/>
      <c r="R29" s="77"/>
      <c r="S29" s="74">
        <f t="shared" si="0"/>
        <v>0</v>
      </c>
      <c r="T29" s="78">
        <f t="shared" ref="T29:T32" si="18">(P29-P28)*O28*100+T28</f>
        <v>0</v>
      </c>
      <c r="U29" s="20"/>
      <c r="V29" s="29"/>
      <c r="Z29" s="12"/>
    </row>
    <row r="30" spans="1:27" s="21" customFormat="1" ht="21.75" customHeight="1" thickBot="1">
      <c r="A30" s="30"/>
      <c r="B30" s="211">
        <v>11</v>
      </c>
      <c r="C30" s="199">
        <v>45941</v>
      </c>
      <c r="D30" s="200" t="s">
        <v>34</v>
      </c>
      <c r="E30" s="201">
        <v>0.5</v>
      </c>
      <c r="F30" s="202">
        <f>(0.3*3870+3860*0.1+3874*0.1)/E30</f>
        <v>3868.8</v>
      </c>
      <c r="G30" s="203">
        <f t="shared" si="13"/>
        <v>-1934.4</v>
      </c>
      <c r="H30" s="209">
        <f>H22</f>
        <v>3890</v>
      </c>
      <c r="I30" s="205">
        <f t="shared" si="14"/>
        <v>1945</v>
      </c>
      <c r="J30" s="206">
        <f t="shared" si="15"/>
        <v>10.599999999999909</v>
      </c>
      <c r="K30" s="207">
        <f t="shared" si="17"/>
        <v>5.4797353184449487E-3</v>
      </c>
      <c r="L30" s="208">
        <f t="shared" ref="L30" si="19">(J30)/10000</f>
        <v>1.0599999999999909E-3</v>
      </c>
      <c r="O30" s="119">
        <f t="shared" si="11"/>
        <v>0</v>
      </c>
      <c r="P30" s="76">
        <v>840</v>
      </c>
      <c r="Q30" s="116"/>
      <c r="R30" s="77"/>
      <c r="S30" s="74">
        <f t="shared" si="0"/>
        <v>0</v>
      </c>
      <c r="T30" s="78">
        <f t="shared" si="18"/>
        <v>0</v>
      </c>
      <c r="U30" s="20"/>
      <c r="V30" s="29"/>
      <c r="Z30" s="12"/>
    </row>
    <row r="31" spans="1:27" s="21" customFormat="1" ht="21" customHeight="1" thickBot="1">
      <c r="B31" s="211">
        <v>12</v>
      </c>
      <c r="C31" s="199">
        <v>43749</v>
      </c>
      <c r="D31" s="200" t="s">
        <v>44</v>
      </c>
      <c r="E31" s="201">
        <v>4</v>
      </c>
      <c r="F31" s="202">
        <f>(1*283+1*297+1*310.4+1*307)/E31</f>
        <v>299.35000000000002</v>
      </c>
      <c r="G31" s="203">
        <f>-E31*F31</f>
        <v>-1197.4000000000001</v>
      </c>
      <c r="H31" s="209">
        <v>222</v>
      </c>
      <c r="I31" s="205">
        <f>E31*H31</f>
        <v>888</v>
      </c>
      <c r="J31" s="206">
        <f>E31*(H31-F31)</f>
        <v>-309.40000000000009</v>
      </c>
      <c r="K31" s="207">
        <f t="shared" si="17"/>
        <v>-0.25839318523467519</v>
      </c>
      <c r="L31" s="208">
        <f>(J31)/10000</f>
        <v>-3.0940000000000009E-2</v>
      </c>
      <c r="O31" s="119">
        <f>O32-Q32</f>
        <v>0</v>
      </c>
      <c r="P31" s="76">
        <v>860</v>
      </c>
      <c r="Q31" s="116"/>
      <c r="R31" s="77"/>
      <c r="S31" s="74">
        <f t="shared" si="0"/>
        <v>0</v>
      </c>
      <c r="T31" s="78">
        <f t="shared" si="18"/>
        <v>0</v>
      </c>
      <c r="U31" s="20"/>
      <c r="V31" s="29"/>
      <c r="Z31" s="12"/>
    </row>
    <row r="32" spans="1:27" s="21" customFormat="1" ht="22.5" customHeight="1" thickBot="1">
      <c r="A32" s="28"/>
      <c r="B32" s="212">
        <v>13</v>
      </c>
      <c r="C32" s="199">
        <v>45941</v>
      </c>
      <c r="D32" s="200" t="s">
        <v>37</v>
      </c>
      <c r="E32" s="201">
        <v>5</v>
      </c>
      <c r="F32" s="210">
        <v>193.8</v>
      </c>
      <c r="G32" s="203">
        <f>-E32*F32</f>
        <v>-969</v>
      </c>
      <c r="H32" s="209">
        <f>H25</f>
        <v>194</v>
      </c>
      <c r="I32" s="205">
        <f>E32*H32</f>
        <v>970</v>
      </c>
      <c r="J32" s="206">
        <f>E32*(H32-F32)</f>
        <v>0.99999999999994316</v>
      </c>
      <c r="K32" s="207">
        <f t="shared" si="17"/>
        <v>1.0319917440659888E-3</v>
      </c>
      <c r="L32" s="208">
        <f>(J32)/10000</f>
        <v>9.9999999999994313E-5</v>
      </c>
      <c r="O32" s="118">
        <f>O33-Q33</f>
        <v>0</v>
      </c>
      <c r="P32" s="126">
        <v>870</v>
      </c>
      <c r="Q32" s="116"/>
      <c r="R32" s="77"/>
      <c r="S32" s="128">
        <f t="shared" si="0"/>
        <v>0</v>
      </c>
      <c r="T32" s="78">
        <f t="shared" si="18"/>
        <v>0</v>
      </c>
      <c r="U32" s="20"/>
      <c r="V32" s="29"/>
      <c r="Z32" s="12"/>
    </row>
    <row r="33" spans="1:26" s="21" customFormat="1" ht="20.25" customHeight="1" thickBot="1">
      <c r="B33" s="212">
        <v>14</v>
      </c>
      <c r="C33" s="199">
        <v>45941</v>
      </c>
      <c r="D33" s="200" t="s">
        <v>45</v>
      </c>
      <c r="E33" s="201">
        <v>5</v>
      </c>
      <c r="F33" s="246">
        <f>(1*10.5+1*10+9.5*1+9*1+8*1)/E33</f>
        <v>9.4</v>
      </c>
      <c r="G33" s="203">
        <f t="shared" ref="G33:G34" si="20">-E33*F33</f>
        <v>-47</v>
      </c>
      <c r="H33" s="247">
        <v>0</v>
      </c>
      <c r="I33" s="205">
        <f t="shared" ref="I33:I34" si="21">E33*H33</f>
        <v>0</v>
      </c>
      <c r="J33" s="206">
        <f t="shared" ref="J33:J34" si="22">E33*(H33-F33)</f>
        <v>-47</v>
      </c>
      <c r="K33" s="207">
        <f t="shared" si="17"/>
        <v>-1</v>
      </c>
      <c r="L33" s="208">
        <f t="shared" ref="L33:L34" si="23">(J33)/10000</f>
        <v>-4.7000000000000002E-3</v>
      </c>
      <c r="O33" s="118">
        <f>O34-Q34</f>
        <v>0</v>
      </c>
      <c r="P33" s="126">
        <v>890</v>
      </c>
      <c r="Q33" s="116"/>
      <c r="R33" s="77"/>
      <c r="S33" s="128">
        <f t="shared" si="0"/>
        <v>0</v>
      </c>
      <c r="T33" s="78">
        <f>(P33-P32)*O32*100+T32</f>
        <v>0</v>
      </c>
      <c r="U33" s="20"/>
      <c r="V33" s="29"/>
      <c r="Z33" s="12"/>
    </row>
    <row r="34" spans="1:26" s="21" customFormat="1" ht="20.25" customHeight="1" thickBot="1">
      <c r="A34" s="28"/>
      <c r="B34" s="224">
        <v>15</v>
      </c>
      <c r="C34" s="225">
        <v>45942</v>
      </c>
      <c r="D34" s="226" t="s">
        <v>44</v>
      </c>
      <c r="E34" s="227">
        <v>-2</v>
      </c>
      <c r="F34" s="228">
        <f>-(1*470+1*474)/E34</f>
        <v>472</v>
      </c>
      <c r="G34" s="229">
        <f t="shared" si="20"/>
        <v>944</v>
      </c>
      <c r="H34" s="230">
        <f>H31</f>
        <v>222</v>
      </c>
      <c r="I34" s="231">
        <f t="shared" si="21"/>
        <v>-444</v>
      </c>
      <c r="J34" s="232">
        <f t="shared" si="22"/>
        <v>500</v>
      </c>
      <c r="K34" s="233">
        <f t="shared" si="17"/>
        <v>-0.52966101694915257</v>
      </c>
      <c r="L34" s="234">
        <f t="shared" si="23"/>
        <v>0.05</v>
      </c>
      <c r="O34" s="123">
        <f>SUM(Q21:Q35)+Q36</f>
        <v>0</v>
      </c>
      <c r="P34" s="81">
        <v>900</v>
      </c>
      <c r="Q34" s="117"/>
      <c r="R34" s="82"/>
      <c r="S34" s="74">
        <f t="shared" si="0"/>
        <v>0</v>
      </c>
      <c r="T34" s="80">
        <f>(P34-P33)*O33*100+T33</f>
        <v>0</v>
      </c>
      <c r="U34" s="20"/>
      <c r="V34" s="29"/>
    </row>
    <row r="35" spans="1:26" s="21" customFormat="1" ht="20.25" customHeight="1" thickBot="1">
      <c r="B35" s="224">
        <v>16</v>
      </c>
      <c r="C35" s="225">
        <v>45947</v>
      </c>
      <c r="D35" s="226" t="s">
        <v>44</v>
      </c>
      <c r="E35" s="227">
        <v>-2</v>
      </c>
      <c r="F35" s="228">
        <f>-(1*225+1*223)/E35</f>
        <v>224</v>
      </c>
      <c r="G35" s="229">
        <f t="shared" ref="G35" si="24">-E35*F35</f>
        <v>448</v>
      </c>
      <c r="H35" s="230">
        <f>H34</f>
        <v>222</v>
      </c>
      <c r="I35" s="231">
        <f t="shared" ref="I35" si="25">E35*H35</f>
        <v>-444</v>
      </c>
      <c r="J35" s="232">
        <f t="shared" ref="J35" si="26">E35*(H35-F35)</f>
        <v>4</v>
      </c>
      <c r="K35" s="233">
        <f t="shared" ref="K35" si="27">-J35/G35</f>
        <v>-8.9285714285714281E-3</v>
      </c>
      <c r="L35" s="234">
        <f t="shared" ref="L35" si="28">(J35)/10000</f>
        <v>4.0000000000000002E-4</v>
      </c>
      <c r="O35" s="84" t="s">
        <v>25</v>
      </c>
      <c r="P35" s="85"/>
      <c r="Q35" s="86"/>
      <c r="R35" s="86"/>
      <c r="S35" s="87"/>
      <c r="T35" s="83"/>
      <c r="U35" s="20"/>
      <c r="V35" s="29"/>
    </row>
    <row r="36" spans="1:26" s="21" customFormat="1" ht="21" customHeight="1" thickBot="1">
      <c r="A36" s="28"/>
      <c r="B36" s="260">
        <v>17</v>
      </c>
      <c r="C36" s="261">
        <v>45947</v>
      </c>
      <c r="D36" s="262" t="s">
        <v>47</v>
      </c>
      <c r="E36" s="263">
        <v>3</v>
      </c>
      <c r="F36" s="264">
        <f>(1*382+1*381+1*381.5)/E36</f>
        <v>381.5</v>
      </c>
      <c r="G36" s="265">
        <f t="shared" ref="G36" si="29">-E36*F36</f>
        <v>-1144.5</v>
      </c>
      <c r="H36" s="266">
        <v>0</v>
      </c>
      <c r="I36" s="267">
        <f t="shared" ref="I36" si="30">E36*H36</f>
        <v>0</v>
      </c>
      <c r="J36" s="268">
        <f t="shared" ref="J36" si="31">E36*(H36-F36)</f>
        <v>-1144.5</v>
      </c>
      <c r="K36" s="269">
        <f t="shared" ref="K36" si="32">-J36/G36</f>
        <v>-1</v>
      </c>
      <c r="L36" s="270">
        <f t="shared" ref="L36" si="33">(J36)/10000</f>
        <v>-0.11445</v>
      </c>
      <c r="O36" s="66"/>
      <c r="P36" s="66"/>
      <c r="Q36" s="88">
        <f>SUM(Q37:Q45)</f>
        <v>0</v>
      </c>
      <c r="R36" s="158">
        <f>0</f>
        <v>0</v>
      </c>
      <c r="S36" s="159">
        <f>SUM(S18:S35)</f>
        <v>0</v>
      </c>
      <c r="T36" s="39"/>
      <c r="U36" s="20"/>
      <c r="V36" s="29"/>
    </row>
    <row r="37" spans="1:26" s="21" customFormat="1" ht="23.25" customHeight="1" thickBot="1">
      <c r="A37" s="30"/>
      <c r="B37" s="260">
        <v>18</v>
      </c>
      <c r="C37" s="261">
        <v>45965</v>
      </c>
      <c r="D37" s="262" t="s">
        <v>48</v>
      </c>
      <c r="E37" s="263">
        <v>1</v>
      </c>
      <c r="F37" s="264">
        <f>(1*412)/E37</f>
        <v>412</v>
      </c>
      <c r="G37" s="265">
        <f t="shared" ref="G37" si="34">-E37*F37</f>
        <v>-412</v>
      </c>
      <c r="H37" s="271">
        <v>32</v>
      </c>
      <c r="I37" s="267">
        <f t="shared" ref="I37" si="35">E37*H37</f>
        <v>32</v>
      </c>
      <c r="J37" s="268">
        <f t="shared" ref="J37" si="36">E37*(H37-F37)</f>
        <v>-380</v>
      </c>
      <c r="K37" s="269">
        <f t="shared" ref="K37" si="37">-J37/G37</f>
        <v>-0.92233009708737868</v>
      </c>
      <c r="L37" s="270">
        <f t="shared" ref="L37" si="38">(J37)/10000</f>
        <v>-3.7999999999999999E-2</v>
      </c>
      <c r="O37" s="66"/>
      <c r="P37" s="195" t="s">
        <v>30</v>
      </c>
      <c r="Q37" s="196">
        <v>0</v>
      </c>
      <c r="R37" s="160"/>
      <c r="S37" s="161">
        <v>0</v>
      </c>
      <c r="T37" s="39"/>
      <c r="U37" s="20"/>
      <c r="V37" s="29"/>
    </row>
    <row r="38" spans="1:26" s="21" customFormat="1" ht="18.75" customHeight="1" thickBot="1">
      <c r="B38" s="248">
        <v>19</v>
      </c>
      <c r="C38" s="249">
        <v>45970</v>
      </c>
      <c r="D38" s="250" t="s">
        <v>49</v>
      </c>
      <c r="E38" s="251">
        <v>4</v>
      </c>
      <c r="F38" s="253">
        <f>(1*19+1*19.1+1*19.2+1*19.3)/E38</f>
        <v>19.149999999999999</v>
      </c>
      <c r="G38" s="252">
        <f t="shared" ref="G38:G39" si="39">-E38*F38</f>
        <v>-76.599999999999994</v>
      </c>
      <c r="H38" s="223">
        <v>0.6</v>
      </c>
      <c r="I38" s="177">
        <f t="shared" ref="I38:I39" si="40">E38*H38</f>
        <v>2.4</v>
      </c>
      <c r="J38" s="175">
        <f t="shared" ref="J38:J39" si="41">E38*(H38-F38)</f>
        <v>-74.199999999999989</v>
      </c>
      <c r="K38" s="141">
        <f t="shared" ref="K38:K39" si="42">-J38/G38</f>
        <v>-0.96866840731070492</v>
      </c>
      <c r="L38" s="222">
        <f t="shared" ref="L38:L39" si="43">(J38)/10000</f>
        <v>-7.4199999999999986E-3</v>
      </c>
      <c r="T38" s="39"/>
      <c r="U38" s="20"/>
      <c r="V38" s="29"/>
    </row>
    <row r="39" spans="1:26" s="21" customFormat="1" ht="18.75" customHeight="1" thickBot="1">
      <c r="A39" s="30"/>
      <c r="B39" s="216">
        <v>20</v>
      </c>
      <c r="C39" s="217">
        <v>45975</v>
      </c>
      <c r="D39" s="218" t="s">
        <v>50</v>
      </c>
      <c r="E39" s="219">
        <v>4</v>
      </c>
      <c r="F39" s="220">
        <f>(4*343)/E39</f>
        <v>343</v>
      </c>
      <c r="G39" s="221">
        <f t="shared" si="39"/>
        <v>-1372</v>
      </c>
      <c r="H39" s="254">
        <v>162</v>
      </c>
      <c r="I39" s="177">
        <f t="shared" si="40"/>
        <v>648</v>
      </c>
      <c r="J39" s="175">
        <f t="shared" si="41"/>
        <v>-724</v>
      </c>
      <c r="K39" s="141">
        <f t="shared" si="42"/>
        <v>-0.5276967930029155</v>
      </c>
      <c r="L39" s="222">
        <f t="shared" si="43"/>
        <v>-7.2400000000000006E-2</v>
      </c>
      <c r="T39" s="39"/>
      <c r="U39" s="20"/>
      <c r="V39" s="29"/>
    </row>
    <row r="40" spans="1:26" s="21" customFormat="1" ht="19.5" customHeight="1" thickBot="1">
      <c r="B40" s="216">
        <v>21</v>
      </c>
      <c r="C40" s="217">
        <v>45975</v>
      </c>
      <c r="D40" s="218" t="s">
        <v>51</v>
      </c>
      <c r="E40" s="219">
        <v>-2</v>
      </c>
      <c r="F40" s="220">
        <f>-(2*73)/E40</f>
        <v>73</v>
      </c>
      <c r="G40" s="221">
        <f t="shared" ref="G40:G41" si="44">-E40*F40</f>
        <v>146</v>
      </c>
      <c r="H40" s="254">
        <v>5</v>
      </c>
      <c r="I40" s="177">
        <f t="shared" ref="I40:I41" si="45">E40*H40</f>
        <v>-10</v>
      </c>
      <c r="J40" s="175">
        <f t="shared" ref="J40:J41" si="46">E40*(H40-F40)</f>
        <v>136</v>
      </c>
      <c r="K40" s="141">
        <f t="shared" ref="K40:K41" si="47">-J40/G40</f>
        <v>-0.93150684931506844</v>
      </c>
      <c r="L40" s="222">
        <f t="shared" ref="L40:L41" si="48">(J40)/10000</f>
        <v>1.3599999999999999E-2</v>
      </c>
      <c r="T40" s="39"/>
      <c r="U40" s="20"/>
      <c r="V40" s="29"/>
    </row>
    <row r="41" spans="1:26" s="21" customFormat="1" ht="18" thickBot="1">
      <c r="A41" s="31"/>
      <c r="B41" s="216">
        <v>22</v>
      </c>
      <c r="C41" s="217">
        <v>45993</v>
      </c>
      <c r="D41" s="218" t="s">
        <v>52</v>
      </c>
      <c r="E41" s="219">
        <v>3</v>
      </c>
      <c r="F41" s="220">
        <f>(3*466.6)/E41</f>
        <v>466.60000000000008</v>
      </c>
      <c r="G41" s="221">
        <f t="shared" si="44"/>
        <v>-1399.8000000000002</v>
      </c>
      <c r="H41" s="254">
        <v>692</v>
      </c>
      <c r="I41" s="177">
        <f t="shared" si="45"/>
        <v>2076</v>
      </c>
      <c r="J41" s="175">
        <f t="shared" si="46"/>
        <v>676.19999999999982</v>
      </c>
      <c r="K41" s="141">
        <f t="shared" si="47"/>
        <v>0.483069009858551</v>
      </c>
      <c r="L41" s="222">
        <f t="shared" si="48"/>
        <v>6.7619999999999986E-2</v>
      </c>
      <c r="T41" s="39"/>
      <c r="U41" s="20"/>
      <c r="V41" s="29"/>
    </row>
    <row r="42" spans="1:26" s="21" customFormat="1" ht="18" customHeight="1" thickBot="1">
      <c r="B42" s="216">
        <v>23</v>
      </c>
      <c r="C42" s="217">
        <v>45993</v>
      </c>
      <c r="D42" s="218" t="s">
        <v>53</v>
      </c>
      <c r="E42" s="219">
        <v>-20</v>
      </c>
      <c r="F42" s="220">
        <f>-(61*20)/E42</f>
        <v>61</v>
      </c>
      <c r="G42" s="221">
        <f t="shared" ref="G42" si="49">-E42*F42</f>
        <v>1220</v>
      </c>
      <c r="H42" s="254">
        <v>85</v>
      </c>
      <c r="I42" s="177">
        <f t="shared" ref="I42" si="50">E42*H42</f>
        <v>-1700</v>
      </c>
      <c r="J42" s="175">
        <f t="shared" ref="J42" si="51">E42*(H42-F42)</f>
        <v>-480</v>
      </c>
      <c r="K42" s="141">
        <f t="shared" ref="K42" si="52">-J42/G42</f>
        <v>0.39344262295081966</v>
      </c>
      <c r="L42" s="222">
        <f t="shared" ref="L42" si="53">(J42)/10000</f>
        <v>-4.8000000000000001E-2</v>
      </c>
      <c r="T42" s="39"/>
      <c r="U42" s="20"/>
      <c r="V42" s="29"/>
    </row>
    <row r="43" spans="1:26" s="21" customFormat="1" ht="19.5" customHeight="1" thickBot="1">
      <c r="I43" s="138" t="s">
        <v>28</v>
      </c>
      <c r="J43" s="139">
        <v>-12.8</v>
      </c>
      <c r="K43" s="143"/>
      <c r="L43" s="143"/>
      <c r="T43" s="39"/>
      <c r="U43" s="20"/>
      <c r="V43" s="29"/>
    </row>
    <row r="44" spans="1:26" s="21" customFormat="1" ht="18.75" customHeight="1" thickBot="1">
      <c r="I44" s="144">
        <f>SUM(I20:I43)</f>
        <v>1216.4099999999999</v>
      </c>
      <c r="J44" s="145">
        <f>SUM(J20:J43)</f>
        <v>-2545.84</v>
      </c>
      <c r="K44" s="103">
        <f>SUM(K20:K43)</f>
        <v>-10.17523362674515</v>
      </c>
      <c r="L44" s="135">
        <f>J44/10000</f>
        <v>-0.25458400000000003</v>
      </c>
      <c r="T44" s="39"/>
      <c r="U44" s="20"/>
      <c r="V44" s="29"/>
    </row>
    <row r="45" spans="1:26" s="21" customFormat="1" ht="18" customHeight="1">
      <c r="T45" s="39"/>
      <c r="U45" s="20"/>
      <c r="V45" s="29"/>
    </row>
    <row r="46" spans="1:26" s="21" customFormat="1" ht="18.75" customHeight="1" thickBot="1">
      <c r="C46" s="36"/>
      <c r="D46" s="36"/>
      <c r="E46" s="36"/>
      <c r="H46" s="36"/>
      <c r="R46" s="39"/>
      <c r="U46" s="20"/>
      <c r="V46" s="29"/>
    </row>
    <row r="47" spans="1:26" s="21" customFormat="1" ht="19.5" customHeight="1" thickBot="1">
      <c r="B47" s="36"/>
      <c r="G47" s="255" t="s">
        <v>50</v>
      </c>
      <c r="H47" s="256">
        <v>4</v>
      </c>
      <c r="I47" s="146"/>
      <c r="J47" s="146"/>
      <c r="T47" s="29"/>
      <c r="U47" s="20"/>
      <c r="V47" s="29"/>
    </row>
    <row r="48" spans="1:26" s="21" customFormat="1" ht="18" customHeight="1" thickBot="1">
      <c r="B48" s="36"/>
      <c r="C48" s="101" t="s">
        <v>13</v>
      </c>
      <c r="D48" s="102">
        <f>E48/G16</f>
        <v>0.36334499999999997</v>
      </c>
      <c r="E48" s="148">
        <f>-SUM(G20:G47)+J43</f>
        <v>3633.45</v>
      </c>
      <c r="F48" s="36"/>
      <c r="G48" s="255" t="s">
        <v>51</v>
      </c>
      <c r="H48" s="256">
        <v>-2</v>
      </c>
      <c r="I48" s="146"/>
      <c r="J48" s="178">
        <f>L71</f>
        <v>-2545.8400000000006</v>
      </c>
      <c r="K48" s="236" t="s">
        <v>32</v>
      </c>
      <c r="L48" s="241">
        <f>J20</f>
        <v>-1574.8</v>
      </c>
      <c r="O48" s="29"/>
      <c r="P48" s="20"/>
      <c r="Q48" s="29"/>
      <c r="R48" s="20"/>
      <c r="U48" s="20"/>
      <c r="V48" s="29"/>
    </row>
    <row r="49" spans="2:22" s="21" customFormat="1" ht="18.75" customHeight="1" thickBot="1">
      <c r="B49" s="36"/>
      <c r="C49" s="104" t="s">
        <v>14</v>
      </c>
      <c r="D49" s="105">
        <f>E49/G16</f>
        <v>0.38207099999999999</v>
      </c>
      <c r="E49" s="149">
        <f>E50-E48</f>
        <v>3820.71</v>
      </c>
      <c r="F49" s="36"/>
      <c r="G49" s="255" t="s">
        <v>52</v>
      </c>
      <c r="H49" s="256">
        <v>3</v>
      </c>
      <c r="I49" s="146"/>
      <c r="J49" s="146"/>
      <c r="K49" s="237" t="s">
        <v>33</v>
      </c>
      <c r="L49" s="242">
        <f>J21</f>
        <v>401.6</v>
      </c>
      <c r="U49" s="20"/>
      <c r="V49" s="29"/>
    </row>
    <row r="50" spans="2:22" s="21" customFormat="1" ht="18.75" customHeight="1" thickBot="1">
      <c r="B50" s="36"/>
      <c r="C50" s="106" t="s">
        <v>15</v>
      </c>
      <c r="D50" s="107">
        <f>D48+D49</f>
        <v>0.74541599999999997</v>
      </c>
      <c r="E50" s="150">
        <f>G16+J44</f>
        <v>7454.16</v>
      </c>
      <c r="F50" s="36"/>
      <c r="G50" s="255" t="s">
        <v>53</v>
      </c>
      <c r="H50" s="256">
        <v>-20</v>
      </c>
      <c r="I50" s="146"/>
      <c r="J50" s="146"/>
      <c r="K50" s="237" t="s">
        <v>34</v>
      </c>
      <c r="L50" s="242">
        <f>J22+J30</f>
        <v>345.79999999999973</v>
      </c>
      <c r="U50" s="20"/>
      <c r="V50" s="29"/>
    </row>
    <row r="51" spans="2:22" s="21" customFormat="1" ht="20.25" customHeight="1" thickBot="1">
      <c r="B51" s="36"/>
      <c r="C51" s="36"/>
      <c r="D51" s="36"/>
      <c r="E51" s="36"/>
      <c r="F51" s="36"/>
      <c r="G51" s="257" t="s">
        <v>49</v>
      </c>
      <c r="H51" s="258">
        <v>4</v>
      </c>
      <c r="I51" s="146"/>
      <c r="J51" s="146"/>
      <c r="K51" s="238" t="s">
        <v>35</v>
      </c>
      <c r="L51" s="242">
        <f>J23</f>
        <v>126</v>
      </c>
      <c r="U51" s="20"/>
      <c r="V51" s="29"/>
    </row>
    <row r="52" spans="2:22" s="21" customFormat="1" ht="21.75" customHeight="1" thickBot="1">
      <c r="B52" s="36"/>
      <c r="F52" s="36"/>
      <c r="I52" s="147"/>
      <c r="J52" s="146"/>
      <c r="K52" s="239" t="s">
        <v>44</v>
      </c>
      <c r="L52" s="243">
        <f>J31+J34+J35</f>
        <v>194.59999999999991</v>
      </c>
      <c r="U52" s="20"/>
      <c r="V52" s="29"/>
    </row>
    <row r="53" spans="2:22" s="21" customFormat="1" ht="20.25" customHeight="1" thickBot="1">
      <c r="B53" s="36"/>
      <c r="J53" s="146"/>
      <c r="K53" s="236" t="s">
        <v>47</v>
      </c>
      <c r="L53" s="241">
        <f>J36</f>
        <v>-1144.5</v>
      </c>
      <c r="U53" s="20"/>
      <c r="V53" s="29"/>
    </row>
    <row r="54" spans="2:22" s="21" customFormat="1" ht="21" customHeight="1" thickBot="1">
      <c r="B54" s="36"/>
      <c r="C54" s="108" t="s">
        <v>29</v>
      </c>
      <c r="D54" s="36"/>
      <c r="E54" s="36"/>
      <c r="J54" s="146"/>
      <c r="K54" s="240" t="s">
        <v>48</v>
      </c>
      <c r="L54" s="244">
        <f>J37</f>
        <v>-380</v>
      </c>
      <c r="U54" s="20"/>
      <c r="V54" s="29"/>
    </row>
    <row r="55" spans="2:22" s="21" customFormat="1" ht="20.25" customHeight="1" thickBot="1">
      <c r="B55" s="31"/>
      <c r="C55" s="40" t="s">
        <v>46</v>
      </c>
      <c r="D55" s="41" t="s">
        <v>21</v>
      </c>
      <c r="E55" s="42" t="s">
        <v>16</v>
      </c>
      <c r="K55" s="255" t="s">
        <v>50</v>
      </c>
      <c r="L55" s="241">
        <f>J39</f>
        <v>-724</v>
      </c>
      <c r="U55" s="20"/>
      <c r="V55" s="29"/>
    </row>
    <row r="56" spans="2:22" s="21" customFormat="1" ht="21" customHeight="1" thickBot="1">
      <c r="C56" s="151">
        <v>10000</v>
      </c>
      <c r="D56" s="152">
        <f>J44</f>
        <v>-2545.84</v>
      </c>
      <c r="E56" s="153">
        <f>C56+D56</f>
        <v>7454.16</v>
      </c>
      <c r="G56" s="179" t="s">
        <v>35</v>
      </c>
      <c r="H56" s="194">
        <v>1E-3</v>
      </c>
      <c r="K56" s="255" t="s">
        <v>51</v>
      </c>
      <c r="L56" s="244">
        <f>J40</f>
        <v>136</v>
      </c>
      <c r="U56" s="20"/>
      <c r="V56" s="29"/>
    </row>
    <row r="57" spans="2:22" s="21" customFormat="1" ht="21.75" customHeight="1" thickBot="1">
      <c r="G57" s="259" t="s">
        <v>38</v>
      </c>
      <c r="H57" s="258">
        <f>0.0001</f>
        <v>1E-4</v>
      </c>
      <c r="K57" s="255" t="s">
        <v>52</v>
      </c>
      <c r="L57" s="241">
        <f>J41</f>
        <v>676.19999999999982</v>
      </c>
      <c r="U57" s="20"/>
      <c r="V57" s="29"/>
    </row>
    <row r="58" spans="2:22" s="21" customFormat="1" ht="20.25" customHeight="1" thickBot="1">
      <c r="K58" s="255" t="s">
        <v>53</v>
      </c>
      <c r="L58" s="244">
        <f>J42</f>
        <v>-480</v>
      </c>
      <c r="U58" s="20"/>
      <c r="V58" s="29"/>
    </row>
    <row r="59" spans="2:22" s="21" customFormat="1" ht="22.5" customHeight="1" thickBot="1">
      <c r="K59" s="192" t="s">
        <v>30</v>
      </c>
      <c r="L59" s="235">
        <f>SUM(L48:L58)</f>
        <v>-2423.1000000000004</v>
      </c>
      <c r="U59" s="20"/>
      <c r="V59" s="29"/>
    </row>
    <row r="60" spans="2:22" s="21" customFormat="1" ht="22.5" customHeight="1">
      <c r="K60" s="181" t="s">
        <v>36</v>
      </c>
      <c r="L60" s="154">
        <f>J24</f>
        <v>-273.60000000000002</v>
      </c>
      <c r="U60" s="20"/>
      <c r="V60" s="29"/>
    </row>
    <row r="61" spans="2:22" s="21" customFormat="1" ht="21.75" customHeight="1">
      <c r="K61" s="182" t="s">
        <v>37</v>
      </c>
      <c r="L61" s="155">
        <f>J25+J32</f>
        <v>242.74999999999991</v>
      </c>
      <c r="U61" s="20"/>
      <c r="V61" s="29"/>
    </row>
    <row r="62" spans="2:22" s="21" customFormat="1" ht="18.75" customHeight="1">
      <c r="K62" s="214" t="s">
        <v>38</v>
      </c>
      <c r="L62" s="155">
        <f>J26</f>
        <v>-22.8</v>
      </c>
      <c r="U62" s="20"/>
      <c r="V62" s="29"/>
    </row>
    <row r="63" spans="2:22" s="21" customFormat="1" ht="18.75" customHeight="1" thickBot="1">
      <c r="K63" s="215" t="s">
        <v>45</v>
      </c>
      <c r="L63" s="186">
        <f>J33</f>
        <v>-47</v>
      </c>
      <c r="U63" s="20"/>
      <c r="V63" s="29"/>
    </row>
    <row r="64" spans="2:22" s="21" customFormat="1" ht="20.25" customHeight="1" thickBot="1">
      <c r="K64" s="257" t="s">
        <v>49</v>
      </c>
      <c r="L64" s="186">
        <f>J38</f>
        <v>-74.199999999999989</v>
      </c>
      <c r="U64" s="20"/>
      <c r="V64" s="29"/>
    </row>
    <row r="65" spans="11:22" s="21" customFormat="1" ht="23.25" customHeight="1" thickBot="1">
      <c r="K65" s="180" t="s">
        <v>42</v>
      </c>
      <c r="L65" s="193">
        <f>SUM(L60:L64)</f>
        <v>-174.85000000000008</v>
      </c>
      <c r="U65" s="20"/>
      <c r="V65" s="29"/>
    </row>
    <row r="66" spans="11:22" s="21" customFormat="1" ht="18.75" customHeight="1">
      <c r="K66" s="183" t="s">
        <v>39</v>
      </c>
      <c r="L66" s="187">
        <f>J27</f>
        <v>19.66</v>
      </c>
      <c r="U66" s="20"/>
      <c r="V66" s="29"/>
    </row>
    <row r="67" spans="11:22" s="21" customFormat="1" ht="21" customHeight="1">
      <c r="K67" s="184" t="s">
        <v>40</v>
      </c>
      <c r="L67" s="188">
        <f>J28</f>
        <v>37.300000000000004</v>
      </c>
      <c r="U67" s="20"/>
      <c r="V67" s="29"/>
    </row>
    <row r="68" spans="11:22" s="21" customFormat="1" ht="21.75" customHeight="1" thickBot="1">
      <c r="K68" s="185" t="s">
        <v>41</v>
      </c>
      <c r="L68" s="189">
        <f>J29</f>
        <v>7.95</v>
      </c>
      <c r="U68" s="20"/>
      <c r="V68" s="29"/>
    </row>
    <row r="69" spans="11:22" s="21" customFormat="1" ht="20.25" customHeight="1" thickBot="1">
      <c r="K69" s="190" t="s">
        <v>43</v>
      </c>
      <c r="L69" s="191">
        <f>SUM(L66:L68)</f>
        <v>64.910000000000011</v>
      </c>
      <c r="U69" s="20"/>
      <c r="V69" s="29"/>
    </row>
    <row r="70" spans="11:22" s="21" customFormat="1" ht="20.25" customHeight="1" thickBot="1">
      <c r="K70" s="138" t="s">
        <v>28</v>
      </c>
      <c r="L70" s="156">
        <f>J43</f>
        <v>-12.8</v>
      </c>
      <c r="U70" s="20"/>
      <c r="V70" s="29"/>
    </row>
    <row r="71" spans="11:22" s="21" customFormat="1" ht="19.5" customHeight="1" thickBot="1">
      <c r="L71" s="157">
        <f>L59+L65+L69+L70</f>
        <v>-2545.8400000000006</v>
      </c>
      <c r="U71" s="20"/>
      <c r="V71" s="29"/>
    </row>
    <row r="72" spans="11:22" s="21" customFormat="1" ht="21.75" customHeight="1">
      <c r="U72" s="20"/>
      <c r="V72" s="29"/>
    </row>
    <row r="73" spans="11:22" s="21" customFormat="1" ht="22.5" customHeight="1">
      <c r="U73" s="20"/>
      <c r="V73" s="29"/>
    </row>
    <row r="74" spans="11:22" s="21" customFormat="1" ht="23.25" customHeight="1">
      <c r="U74" s="20"/>
      <c r="V74" s="29"/>
    </row>
    <row r="75" spans="11:22" s="21" customFormat="1" ht="24.75" customHeight="1">
      <c r="U75" s="20"/>
      <c r="V75" s="29"/>
    </row>
    <row r="76" spans="11:22" s="21" customFormat="1" ht="27.75" customHeight="1">
      <c r="U76" s="20"/>
      <c r="V76" s="29"/>
    </row>
    <row r="77" spans="11:22" s="21" customFormat="1" ht="27.75" customHeight="1">
      <c r="U77" s="20"/>
      <c r="V77" s="29"/>
    </row>
    <row r="78" spans="11:22" s="21" customFormat="1" ht="27.75" customHeight="1">
      <c r="U78" s="20"/>
      <c r="V78" s="29"/>
    </row>
    <row r="79" spans="11:22" s="21" customFormat="1" ht="27.75" customHeight="1">
      <c r="U79" s="20"/>
      <c r="V79" s="29"/>
    </row>
    <row r="80" spans="11:22" s="21" customFormat="1" ht="27.75" customHeight="1">
      <c r="P80" s="20"/>
      <c r="Q80" s="29"/>
      <c r="R80" s="20"/>
      <c r="T80" s="29"/>
      <c r="U80" s="20"/>
      <c r="V80" s="29"/>
    </row>
    <row r="81" spans="2:22" s="21" customFormat="1" ht="27.75" customHeight="1">
      <c r="P81" s="20"/>
      <c r="Q81" s="29"/>
      <c r="R81" s="20"/>
      <c r="T81" s="29"/>
      <c r="U81" s="20"/>
      <c r="V81" s="29"/>
    </row>
    <row r="82" spans="2:22" s="21" customFormat="1" ht="27.75" customHeight="1">
      <c r="M82" s="32"/>
      <c r="P82" s="20"/>
      <c r="Q82" s="29"/>
      <c r="R82" s="20"/>
      <c r="T82" s="29"/>
      <c r="U82" s="20"/>
      <c r="V82" s="29"/>
    </row>
    <row r="83" spans="2:22" s="21" customFormat="1" ht="27.75" customHeight="1">
      <c r="M83" s="32"/>
      <c r="P83" s="20"/>
      <c r="Q83" s="29"/>
      <c r="R83" s="20"/>
      <c r="T83" s="29"/>
      <c r="U83" s="20"/>
      <c r="V83" s="29"/>
    </row>
    <row r="84" spans="2:22" s="21" customFormat="1" ht="27.75" customHeight="1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P84" s="20"/>
      <c r="Q84" s="29"/>
      <c r="R84" s="20"/>
      <c r="T84" s="29"/>
      <c r="U84" s="20"/>
      <c r="V84" s="29"/>
    </row>
    <row r="85" spans="2:22" s="21" customFormat="1" ht="27.75" customHeight="1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O85" s="29"/>
      <c r="P85" s="20"/>
      <c r="Q85" s="29"/>
      <c r="R85" s="20"/>
      <c r="T85" s="29"/>
      <c r="V85" s="29"/>
    </row>
    <row r="86" spans="2:22" s="21" customFormat="1" ht="27.75" customHeight="1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O86" s="29"/>
      <c r="P86" s="20"/>
      <c r="Q86" s="29"/>
      <c r="R86" s="20"/>
      <c r="T86" s="29"/>
      <c r="V86" s="29"/>
    </row>
    <row r="87" spans="2:22" s="21" customFormat="1" ht="27.75" customHeight="1">
      <c r="O87" s="29"/>
      <c r="P87" s="20"/>
      <c r="Q87" s="29"/>
      <c r="R87" s="20"/>
      <c r="T87" s="29"/>
      <c r="V87" s="29"/>
    </row>
    <row r="88" spans="2:22" s="21" customFormat="1" ht="27.75" customHeight="1">
      <c r="O88" s="29"/>
      <c r="P88" s="20"/>
      <c r="Q88" s="29"/>
      <c r="R88" s="20"/>
      <c r="T88" s="29"/>
      <c r="V88" s="29"/>
    </row>
    <row r="89" spans="2:22" s="21" customFormat="1" ht="27.75" customHeight="1">
      <c r="O89" s="29"/>
      <c r="P89" s="20"/>
      <c r="Q89" s="29"/>
      <c r="R89" s="20"/>
      <c r="T89" s="29"/>
      <c r="V89" s="29"/>
    </row>
    <row r="90" spans="2:22" s="21" customFormat="1" ht="27.75" customHeight="1">
      <c r="O90" s="29"/>
      <c r="P90" s="20"/>
      <c r="Q90" s="29"/>
      <c r="R90" s="20"/>
      <c r="T90" s="29"/>
      <c r="V90" s="29"/>
    </row>
    <row r="91" spans="2:22" s="21" customFormat="1" ht="27.75" customHeight="1">
      <c r="O91" s="29"/>
      <c r="P91" s="20"/>
      <c r="Q91" s="29"/>
      <c r="R91" s="20"/>
      <c r="T91" s="29"/>
      <c r="V91" s="29"/>
    </row>
    <row r="92" spans="2:22" s="21" customFormat="1" ht="27.75" customHeight="1">
      <c r="O92" s="29"/>
      <c r="P92" s="20"/>
      <c r="Q92" s="29"/>
      <c r="R92" s="20"/>
      <c r="T92" s="29"/>
      <c r="V92" s="29"/>
    </row>
    <row r="93" spans="2:22" s="21" customFormat="1" ht="27.75" customHeight="1">
      <c r="O93" s="29"/>
      <c r="P93" s="20"/>
      <c r="Q93" s="29"/>
      <c r="R93" s="20"/>
      <c r="T93" s="29"/>
      <c r="V93" s="29"/>
    </row>
    <row r="94" spans="2:22" s="21" customFormat="1" ht="27.75" customHeight="1">
      <c r="O94" s="29"/>
      <c r="P94" s="20"/>
      <c r="Q94" s="29"/>
      <c r="R94" s="20"/>
      <c r="T94" s="29"/>
      <c r="V94" s="29"/>
    </row>
    <row r="95" spans="2:22" s="21" customFormat="1" ht="27.75" customHeight="1">
      <c r="O95" s="29"/>
      <c r="P95" s="20"/>
      <c r="Q95" s="29"/>
      <c r="R95" s="20"/>
      <c r="T95" s="29"/>
      <c r="V95" s="29"/>
    </row>
    <row r="96" spans="2:22" s="21" customFormat="1" ht="27.75" customHeight="1">
      <c r="O96" s="29"/>
      <c r="P96" s="20"/>
      <c r="Q96" s="29"/>
      <c r="R96" s="20"/>
      <c r="T96" s="29"/>
      <c r="V96" s="29"/>
    </row>
    <row r="97" spans="14:38" s="21" customFormat="1" ht="27.75" customHeight="1">
      <c r="O97" s="29"/>
      <c r="P97" s="20"/>
      <c r="Q97" s="29"/>
      <c r="R97" s="20"/>
      <c r="T97" s="29"/>
      <c r="V97" s="29"/>
    </row>
    <row r="98" spans="14:38" s="21" customFormat="1" ht="27.75" customHeight="1">
      <c r="N98" s="32"/>
      <c r="O98" s="29"/>
      <c r="P98" s="20"/>
      <c r="Q98" s="29"/>
      <c r="R98" s="20"/>
      <c r="T98" s="29"/>
      <c r="V98" s="29"/>
    </row>
    <row r="99" spans="14:38" s="21" customFormat="1" ht="27.75" customHeight="1">
      <c r="N99" s="32"/>
      <c r="O99" s="29"/>
      <c r="P99" s="20"/>
      <c r="Q99" s="29"/>
      <c r="R99" s="20"/>
      <c r="T99" s="29"/>
      <c r="V99" s="29"/>
    </row>
    <row r="100" spans="14:38" s="21" customFormat="1" ht="27.75" customHeight="1">
      <c r="N100" s="32"/>
      <c r="O100" s="29"/>
      <c r="P100" s="20"/>
      <c r="Q100" s="29"/>
      <c r="R100" s="20"/>
      <c r="T100" s="29"/>
      <c r="V100" s="29"/>
    </row>
    <row r="101" spans="14:38" s="21" customFormat="1" ht="27.75" customHeight="1">
      <c r="O101" s="29"/>
      <c r="P101" s="20"/>
      <c r="Q101" s="29"/>
      <c r="R101" s="20"/>
      <c r="T101" s="29"/>
      <c r="V101" s="29"/>
    </row>
    <row r="102" spans="14:38" s="21" customFormat="1" ht="27.75" customHeight="1">
      <c r="O102" s="29"/>
      <c r="P102" s="20"/>
      <c r="Q102" s="29"/>
      <c r="R102" s="20"/>
      <c r="T102" s="29"/>
      <c r="V102" s="29"/>
    </row>
    <row r="103" spans="14:38" s="21" customFormat="1" ht="27.75" customHeight="1">
      <c r="N103" s="32"/>
      <c r="O103" s="29"/>
      <c r="P103" s="20"/>
      <c r="Q103" s="29"/>
      <c r="R103" s="20"/>
      <c r="T103" s="29"/>
      <c r="V103" s="29"/>
    </row>
    <row r="104" spans="14:38" s="21" customFormat="1" ht="27.75" customHeight="1">
      <c r="N104" s="32"/>
      <c r="O104" s="29"/>
      <c r="P104" s="20"/>
      <c r="Q104" s="29"/>
      <c r="R104" s="20"/>
      <c r="T104" s="29"/>
      <c r="V104" s="29"/>
    </row>
    <row r="105" spans="14:38" s="21" customFormat="1" ht="27.75" customHeight="1">
      <c r="O105" s="29"/>
      <c r="P105" s="20"/>
      <c r="Q105" s="29"/>
      <c r="R105" s="20"/>
      <c r="T105" s="29"/>
      <c r="V105" s="29"/>
    </row>
    <row r="106" spans="14:38" s="21" customFormat="1" ht="27.75" customHeight="1">
      <c r="O106" s="29"/>
      <c r="P106" s="20"/>
      <c r="Q106" s="29"/>
      <c r="R106" s="20"/>
      <c r="T106" s="29"/>
      <c r="V106" s="29"/>
    </row>
    <row r="107" spans="14:38" s="21" customFormat="1" ht="27.75" customHeight="1">
      <c r="N107" s="32"/>
      <c r="O107" s="29"/>
      <c r="P107" s="20"/>
      <c r="Q107" s="29"/>
      <c r="R107" s="20"/>
      <c r="T107" s="29"/>
      <c r="V107" s="29"/>
    </row>
    <row r="108" spans="14:38" s="21" customFormat="1" ht="27.75" customHeight="1">
      <c r="N108" s="32"/>
      <c r="O108" s="29"/>
      <c r="P108" s="20"/>
      <c r="Q108" s="29"/>
      <c r="R108" s="20"/>
      <c r="T108" s="29"/>
      <c r="V108" s="29"/>
    </row>
    <row r="109" spans="14:38" s="21" customFormat="1" ht="27.75" customHeight="1">
      <c r="N109" s="32"/>
      <c r="O109" s="29"/>
      <c r="P109" s="20"/>
      <c r="Q109" s="29"/>
      <c r="R109" s="20"/>
      <c r="T109" s="29"/>
      <c r="V109" s="29"/>
    </row>
    <row r="110" spans="14:38" ht="27.75" customHeight="1">
      <c r="N110" s="32"/>
      <c r="O110" s="29"/>
      <c r="P110" s="20"/>
      <c r="Q110" s="29"/>
      <c r="R110" s="20"/>
      <c r="S110" s="21"/>
      <c r="T110" s="29"/>
      <c r="V110" s="29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pans="14:38" ht="27.75" customHeight="1">
      <c r="N111" s="32"/>
      <c r="O111" s="29"/>
      <c r="P111" s="20"/>
      <c r="Q111" s="29"/>
      <c r="R111" s="20"/>
      <c r="S111" s="21"/>
      <c r="T111" s="29"/>
      <c r="V111" s="29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pans="14:38" ht="27.75" customHeight="1">
      <c r="N112" s="32"/>
      <c r="O112" s="29"/>
      <c r="P112" s="20"/>
      <c r="Q112" s="29"/>
      <c r="R112" s="20"/>
      <c r="S112" s="21"/>
      <c r="T112" s="29"/>
      <c r="V112" s="29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pans="1:38" ht="27.75" customHeight="1">
      <c r="N113" s="32"/>
      <c r="O113" s="29"/>
      <c r="P113" s="20"/>
      <c r="Q113" s="29"/>
      <c r="R113" s="20"/>
      <c r="S113" s="21"/>
      <c r="T113" s="29"/>
      <c r="V113" s="29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spans="1:38" ht="27.75" customHeight="1">
      <c r="N114" s="32"/>
      <c r="O114" s="29"/>
      <c r="P114" s="20"/>
      <c r="Q114" s="29"/>
      <c r="R114" s="20"/>
      <c r="S114" s="21"/>
      <c r="T114" s="29"/>
      <c r="V114" s="29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pans="1:38" ht="27.75" customHeight="1">
      <c r="N115" s="32"/>
      <c r="O115" s="29"/>
      <c r="P115" s="20"/>
      <c r="Q115" s="29"/>
      <c r="R115" s="20"/>
      <c r="S115" s="21"/>
      <c r="T115" s="29"/>
      <c r="V115" s="29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pans="1:38" ht="27.75" customHeight="1">
      <c r="N116" s="32"/>
      <c r="O116" s="29"/>
      <c r="P116" s="20"/>
      <c r="Q116" s="29"/>
      <c r="R116" s="20"/>
      <c r="S116" s="21"/>
      <c r="T116" s="29"/>
      <c r="V116" s="29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pans="1:38" ht="27.75" customHeight="1">
      <c r="N117" s="32"/>
      <c r="O117" s="29"/>
      <c r="P117" s="20"/>
      <c r="Q117" s="29"/>
      <c r="R117" s="20"/>
      <c r="S117" s="21"/>
      <c r="T117" s="29"/>
      <c r="V117" s="29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pans="1:38" ht="27.75" customHeight="1">
      <c r="N118" s="32"/>
      <c r="O118" s="29"/>
      <c r="P118" s="20"/>
      <c r="Q118" s="29"/>
      <c r="R118" s="20"/>
      <c r="S118" s="21"/>
      <c r="T118" s="29"/>
      <c r="V118" s="29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pans="1:38" ht="27.75" customHeight="1">
      <c r="A119" s="32"/>
      <c r="N119" s="32"/>
      <c r="O119" s="29"/>
      <c r="P119" s="20"/>
      <c r="Q119" s="29"/>
      <c r="R119" s="20"/>
      <c r="S119" s="21"/>
      <c r="T119" s="29"/>
      <c r="V119" s="29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pans="1:38" ht="27.75" customHeight="1">
      <c r="N120" s="32"/>
      <c r="V120" s="29"/>
      <c r="W120" s="21"/>
      <c r="X120" s="21"/>
      <c r="Y120" s="21"/>
    </row>
    <row r="121" spans="1:38" ht="27.75" customHeight="1">
      <c r="N121" s="32"/>
    </row>
  </sheetData>
  <mergeCells count="14">
    <mergeCell ref="T16:V16"/>
    <mergeCell ref="D2:T2"/>
    <mergeCell ref="D3:J5"/>
    <mergeCell ref="T3:X3"/>
    <mergeCell ref="O5:S15"/>
    <mergeCell ref="F6:J6"/>
    <mergeCell ref="T6:Z15"/>
    <mergeCell ref="C7:D7"/>
    <mergeCell ref="C9:D9"/>
    <mergeCell ref="C10:D10"/>
    <mergeCell ref="C12:D12"/>
    <mergeCell ref="C13:D13"/>
    <mergeCell ref="K13:L13"/>
    <mergeCell ref="C15:D15"/>
  </mergeCells>
  <phoneticPr fontId="25" type="noConversion"/>
  <printOptions horizontalCentered="1"/>
  <pageMargins left="0.4" right="0.4" top="0.4" bottom="0.4" header="0.25" footer="0.25"/>
  <pageSetup paperSize="9" scale="62" fitToHeight="0" orientation="portrait" r:id="rId1"/>
  <headerFooter differentFirst="1">
    <oddFooter>&amp;CPage &amp;P of &amp;N</oddFooter>
  </headerFooter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249977111117893"/>
    <pageSetUpPr fitToPage="1"/>
  </sheetPr>
  <dimension ref="A1:AV102"/>
  <sheetViews>
    <sheetView showGridLines="0" topLeftCell="A13" zoomScale="90" zoomScaleNormal="90" workbookViewId="0">
      <selection activeCell="I22" sqref="I22"/>
    </sheetView>
  </sheetViews>
  <sheetFormatPr defaultColWidth="9.140625" defaultRowHeight="27.75" customHeight="1"/>
  <cols>
    <col min="1" max="1" width="0.28515625" style="2" customWidth="1"/>
    <col min="2" max="2" width="6" style="2" customWidth="1"/>
    <col min="3" max="3" width="17.85546875" style="2" customWidth="1"/>
    <col min="4" max="4" width="23.5703125" style="2" bestFit="1" customWidth="1"/>
    <col min="5" max="5" width="16.7109375" style="6" customWidth="1"/>
    <col min="6" max="6" width="18.42578125" style="6" customWidth="1"/>
    <col min="7" max="7" width="23.42578125" style="8" bestFit="1" customWidth="1"/>
    <col min="8" max="8" width="16" style="8" customWidth="1"/>
    <col min="9" max="9" width="15" style="2" customWidth="1"/>
    <col min="10" max="10" width="14.7109375" style="2" customWidth="1"/>
    <col min="11" max="11" width="23.42578125" style="9" bestFit="1" customWidth="1"/>
    <col min="12" max="12" width="15.140625" style="8" customWidth="1"/>
    <col min="13" max="13" width="12" style="2" customWidth="1"/>
    <col min="14" max="14" width="9.7109375" style="3" customWidth="1"/>
    <col min="15" max="15" width="11.42578125" style="9" customWidth="1"/>
    <col min="16" max="16" width="14" style="8" customWidth="1"/>
    <col min="17" max="17" width="12.140625" style="9" customWidth="1"/>
    <col min="18" max="18" width="13.7109375" style="8" customWidth="1"/>
    <col min="19" max="19" width="14" style="2" customWidth="1"/>
    <col min="20" max="20" width="14.140625" style="9" customWidth="1"/>
    <col min="21" max="21" width="9.28515625" style="8" customWidth="1"/>
    <col min="22" max="22" width="10.7109375" style="9" bestFit="1" customWidth="1"/>
    <col min="23" max="23" width="14.42578125" style="2" customWidth="1"/>
    <col min="24" max="24" width="10.5703125" style="2" customWidth="1"/>
    <col min="25" max="16384" width="9.140625" style="2"/>
  </cols>
  <sheetData>
    <row r="1" spans="1:48" s="46" customFormat="1" ht="5.25" customHeight="1">
      <c r="D1" s="49"/>
      <c r="E1" s="49"/>
      <c r="F1" s="49"/>
      <c r="G1" s="50"/>
      <c r="H1" s="50"/>
      <c r="I1" s="49"/>
      <c r="J1" s="49"/>
      <c r="K1" s="45"/>
      <c r="L1" s="50"/>
      <c r="O1" s="45"/>
      <c r="P1" s="50"/>
      <c r="Q1" s="45"/>
      <c r="R1" s="44"/>
      <c r="T1" s="45"/>
      <c r="U1" s="44"/>
      <c r="V1" s="45"/>
    </row>
    <row r="2" spans="1:48" s="4" customFormat="1" ht="102" customHeight="1">
      <c r="A2" s="7"/>
      <c r="B2" s="43"/>
      <c r="C2" s="43"/>
      <c r="D2" s="282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47"/>
      <c r="V2" s="48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s="1" customFormat="1" ht="33" customHeight="1">
      <c r="A3" s="12"/>
      <c r="B3" s="12"/>
      <c r="C3" s="52"/>
      <c r="D3" s="284" t="s">
        <v>7</v>
      </c>
      <c r="E3" s="284"/>
      <c r="F3" s="284"/>
      <c r="G3" s="284"/>
      <c r="H3" s="284"/>
      <c r="I3" s="284"/>
      <c r="J3" s="284"/>
      <c r="K3" s="13"/>
      <c r="L3" s="14"/>
      <c r="M3" s="12"/>
      <c r="N3" s="12"/>
      <c r="O3" s="15" t="s">
        <v>31</v>
      </c>
      <c r="P3" s="16"/>
      <c r="Q3" s="16"/>
      <c r="R3" s="16"/>
      <c r="S3" s="17"/>
      <c r="T3" s="285"/>
      <c r="U3" s="285"/>
      <c r="V3" s="285"/>
      <c r="W3" s="285"/>
      <c r="X3" s="285"/>
      <c r="Y3" s="18"/>
      <c r="Z3" s="19"/>
      <c r="AA3" s="10"/>
    </row>
    <row r="4" spans="1:48" s="1" customFormat="1" ht="18.75" customHeight="1">
      <c r="A4" s="12"/>
      <c r="B4" s="12"/>
      <c r="C4" s="52"/>
      <c r="D4" s="284"/>
      <c r="E4" s="284"/>
      <c r="F4" s="284"/>
      <c r="G4" s="284"/>
      <c r="H4" s="284"/>
      <c r="I4" s="284"/>
      <c r="J4" s="284"/>
      <c r="K4" s="12"/>
      <c r="L4" s="12"/>
      <c r="M4" s="12"/>
      <c r="N4" s="12"/>
      <c r="O4" s="12"/>
      <c r="P4" s="12"/>
      <c r="Q4" s="12"/>
      <c r="R4" s="12"/>
      <c r="S4" s="12"/>
      <c r="T4" s="18"/>
      <c r="U4" s="20"/>
      <c r="V4" s="18"/>
      <c r="W4" s="19"/>
      <c r="X4" s="12"/>
      <c r="Y4" s="18"/>
      <c r="Z4" s="19"/>
      <c r="AA4" s="10"/>
    </row>
    <row r="5" spans="1:48" s="1" customFormat="1" ht="3.75" customHeight="1">
      <c r="A5" s="12"/>
      <c r="B5" s="12"/>
      <c r="C5" s="52"/>
      <c r="D5" s="284"/>
      <c r="E5" s="284"/>
      <c r="F5" s="284"/>
      <c r="G5" s="284"/>
      <c r="H5" s="284"/>
      <c r="I5" s="284"/>
      <c r="J5" s="284"/>
      <c r="K5" s="12"/>
      <c r="L5" s="12"/>
      <c r="M5" s="12"/>
      <c r="N5" s="12"/>
      <c r="O5" s="286" t="s">
        <v>24</v>
      </c>
      <c r="P5" s="286"/>
      <c r="Q5" s="286"/>
      <c r="R5" s="286"/>
      <c r="S5" s="286"/>
      <c r="T5" s="18"/>
      <c r="U5" s="20"/>
      <c r="V5" s="18"/>
      <c r="W5" s="19"/>
      <c r="X5" s="12"/>
      <c r="Y5" s="18"/>
      <c r="Z5" s="19"/>
      <c r="AA5" s="10"/>
    </row>
    <row r="6" spans="1:48" s="1" customFormat="1" ht="46.5" customHeight="1">
      <c r="A6" s="12"/>
      <c r="B6" s="12"/>
      <c r="C6" s="52"/>
      <c r="D6" s="51"/>
      <c r="E6" s="51"/>
      <c r="F6" s="288"/>
      <c r="G6" s="288"/>
      <c r="H6" s="288"/>
      <c r="I6" s="288"/>
      <c r="J6" s="288"/>
      <c r="K6" s="12"/>
      <c r="L6" s="12"/>
      <c r="M6" s="12"/>
      <c r="N6" s="22"/>
      <c r="O6" s="286"/>
      <c r="P6" s="286"/>
      <c r="Q6" s="286"/>
      <c r="R6" s="286"/>
      <c r="S6" s="286"/>
      <c r="T6" s="289"/>
      <c r="U6" s="289"/>
      <c r="V6" s="289"/>
      <c r="W6" s="289"/>
      <c r="X6" s="289"/>
      <c r="Y6" s="289"/>
      <c r="Z6" s="289"/>
      <c r="AA6" s="10"/>
    </row>
    <row r="7" spans="1:48" s="1" customFormat="1" ht="18.75" customHeight="1">
      <c r="A7" s="12"/>
      <c r="B7" s="12"/>
      <c r="C7" s="290" t="s">
        <v>22</v>
      </c>
      <c r="D7" s="290"/>
      <c r="E7" s="51"/>
      <c r="F7" s="51"/>
      <c r="G7" s="53"/>
      <c r="H7" s="53"/>
      <c r="I7" s="51"/>
      <c r="J7" s="51"/>
      <c r="K7" s="12"/>
      <c r="L7" s="12"/>
      <c r="M7" s="12"/>
      <c r="N7" s="22"/>
      <c r="O7" s="286"/>
      <c r="P7" s="286"/>
      <c r="Q7" s="286"/>
      <c r="R7" s="286"/>
      <c r="S7" s="286"/>
      <c r="T7" s="289"/>
      <c r="U7" s="289"/>
      <c r="V7" s="289"/>
      <c r="W7" s="289"/>
      <c r="X7" s="289"/>
      <c r="Y7" s="289"/>
      <c r="Z7" s="289"/>
      <c r="AA7" s="10"/>
    </row>
    <row r="8" spans="1:48" s="1" customFormat="1" ht="3.75" customHeight="1">
      <c r="A8" s="12"/>
      <c r="B8" s="12"/>
      <c r="C8" s="37"/>
      <c r="D8" s="38"/>
      <c r="E8" s="51"/>
      <c r="F8" s="51"/>
      <c r="G8" s="53"/>
      <c r="H8" s="53"/>
      <c r="I8" s="51"/>
      <c r="J8" s="51"/>
      <c r="K8" s="12"/>
      <c r="L8" s="12"/>
      <c r="M8" s="12"/>
      <c r="N8" s="22"/>
      <c r="O8" s="286"/>
      <c r="P8" s="286"/>
      <c r="Q8" s="286"/>
      <c r="R8" s="286"/>
      <c r="S8" s="286"/>
      <c r="T8" s="289"/>
      <c r="U8" s="289"/>
      <c r="V8" s="289"/>
      <c r="W8" s="289"/>
      <c r="X8" s="289"/>
      <c r="Y8" s="289"/>
      <c r="Z8" s="289"/>
      <c r="AA8" s="10"/>
    </row>
    <row r="9" spans="1:48" s="1" customFormat="1" ht="33.75" customHeight="1">
      <c r="A9" s="12"/>
      <c r="B9" s="22">
        <v>3</v>
      </c>
      <c r="C9" s="291">
        <f>J49</f>
        <v>-480.22</v>
      </c>
      <c r="D9" s="291"/>
      <c r="E9" s="51"/>
      <c r="F9" s="51"/>
      <c r="G9" s="53"/>
      <c r="H9" s="53"/>
      <c r="I9" s="51"/>
      <c r="J9" s="51"/>
      <c r="K9" s="12"/>
      <c r="L9" s="12"/>
      <c r="M9" s="12"/>
      <c r="N9" s="12"/>
      <c r="O9" s="286"/>
      <c r="P9" s="286"/>
      <c r="Q9" s="286"/>
      <c r="R9" s="286"/>
      <c r="S9" s="286"/>
      <c r="T9" s="289"/>
      <c r="U9" s="289"/>
      <c r="V9" s="289"/>
      <c r="W9" s="289"/>
      <c r="X9" s="289"/>
      <c r="Y9" s="289"/>
      <c r="Z9" s="289"/>
      <c r="AA9" s="10"/>
    </row>
    <row r="10" spans="1:48" s="1" customFormat="1" ht="22.5" customHeight="1">
      <c r="A10" s="12"/>
      <c r="B10" s="22">
        <v>2</v>
      </c>
      <c r="C10" s="290" t="s">
        <v>23</v>
      </c>
      <c r="D10" s="290"/>
      <c r="E10" s="51"/>
      <c r="F10" s="51"/>
      <c r="G10" s="53"/>
      <c r="H10" s="53"/>
      <c r="I10" s="51"/>
      <c r="J10" s="51"/>
      <c r="K10" s="12"/>
      <c r="L10" s="12"/>
      <c r="M10" s="12"/>
      <c r="N10" s="12"/>
      <c r="O10" s="286"/>
      <c r="P10" s="286"/>
      <c r="Q10" s="286"/>
      <c r="R10" s="286"/>
      <c r="S10" s="286"/>
      <c r="T10" s="289"/>
      <c r="U10" s="289"/>
      <c r="V10" s="289"/>
      <c r="W10" s="289"/>
      <c r="X10" s="289"/>
      <c r="Y10" s="289"/>
      <c r="Z10" s="289"/>
      <c r="AA10" s="10"/>
    </row>
    <row r="11" spans="1:48" s="1" customFormat="1" ht="3.75" customHeight="1">
      <c r="A11" s="12"/>
      <c r="B11" s="22"/>
      <c r="C11" s="37"/>
      <c r="D11" s="38"/>
      <c r="E11" s="51"/>
      <c r="F11" s="51"/>
      <c r="G11" s="53"/>
      <c r="H11" s="53"/>
      <c r="I11" s="51"/>
      <c r="J11" s="51"/>
      <c r="K11" s="12"/>
      <c r="L11" s="12"/>
      <c r="M11" s="12"/>
      <c r="N11" s="12"/>
      <c r="O11" s="286"/>
      <c r="P11" s="286"/>
      <c r="Q11" s="286"/>
      <c r="R11" s="286"/>
      <c r="S11" s="286"/>
      <c r="T11" s="289"/>
      <c r="U11" s="289"/>
      <c r="V11" s="289"/>
      <c r="W11" s="289"/>
      <c r="X11" s="289"/>
      <c r="Y11" s="289"/>
      <c r="Z11" s="289"/>
      <c r="AA11" s="10"/>
    </row>
    <row r="12" spans="1:48" s="1" customFormat="1" ht="31.5" customHeight="1">
      <c r="A12" s="12"/>
      <c r="B12" s="22">
        <v>11</v>
      </c>
      <c r="C12" s="292">
        <f>L49</f>
        <v>-4.8022000000000002E-2</v>
      </c>
      <c r="D12" s="292"/>
      <c r="E12" s="51"/>
      <c r="F12" s="51"/>
      <c r="G12" s="53"/>
      <c r="H12" s="53"/>
      <c r="I12" s="51"/>
      <c r="J12" s="51"/>
      <c r="K12" s="12"/>
      <c r="L12" s="12"/>
      <c r="M12" s="12"/>
      <c r="N12" s="12"/>
      <c r="O12" s="286"/>
      <c r="P12" s="286"/>
      <c r="Q12" s="286"/>
      <c r="R12" s="286"/>
      <c r="S12" s="286"/>
      <c r="T12" s="289"/>
      <c r="U12" s="289"/>
      <c r="V12" s="289"/>
      <c r="W12" s="289"/>
      <c r="X12" s="289"/>
      <c r="Y12" s="289"/>
      <c r="Z12" s="289"/>
      <c r="AA12" s="10"/>
    </row>
    <row r="13" spans="1:48" s="1" customFormat="1" ht="18.75" customHeight="1">
      <c r="A13" s="12"/>
      <c r="B13" s="12"/>
      <c r="C13" s="293" t="s">
        <v>6</v>
      </c>
      <c r="D13" s="293"/>
      <c r="E13" s="51"/>
      <c r="F13" s="51"/>
      <c r="G13" s="53"/>
      <c r="H13" s="53"/>
      <c r="I13" s="51"/>
      <c r="J13" s="51"/>
      <c r="K13" s="294"/>
      <c r="L13" s="294"/>
      <c r="M13" s="12"/>
      <c r="N13" s="12"/>
      <c r="O13" s="286"/>
      <c r="P13" s="286"/>
      <c r="Q13" s="286"/>
      <c r="R13" s="286"/>
      <c r="S13" s="286"/>
      <c r="T13" s="289"/>
      <c r="U13" s="289"/>
      <c r="V13" s="289"/>
      <c r="W13" s="289"/>
      <c r="X13" s="289"/>
      <c r="Y13" s="289"/>
      <c r="Z13" s="289"/>
      <c r="AA13" s="10"/>
    </row>
    <row r="14" spans="1:48" s="1" customFormat="1" ht="3.75" customHeight="1">
      <c r="A14" s="12"/>
      <c r="B14" s="12"/>
      <c r="C14" s="37"/>
      <c r="D14" s="38"/>
      <c r="E14" s="51"/>
      <c r="F14" s="51"/>
      <c r="G14" s="53"/>
      <c r="H14" s="53"/>
      <c r="I14" s="51"/>
      <c r="J14" s="51"/>
      <c r="K14" s="23"/>
      <c r="L14" s="24"/>
      <c r="M14" s="12"/>
      <c r="N14" s="12"/>
      <c r="O14" s="286"/>
      <c r="P14" s="286"/>
      <c r="Q14" s="286"/>
      <c r="R14" s="286"/>
      <c r="S14" s="286"/>
      <c r="T14" s="289"/>
      <c r="U14" s="289"/>
      <c r="V14" s="289"/>
      <c r="W14" s="289"/>
      <c r="X14" s="289"/>
      <c r="Y14" s="289"/>
      <c r="Z14" s="289"/>
      <c r="AA14" s="10"/>
    </row>
    <row r="15" spans="1:48" s="1" customFormat="1" ht="57.95" customHeight="1" thickBot="1">
      <c r="A15" s="12"/>
      <c r="B15" s="12"/>
      <c r="C15" s="292">
        <f>L49</f>
        <v>-4.8022000000000002E-2</v>
      </c>
      <c r="D15" s="292"/>
      <c r="E15" s="51"/>
      <c r="F15" s="51"/>
      <c r="G15" s="53"/>
      <c r="H15" s="53"/>
      <c r="I15" s="51"/>
      <c r="J15" s="51"/>
      <c r="K15" s="12"/>
      <c r="L15" s="12"/>
      <c r="M15" s="12"/>
      <c r="N15" s="12"/>
      <c r="O15" s="287"/>
      <c r="P15" s="287"/>
      <c r="Q15" s="287"/>
      <c r="R15" s="287"/>
      <c r="S15" s="287"/>
      <c r="T15" s="289"/>
      <c r="U15" s="289"/>
      <c r="V15" s="289"/>
      <c r="W15" s="289"/>
      <c r="X15" s="289"/>
      <c r="Y15" s="289"/>
      <c r="Z15" s="289"/>
      <c r="AA15" s="10"/>
    </row>
    <row r="16" spans="1:48" s="1" customFormat="1" ht="23.25" customHeight="1" thickBot="1">
      <c r="A16" s="12"/>
      <c r="B16" s="12"/>
      <c r="C16" s="20"/>
      <c r="D16" s="35">
        <v>45797</v>
      </c>
      <c r="E16" s="33" t="s">
        <v>12</v>
      </c>
      <c r="F16" s="34"/>
      <c r="G16" s="142">
        <v>10000</v>
      </c>
      <c r="H16" s="20"/>
      <c r="I16" s="21"/>
      <c r="J16" s="21"/>
      <c r="K16" s="12"/>
      <c r="L16" s="12"/>
      <c r="M16" s="12"/>
      <c r="N16" s="32"/>
      <c r="O16" s="29"/>
      <c r="P16" s="20"/>
      <c r="Q16" s="29"/>
      <c r="R16" s="20"/>
      <c r="S16" s="21"/>
      <c r="T16" s="281"/>
      <c r="U16" s="281"/>
      <c r="V16" s="281"/>
      <c r="W16" s="12"/>
      <c r="X16" s="12"/>
      <c r="Y16" s="12"/>
      <c r="Z16" s="12"/>
      <c r="AA16" s="10"/>
    </row>
    <row r="17" spans="1:27" s="1" customFormat="1" ht="18.75" customHeight="1" thickBot="1">
      <c r="A17" s="25"/>
      <c r="B17" s="20"/>
      <c r="C17" s="20"/>
      <c r="D17" s="20"/>
      <c r="E17" s="20"/>
      <c r="F17" s="20"/>
      <c r="G17" s="20"/>
      <c r="H17" s="20"/>
      <c r="I17" s="21"/>
      <c r="J17" s="21"/>
      <c r="K17" s="12"/>
      <c r="L17" s="12"/>
      <c r="M17" s="12"/>
      <c r="N17" s="32"/>
      <c r="O17" s="29"/>
      <c r="P17" s="20"/>
      <c r="Q17" s="29"/>
      <c r="R17" s="20"/>
      <c r="S17" s="21"/>
      <c r="T17" s="12"/>
      <c r="U17" s="26"/>
      <c r="V17" s="27"/>
      <c r="W17" s="12"/>
      <c r="X17" s="12"/>
      <c r="Y17" s="12"/>
      <c r="Z17" s="12"/>
      <c r="AA17" s="10"/>
    </row>
    <row r="18" spans="1:27" ht="18.75" customHeight="1" thickBot="1">
      <c r="A18" s="20"/>
      <c r="B18" s="89"/>
      <c r="C18" s="90"/>
      <c r="D18" s="90" t="s">
        <v>17</v>
      </c>
      <c r="E18" s="90"/>
      <c r="F18" s="91"/>
      <c r="G18" s="91"/>
      <c r="H18" s="92" t="s">
        <v>27</v>
      </c>
      <c r="I18" s="131"/>
      <c r="J18" s="133"/>
      <c r="K18" s="93" t="s">
        <v>21</v>
      </c>
      <c r="L18" s="94"/>
      <c r="M18" s="54"/>
      <c r="N18" s="32"/>
      <c r="O18" s="36"/>
      <c r="P18" s="125">
        <v>760</v>
      </c>
      <c r="Q18" s="112"/>
      <c r="R18" s="67"/>
      <c r="S18" s="127">
        <f t="shared" ref="S18:S34" si="0">Q18*-R18</f>
        <v>0</v>
      </c>
      <c r="T18" s="39"/>
      <c r="U18" s="20"/>
      <c r="V18" s="55"/>
      <c r="W18" s="56" t="s">
        <v>8</v>
      </c>
      <c r="X18" s="57"/>
      <c r="Y18" s="12"/>
      <c r="Z18" s="12"/>
      <c r="AA18" s="11"/>
    </row>
    <row r="19" spans="1:27" ht="18" customHeight="1" thickBot="1">
      <c r="A19" s="30"/>
      <c r="B19" s="95" t="s">
        <v>3</v>
      </c>
      <c r="C19" s="95" t="s">
        <v>1</v>
      </c>
      <c r="D19" s="96" t="s">
        <v>2</v>
      </c>
      <c r="E19" s="96" t="s">
        <v>11</v>
      </c>
      <c r="F19" s="96" t="s">
        <v>5</v>
      </c>
      <c r="G19" s="96" t="s">
        <v>9</v>
      </c>
      <c r="H19" s="97" t="s">
        <v>4</v>
      </c>
      <c r="I19" s="132" t="s">
        <v>26</v>
      </c>
      <c r="J19" s="134" t="s">
        <v>18</v>
      </c>
      <c r="K19" s="98" t="s">
        <v>19</v>
      </c>
      <c r="L19" s="99" t="s">
        <v>20</v>
      </c>
      <c r="M19" s="54"/>
      <c r="N19" s="32"/>
      <c r="O19" s="36"/>
      <c r="P19" s="68">
        <v>820</v>
      </c>
      <c r="Q19" s="113"/>
      <c r="R19" s="69"/>
      <c r="S19" s="70">
        <f t="shared" si="0"/>
        <v>0</v>
      </c>
      <c r="T19" s="39"/>
      <c r="U19" s="20"/>
      <c r="V19" s="58" t="s">
        <v>1</v>
      </c>
      <c r="W19" s="59" t="s">
        <v>9</v>
      </c>
      <c r="X19" s="60" t="s">
        <v>10</v>
      </c>
      <c r="Y19" s="12"/>
      <c r="Z19" s="12"/>
      <c r="AA19" s="11"/>
    </row>
    <row r="20" spans="1:27" ht="18" customHeight="1" thickBot="1">
      <c r="A20" s="30"/>
      <c r="B20" s="212">
        <v>1</v>
      </c>
      <c r="C20" s="199">
        <v>46009</v>
      </c>
      <c r="D20" s="200" t="s">
        <v>54</v>
      </c>
      <c r="E20" s="201">
        <v>0.3</v>
      </c>
      <c r="F20" s="210">
        <f>(0.3*370)/E20</f>
        <v>370</v>
      </c>
      <c r="G20" s="203">
        <f t="shared" ref="G20:G21" si="1">-E20*F20</f>
        <v>-111</v>
      </c>
      <c r="H20" s="204">
        <v>0</v>
      </c>
      <c r="I20" s="205">
        <f t="shared" ref="I20:I21" si="2">E20*H20</f>
        <v>0</v>
      </c>
      <c r="J20" s="206">
        <f t="shared" ref="J20:J21" si="3">E20*(H20-F20)</f>
        <v>-111</v>
      </c>
      <c r="K20" s="207">
        <f>-J20/G20</f>
        <v>-1</v>
      </c>
      <c r="L20" s="208">
        <f>(J20)/10000</f>
        <v>-1.11E-2</v>
      </c>
      <c r="M20" s="54"/>
      <c r="N20" s="32"/>
      <c r="O20" s="36"/>
      <c r="P20" s="129">
        <v>830</v>
      </c>
      <c r="Q20" s="114"/>
      <c r="R20" s="71"/>
      <c r="S20" s="130">
        <f t="shared" si="0"/>
        <v>0</v>
      </c>
      <c r="T20" s="39"/>
      <c r="U20" s="20"/>
      <c r="V20" s="109">
        <v>45919</v>
      </c>
      <c r="W20" s="110">
        <v>10000</v>
      </c>
      <c r="X20" s="111">
        <f>(W20-10000)/10000</f>
        <v>0</v>
      </c>
      <c r="Y20" s="12"/>
      <c r="Z20" s="12"/>
      <c r="AA20" s="11"/>
    </row>
    <row r="21" spans="1:27" ht="18" customHeight="1" thickBot="1">
      <c r="A21" s="30"/>
      <c r="B21" s="212">
        <v>2</v>
      </c>
      <c r="C21" s="199">
        <v>46009</v>
      </c>
      <c r="D21" s="200" t="s">
        <v>55</v>
      </c>
      <c r="E21" s="201">
        <v>0.3</v>
      </c>
      <c r="F21" s="210">
        <f>(0.3*315)/E21</f>
        <v>315</v>
      </c>
      <c r="G21" s="203">
        <f t="shared" si="1"/>
        <v>-94.5</v>
      </c>
      <c r="H21" s="204">
        <v>0</v>
      </c>
      <c r="I21" s="205">
        <f t="shared" si="2"/>
        <v>0</v>
      </c>
      <c r="J21" s="206">
        <f t="shared" si="3"/>
        <v>-94.5</v>
      </c>
      <c r="K21" s="207">
        <f>-J21/G21</f>
        <v>-1</v>
      </c>
      <c r="L21" s="208">
        <f t="shared" ref="L21" si="4">(J21)/10000</f>
        <v>-9.4500000000000001E-3</v>
      </c>
      <c r="M21" s="54"/>
      <c r="N21" s="32"/>
      <c r="O21" s="124">
        <f>O22-Q22-Q18</f>
        <v>0</v>
      </c>
      <c r="P21" s="72">
        <v>750</v>
      </c>
      <c r="Q21" s="115"/>
      <c r="R21" s="73"/>
      <c r="S21" s="74">
        <f t="shared" si="0"/>
        <v>0</v>
      </c>
      <c r="T21" s="122">
        <f>-(P22-P21)*O21*100+T22</f>
        <v>0</v>
      </c>
      <c r="U21" s="20"/>
      <c r="V21" s="61">
        <v>45942</v>
      </c>
      <c r="W21" s="62">
        <f>10478.4</f>
        <v>10478.4</v>
      </c>
      <c r="X21" s="213">
        <f>W21/10000-1</f>
        <v>4.7839999999999883E-2</v>
      </c>
      <c r="Y21" s="12"/>
      <c r="Z21" s="12"/>
      <c r="AA21" s="11"/>
    </row>
    <row r="22" spans="1:27" ht="18.75" customHeight="1" thickBot="1">
      <c r="A22" s="30"/>
      <c r="B22" s="212">
        <v>3</v>
      </c>
      <c r="C22" s="199">
        <v>46040</v>
      </c>
      <c r="D22" s="200" t="s">
        <v>54</v>
      </c>
      <c r="E22" s="201">
        <v>-0.1</v>
      </c>
      <c r="F22" s="210">
        <f>-(0.1*578.2)/E22</f>
        <v>578.20000000000005</v>
      </c>
      <c r="G22" s="203">
        <f t="shared" ref="G22" si="5">-E22*F22</f>
        <v>57.820000000000007</v>
      </c>
      <c r="H22" s="204">
        <v>0</v>
      </c>
      <c r="I22" s="205">
        <f t="shared" ref="I22" si="6">E22*H22</f>
        <v>0</v>
      </c>
      <c r="J22" s="206">
        <f t="shared" ref="J22" si="7">E22*(H22-F22)</f>
        <v>57.820000000000007</v>
      </c>
      <c r="K22" s="207">
        <f>-J22/G22</f>
        <v>-1</v>
      </c>
      <c r="L22" s="208">
        <f t="shared" ref="L22" si="8">(J22)/10000</f>
        <v>5.7820000000000007E-3</v>
      </c>
      <c r="M22" s="21"/>
      <c r="N22" s="32"/>
      <c r="O22" s="118">
        <f t="shared" ref="O22:O30" si="9">O23-Q23</f>
        <v>0</v>
      </c>
      <c r="P22" s="76">
        <v>760</v>
      </c>
      <c r="Q22" s="116"/>
      <c r="R22" s="77"/>
      <c r="S22" s="74">
        <f t="shared" si="0"/>
        <v>0</v>
      </c>
      <c r="T22" s="75">
        <f>-(P23-P22)*O22*100+T23</f>
        <v>0</v>
      </c>
      <c r="U22" s="20"/>
      <c r="V22" s="63"/>
      <c r="W22" s="64"/>
      <c r="X22" s="65"/>
      <c r="Y22" s="21"/>
      <c r="Z22" s="12"/>
      <c r="AA22" s="11"/>
    </row>
    <row r="23" spans="1:27" ht="21.75" customHeight="1" thickBot="1">
      <c r="A23" s="30"/>
      <c r="B23" s="212">
        <v>3</v>
      </c>
      <c r="C23" s="199">
        <v>46040</v>
      </c>
      <c r="D23" s="200" t="s">
        <v>55</v>
      </c>
      <c r="E23" s="201">
        <v>-0.3</v>
      </c>
      <c r="F23" s="210">
        <f>-(0.3*57.6)/E23</f>
        <v>57.600000000000009</v>
      </c>
      <c r="G23" s="203">
        <f>-E23*F23</f>
        <v>17.28</v>
      </c>
      <c r="H23" s="204">
        <v>0</v>
      </c>
      <c r="I23" s="205">
        <f>E23*H23</f>
        <v>0</v>
      </c>
      <c r="J23" s="206">
        <f>E23*(H23-F23)</f>
        <v>17.28</v>
      </c>
      <c r="K23" s="207">
        <f>-J23/G23</f>
        <v>-1</v>
      </c>
      <c r="L23" s="208">
        <f>(J23)/10000</f>
        <v>1.7280000000000002E-3</v>
      </c>
      <c r="M23" s="66"/>
      <c r="N23" s="32"/>
      <c r="O23" s="118">
        <f t="shared" si="9"/>
        <v>0</v>
      </c>
      <c r="P23" s="76">
        <v>770</v>
      </c>
      <c r="Q23" s="116"/>
      <c r="R23" s="77"/>
      <c r="S23" s="74">
        <f t="shared" si="0"/>
        <v>0</v>
      </c>
      <c r="T23" s="75">
        <f t="shared" ref="T23:T27" si="10">-(P24-P23)*O23*100+T24</f>
        <v>0</v>
      </c>
      <c r="U23" s="20"/>
      <c r="V23" s="29"/>
      <c r="W23" s="21"/>
      <c r="X23" s="21"/>
      <c r="Y23" s="21"/>
      <c r="Z23" s="12"/>
      <c r="AA23" s="11"/>
    </row>
    <row r="24" spans="1:27" ht="18.75" customHeight="1" thickBot="1">
      <c r="A24" s="30"/>
      <c r="B24" s="212">
        <v>4</v>
      </c>
      <c r="C24" s="199">
        <v>46040</v>
      </c>
      <c r="D24" s="200" t="s">
        <v>35</v>
      </c>
      <c r="E24" s="201">
        <v>1E-3</v>
      </c>
      <c r="F24" s="210">
        <v>0</v>
      </c>
      <c r="G24" s="203">
        <v>18.91</v>
      </c>
      <c r="H24" s="204">
        <v>0</v>
      </c>
      <c r="I24" s="205">
        <f>G24</f>
        <v>18.91</v>
      </c>
      <c r="J24" s="206">
        <f>I24</f>
        <v>18.91</v>
      </c>
      <c r="K24" s="207">
        <v>0</v>
      </c>
      <c r="L24" s="208">
        <f>(J24)/10000</f>
        <v>1.8910000000000001E-3</v>
      </c>
      <c r="M24" s="21"/>
      <c r="N24" s="32"/>
      <c r="O24" s="119">
        <f t="shared" si="9"/>
        <v>0</v>
      </c>
      <c r="P24" s="126">
        <v>785</v>
      </c>
      <c r="Q24" s="116"/>
      <c r="R24" s="77"/>
      <c r="S24" s="128">
        <f t="shared" si="0"/>
        <v>0</v>
      </c>
      <c r="T24" s="75">
        <f t="shared" si="10"/>
        <v>0</v>
      </c>
      <c r="U24" s="20"/>
      <c r="V24" s="29"/>
      <c r="W24" s="21"/>
      <c r="X24" s="21"/>
      <c r="Y24" s="21"/>
      <c r="Z24" s="12"/>
      <c r="AA24" s="11"/>
    </row>
    <row r="25" spans="1:27" ht="18.75" customHeight="1" thickBot="1">
      <c r="A25" s="30"/>
      <c r="B25" s="212">
        <v>5</v>
      </c>
      <c r="C25" s="199">
        <v>46046</v>
      </c>
      <c r="D25" s="200" t="s">
        <v>56</v>
      </c>
      <c r="E25" s="201">
        <v>10</v>
      </c>
      <c r="F25" s="210">
        <v>0.5</v>
      </c>
      <c r="G25" s="203">
        <f>-E25*F25</f>
        <v>-5</v>
      </c>
      <c r="H25" s="204">
        <v>0</v>
      </c>
      <c r="I25" s="205">
        <f t="shared" ref="I25" si="11">E25*H25</f>
        <v>0</v>
      </c>
      <c r="J25" s="206">
        <f t="shared" ref="J25" si="12">E25*(H25-F25)</f>
        <v>-5</v>
      </c>
      <c r="K25" s="207">
        <f>-J25/G25</f>
        <v>-1</v>
      </c>
      <c r="L25" s="208">
        <f t="shared" ref="L25" si="13">(J25)/10000</f>
        <v>-5.0000000000000001E-4</v>
      </c>
      <c r="M25" s="21"/>
      <c r="N25" s="32"/>
      <c r="O25" s="119">
        <f t="shared" si="9"/>
        <v>0</v>
      </c>
      <c r="P25" s="76">
        <v>800</v>
      </c>
      <c r="Q25" s="116"/>
      <c r="R25" s="77"/>
      <c r="S25" s="74">
        <f t="shared" si="0"/>
        <v>0</v>
      </c>
      <c r="T25" s="75">
        <f t="shared" si="10"/>
        <v>0</v>
      </c>
      <c r="U25" s="20"/>
      <c r="V25" s="29"/>
      <c r="W25" s="21"/>
      <c r="X25" s="21"/>
      <c r="Y25" s="21"/>
      <c r="Z25" s="12"/>
      <c r="AA25" s="11"/>
    </row>
    <row r="26" spans="1:27" ht="20.25" customHeight="1" thickBot="1">
      <c r="A26" s="30"/>
      <c r="B26" s="212">
        <v>6</v>
      </c>
      <c r="C26" s="199">
        <v>46046</v>
      </c>
      <c r="D26" s="200" t="s">
        <v>35</v>
      </c>
      <c r="E26" s="201">
        <v>1E-3</v>
      </c>
      <c r="F26" s="210">
        <v>0</v>
      </c>
      <c r="G26" s="203">
        <v>4.45</v>
      </c>
      <c r="H26" s="204">
        <v>0</v>
      </c>
      <c r="I26" s="205">
        <f>G26</f>
        <v>4.45</v>
      </c>
      <c r="J26" s="206">
        <f>I26</f>
        <v>4.45</v>
      </c>
      <c r="K26" s="207">
        <v>0</v>
      </c>
      <c r="L26" s="208">
        <f>(J26)/10000</f>
        <v>4.4500000000000003E-4</v>
      </c>
      <c r="M26" s="21"/>
      <c r="N26" s="32"/>
      <c r="O26" s="119">
        <f>O27-Q27-Q19</f>
        <v>0</v>
      </c>
      <c r="P26" s="76">
        <v>810</v>
      </c>
      <c r="Q26" s="116"/>
      <c r="R26" s="77"/>
      <c r="S26" s="74">
        <f t="shared" si="0"/>
        <v>0</v>
      </c>
      <c r="T26" s="75">
        <f t="shared" si="10"/>
        <v>0</v>
      </c>
      <c r="U26" s="20"/>
      <c r="V26" s="29"/>
      <c r="W26" s="21"/>
      <c r="X26" s="21"/>
      <c r="Y26" s="21"/>
      <c r="Z26" s="12"/>
      <c r="AA26" s="11"/>
    </row>
    <row r="27" spans="1:27" s="21" customFormat="1" ht="21.75" customHeight="1" thickBot="1">
      <c r="A27" s="30"/>
      <c r="B27" s="212">
        <v>6</v>
      </c>
      <c r="C27" s="199">
        <v>46053</v>
      </c>
      <c r="D27" s="200" t="s">
        <v>54</v>
      </c>
      <c r="E27" s="201">
        <v>-0.2</v>
      </c>
      <c r="F27" s="210">
        <f>-(0.2*76.3)/E27</f>
        <v>76.3</v>
      </c>
      <c r="G27" s="203">
        <f t="shared" ref="G27" si="14">-E27*F27</f>
        <v>15.26</v>
      </c>
      <c r="H27" s="204">
        <v>0</v>
      </c>
      <c r="I27" s="205">
        <f t="shared" ref="I27" si="15">E27*H27</f>
        <v>0</v>
      </c>
      <c r="J27" s="206">
        <f t="shared" ref="J27" si="16">E27*(H27-F27)</f>
        <v>15.26</v>
      </c>
      <c r="K27" s="207">
        <f>-J27/G27</f>
        <v>-1</v>
      </c>
      <c r="L27" s="208">
        <f t="shared" ref="L27" si="17">(J27)/10000</f>
        <v>1.526E-3</v>
      </c>
      <c r="N27" s="32"/>
      <c r="O27" s="119">
        <f>O28-Q28-Q20</f>
        <v>0</v>
      </c>
      <c r="P27" s="136">
        <v>815</v>
      </c>
      <c r="Q27" s="116"/>
      <c r="R27" s="77"/>
      <c r="S27" s="137">
        <f t="shared" si="0"/>
        <v>0</v>
      </c>
      <c r="T27" s="75">
        <f t="shared" si="10"/>
        <v>0</v>
      </c>
      <c r="U27" s="20"/>
      <c r="V27" s="29"/>
      <c r="Z27" s="12"/>
    </row>
    <row r="28" spans="1:27" s="21" customFormat="1" ht="20.25" customHeight="1" thickBot="1">
      <c r="A28" s="30"/>
      <c r="B28" s="212">
        <v>7</v>
      </c>
      <c r="C28" s="199">
        <v>46053</v>
      </c>
      <c r="D28" s="200" t="s">
        <v>57</v>
      </c>
      <c r="E28" s="201">
        <v>0.2</v>
      </c>
      <c r="F28" s="210">
        <f>(0.2*150)/E28</f>
        <v>150</v>
      </c>
      <c r="G28" s="203">
        <f t="shared" ref="G28:G29" si="18">-E28*F28</f>
        <v>-30</v>
      </c>
      <c r="H28" s="204">
        <v>0</v>
      </c>
      <c r="I28" s="205">
        <f t="shared" ref="I28:I29" si="19">E28*H28</f>
        <v>0</v>
      </c>
      <c r="J28" s="206">
        <f t="shared" ref="J28:J29" si="20">E28*(H28-F28)</f>
        <v>-30</v>
      </c>
      <c r="K28" s="207">
        <f t="shared" ref="K28:K29" si="21">-J28/G28</f>
        <v>-1</v>
      </c>
      <c r="L28" s="208">
        <f t="shared" ref="L28:L29" si="22">(J28)/10000</f>
        <v>-3.0000000000000001E-3</v>
      </c>
      <c r="N28" s="32"/>
      <c r="O28" s="119">
        <f t="shared" si="9"/>
        <v>0</v>
      </c>
      <c r="P28" s="79">
        <v>817</v>
      </c>
      <c r="Q28" s="116"/>
      <c r="R28" s="77"/>
      <c r="S28" s="120">
        <f t="shared" si="0"/>
        <v>0</v>
      </c>
      <c r="T28" s="121">
        <f>S36</f>
        <v>0</v>
      </c>
      <c r="U28" s="20"/>
      <c r="V28" s="29"/>
      <c r="Z28" s="12"/>
    </row>
    <row r="29" spans="1:27" s="21" customFormat="1" ht="21.75" customHeight="1" thickBot="1">
      <c r="A29" s="30"/>
      <c r="B29" s="212">
        <v>8</v>
      </c>
      <c r="C29" s="199">
        <v>46053</v>
      </c>
      <c r="D29" s="200" t="s">
        <v>57</v>
      </c>
      <c r="E29" s="201">
        <v>-0.2</v>
      </c>
      <c r="F29" s="210">
        <f>-(0.2*95)/E29</f>
        <v>95</v>
      </c>
      <c r="G29" s="203">
        <f t="shared" si="18"/>
        <v>19</v>
      </c>
      <c r="H29" s="204">
        <v>0</v>
      </c>
      <c r="I29" s="205">
        <f t="shared" si="19"/>
        <v>0</v>
      </c>
      <c r="J29" s="206">
        <f t="shared" si="20"/>
        <v>19</v>
      </c>
      <c r="K29" s="207">
        <f t="shared" si="21"/>
        <v>-1</v>
      </c>
      <c r="L29" s="208">
        <f t="shared" si="22"/>
        <v>1.9E-3</v>
      </c>
      <c r="O29" s="119">
        <f t="shared" si="9"/>
        <v>0</v>
      </c>
      <c r="P29" s="76">
        <v>820</v>
      </c>
      <c r="Q29" s="116"/>
      <c r="R29" s="77"/>
      <c r="S29" s="74">
        <f t="shared" si="0"/>
        <v>0</v>
      </c>
      <c r="T29" s="78">
        <f t="shared" ref="T29:T32" si="23">(P29-P28)*O28*100+T28</f>
        <v>0</v>
      </c>
      <c r="U29" s="20"/>
      <c r="V29" s="29"/>
      <c r="Z29" s="12"/>
    </row>
    <row r="30" spans="1:27" s="21" customFormat="1" ht="21.75" customHeight="1" thickBot="1">
      <c r="A30" s="30"/>
      <c r="B30" s="212">
        <v>9</v>
      </c>
      <c r="C30" s="199">
        <v>46053</v>
      </c>
      <c r="D30" s="200" t="s">
        <v>58</v>
      </c>
      <c r="E30" s="201">
        <v>0.2</v>
      </c>
      <c r="F30" s="210">
        <f>(0.2*180)/E30</f>
        <v>180</v>
      </c>
      <c r="G30" s="203">
        <f t="shared" ref="G30" si="24">-E30*F30</f>
        <v>-36</v>
      </c>
      <c r="H30" s="204">
        <v>0</v>
      </c>
      <c r="I30" s="205">
        <f t="shared" ref="I30" si="25">E30*H30</f>
        <v>0</v>
      </c>
      <c r="J30" s="206">
        <f t="shared" ref="J30" si="26">E30*(H30-F30)</f>
        <v>-36</v>
      </c>
      <c r="K30" s="207">
        <f t="shared" ref="K30" si="27">-J30/G30</f>
        <v>-1</v>
      </c>
      <c r="L30" s="208">
        <f t="shared" ref="L30" si="28">(J30)/10000</f>
        <v>-3.5999999999999999E-3</v>
      </c>
      <c r="O30" s="119">
        <f t="shared" si="9"/>
        <v>0</v>
      </c>
      <c r="P30" s="76">
        <v>840</v>
      </c>
      <c r="Q30" s="116"/>
      <c r="R30" s="77"/>
      <c r="S30" s="74">
        <f t="shared" si="0"/>
        <v>0</v>
      </c>
      <c r="T30" s="78">
        <f t="shared" si="23"/>
        <v>0</v>
      </c>
      <c r="U30" s="20"/>
      <c r="V30" s="29"/>
      <c r="Z30" s="12"/>
    </row>
    <row r="31" spans="1:27" s="21" customFormat="1" ht="21" customHeight="1" thickBot="1">
      <c r="B31" s="212">
        <v>10</v>
      </c>
      <c r="C31" s="199">
        <v>46053</v>
      </c>
      <c r="D31" s="200" t="s">
        <v>35</v>
      </c>
      <c r="E31" s="201">
        <v>1E-3</v>
      </c>
      <c r="F31" s="210">
        <v>0</v>
      </c>
      <c r="G31" s="203">
        <v>0.35</v>
      </c>
      <c r="H31" s="204">
        <v>0</v>
      </c>
      <c r="I31" s="205">
        <f>G31</f>
        <v>0.35</v>
      </c>
      <c r="J31" s="206">
        <f>I31</f>
        <v>0.35</v>
      </c>
      <c r="K31" s="207">
        <v>0</v>
      </c>
      <c r="L31" s="208">
        <f>(J31)/10000</f>
        <v>3.4999999999999997E-5</v>
      </c>
      <c r="O31" s="119">
        <f>O32-Q32</f>
        <v>0</v>
      </c>
      <c r="P31" s="76">
        <v>860</v>
      </c>
      <c r="Q31" s="116"/>
      <c r="R31" s="77"/>
      <c r="S31" s="74">
        <f t="shared" si="0"/>
        <v>0</v>
      </c>
      <c r="T31" s="78">
        <f t="shared" si="23"/>
        <v>0</v>
      </c>
      <c r="U31" s="20"/>
      <c r="V31" s="29"/>
      <c r="Z31" s="12"/>
    </row>
    <row r="32" spans="1:27" s="21" customFormat="1" ht="20.25" customHeight="1" thickBot="1">
      <c r="B32" s="212">
        <v>11</v>
      </c>
      <c r="C32" s="199">
        <v>46055</v>
      </c>
      <c r="D32" s="200" t="s">
        <v>35</v>
      </c>
      <c r="E32" s="201">
        <v>1E-3</v>
      </c>
      <c r="F32" s="210">
        <v>0</v>
      </c>
      <c r="G32" s="203">
        <v>1.33</v>
      </c>
      <c r="H32" s="204">
        <v>0</v>
      </c>
      <c r="I32" s="205">
        <f>G32</f>
        <v>1.33</v>
      </c>
      <c r="J32" s="206">
        <f>I32</f>
        <v>1.33</v>
      </c>
      <c r="K32" s="207">
        <v>0</v>
      </c>
      <c r="L32" s="208">
        <f>(J32)/10000</f>
        <v>1.3300000000000001E-4</v>
      </c>
      <c r="O32" s="118">
        <f>O33-Q33</f>
        <v>0</v>
      </c>
      <c r="P32" s="126">
        <v>870</v>
      </c>
      <c r="Q32" s="116"/>
      <c r="R32" s="77"/>
      <c r="S32" s="128">
        <f t="shared" si="0"/>
        <v>0</v>
      </c>
      <c r="T32" s="78">
        <f t="shared" si="23"/>
        <v>0</v>
      </c>
      <c r="U32" s="20"/>
      <c r="V32" s="29"/>
    </row>
    <row r="33" spans="2:22" s="21" customFormat="1" ht="21.75" customHeight="1" thickBot="1">
      <c r="B33" s="212">
        <v>12</v>
      </c>
      <c r="C33" s="199">
        <v>46055</v>
      </c>
      <c r="D33" s="200" t="s">
        <v>63</v>
      </c>
      <c r="E33" s="201">
        <f>0.2+0.8</f>
        <v>1</v>
      </c>
      <c r="F33" s="210">
        <f>(0.2*210+0.8*149.4)/E33</f>
        <v>161.52000000000001</v>
      </c>
      <c r="G33" s="203">
        <f t="shared" ref="G33" si="29">-E33*F33</f>
        <v>-161.52000000000001</v>
      </c>
      <c r="H33" s="204">
        <v>67.2</v>
      </c>
      <c r="I33" s="205">
        <f t="shared" ref="I33" si="30">E33*H33</f>
        <v>67.2</v>
      </c>
      <c r="J33" s="206">
        <f t="shared" ref="J33" si="31">E33*(H33-F33)</f>
        <v>-94.320000000000007</v>
      </c>
      <c r="K33" s="207">
        <f t="shared" ref="K33" si="32">-J33/G33</f>
        <v>-0.58395245170876675</v>
      </c>
      <c r="L33" s="208">
        <f t="shared" ref="L33" si="33">(J33)/10000</f>
        <v>-9.4320000000000011E-3</v>
      </c>
      <c r="O33" s="118">
        <f>O34-Q34</f>
        <v>0</v>
      </c>
      <c r="P33" s="126">
        <v>890</v>
      </c>
      <c r="Q33" s="116"/>
      <c r="R33" s="77"/>
      <c r="S33" s="128">
        <f t="shared" si="0"/>
        <v>0</v>
      </c>
      <c r="T33" s="78">
        <f>(P33-P32)*O32*100+T32</f>
        <v>0</v>
      </c>
      <c r="U33" s="20"/>
      <c r="V33" s="29"/>
    </row>
    <row r="34" spans="2:22" s="21" customFormat="1" ht="20.25" customHeight="1" thickBot="1">
      <c r="B34" s="212">
        <v>13</v>
      </c>
      <c r="C34" s="199">
        <v>46057</v>
      </c>
      <c r="D34" s="200" t="s">
        <v>58</v>
      </c>
      <c r="E34" s="201">
        <v>-0.2</v>
      </c>
      <c r="F34" s="210">
        <f>-(0.2*103.3)/E34</f>
        <v>103.3</v>
      </c>
      <c r="G34" s="203">
        <f t="shared" ref="G34:G35" si="34">-E34*F34</f>
        <v>20.66</v>
      </c>
      <c r="H34" s="204">
        <v>0</v>
      </c>
      <c r="I34" s="205">
        <f t="shared" ref="I34:I35" si="35">E34*H34</f>
        <v>0</v>
      </c>
      <c r="J34" s="206">
        <f t="shared" ref="J34:J35" si="36">E34*(H34-F34)</f>
        <v>20.66</v>
      </c>
      <c r="K34" s="207">
        <f t="shared" ref="K34:K35" si="37">-J34/G34</f>
        <v>-1</v>
      </c>
      <c r="L34" s="208">
        <f t="shared" ref="L34:L35" si="38">(J34)/10000</f>
        <v>2.0660000000000001E-3</v>
      </c>
      <c r="O34" s="123">
        <f>SUM(Q21:Q35)+Q36</f>
        <v>0</v>
      </c>
      <c r="P34" s="81">
        <v>900</v>
      </c>
      <c r="Q34" s="117"/>
      <c r="R34" s="82"/>
      <c r="S34" s="74">
        <f t="shared" si="0"/>
        <v>0</v>
      </c>
      <c r="T34" s="80">
        <f>(P34-P33)*O33*100+T33</f>
        <v>0</v>
      </c>
      <c r="U34" s="20"/>
      <c r="V34" s="29"/>
    </row>
    <row r="35" spans="2:22" s="21" customFormat="1" ht="21" customHeight="1" thickBot="1">
      <c r="B35" s="212">
        <v>14</v>
      </c>
      <c r="C35" s="199">
        <v>46057</v>
      </c>
      <c r="D35" s="200" t="s">
        <v>59</v>
      </c>
      <c r="E35" s="201">
        <v>0.5</v>
      </c>
      <c r="F35" s="210">
        <f>(0.2*155+0.3*175.8)/E35</f>
        <v>167.48000000000002</v>
      </c>
      <c r="G35" s="203">
        <f t="shared" si="34"/>
        <v>-83.740000000000009</v>
      </c>
      <c r="H35" s="204">
        <v>0</v>
      </c>
      <c r="I35" s="205">
        <f t="shared" si="35"/>
        <v>0</v>
      </c>
      <c r="J35" s="206">
        <f t="shared" si="36"/>
        <v>-83.740000000000009</v>
      </c>
      <c r="K35" s="207">
        <f t="shared" si="37"/>
        <v>-1</v>
      </c>
      <c r="L35" s="208">
        <f t="shared" si="38"/>
        <v>-8.3740000000000012E-3</v>
      </c>
      <c r="O35" s="84" t="s">
        <v>25</v>
      </c>
      <c r="P35" s="85"/>
      <c r="Q35" s="86"/>
      <c r="R35" s="86"/>
      <c r="S35" s="87"/>
      <c r="T35" s="83"/>
      <c r="U35" s="20"/>
      <c r="V35" s="29"/>
    </row>
    <row r="36" spans="2:22" s="21" customFormat="1" ht="20.25" customHeight="1" thickBot="1">
      <c r="B36" s="212">
        <v>15</v>
      </c>
      <c r="C36" s="199">
        <v>46058</v>
      </c>
      <c r="D36" s="200" t="s">
        <v>60</v>
      </c>
      <c r="E36" s="201">
        <v>0.5</v>
      </c>
      <c r="F36" s="210">
        <f>(0.5*155.2)/E36</f>
        <v>155.19999999999999</v>
      </c>
      <c r="G36" s="203">
        <f t="shared" ref="G36" si="39">-E36*F36</f>
        <v>-77.599999999999994</v>
      </c>
      <c r="H36" s="204">
        <v>0</v>
      </c>
      <c r="I36" s="205">
        <f t="shared" ref="I36" si="40">E36*H36</f>
        <v>0</v>
      </c>
      <c r="J36" s="206">
        <f t="shared" ref="J36" si="41">E36*(H36-F36)</f>
        <v>-77.599999999999994</v>
      </c>
      <c r="K36" s="207">
        <f t="shared" ref="K36" si="42">-J36/G36</f>
        <v>-1</v>
      </c>
      <c r="L36" s="208">
        <f t="shared" ref="L36" si="43">(J36)/10000</f>
        <v>-7.7599999999999995E-3</v>
      </c>
      <c r="O36" s="66"/>
      <c r="P36" s="66"/>
      <c r="Q36" s="88">
        <f>SUM(Q37:Q45)</f>
        <v>0</v>
      </c>
      <c r="R36" s="158">
        <f>0</f>
        <v>0</v>
      </c>
      <c r="S36" s="159">
        <f>SUM(S18:S35)</f>
        <v>0</v>
      </c>
      <c r="T36" s="39"/>
      <c r="U36" s="20"/>
      <c r="V36" s="29"/>
    </row>
    <row r="37" spans="2:22" s="21" customFormat="1" ht="21" customHeight="1" thickBot="1">
      <c r="B37" s="212">
        <v>16</v>
      </c>
      <c r="C37" s="199">
        <v>46057</v>
      </c>
      <c r="D37" s="200" t="s">
        <v>35</v>
      </c>
      <c r="E37" s="201">
        <v>1E-3</v>
      </c>
      <c r="F37" s="210">
        <v>0</v>
      </c>
      <c r="G37" s="203">
        <v>2.2400000000000002</v>
      </c>
      <c r="H37" s="204">
        <v>0</v>
      </c>
      <c r="I37" s="205">
        <f t="shared" ref="I37:I38" si="44">G37</f>
        <v>2.2400000000000002</v>
      </c>
      <c r="J37" s="206">
        <f t="shared" ref="J37:J38" si="45">I37</f>
        <v>2.2400000000000002</v>
      </c>
      <c r="K37" s="207">
        <v>0</v>
      </c>
      <c r="L37" s="208">
        <f>(J37)/10000</f>
        <v>2.2400000000000002E-4</v>
      </c>
      <c r="O37" s="66"/>
      <c r="P37" s="195" t="s">
        <v>30</v>
      </c>
      <c r="Q37" s="196">
        <v>0</v>
      </c>
      <c r="R37" s="160"/>
      <c r="S37" s="161">
        <v>0</v>
      </c>
      <c r="T37" s="39"/>
      <c r="U37" s="20"/>
      <c r="V37" s="29"/>
    </row>
    <row r="38" spans="2:22" s="21" customFormat="1" ht="21.75" customHeight="1" thickBot="1">
      <c r="B38" s="212">
        <v>17</v>
      </c>
      <c r="C38" s="199">
        <v>46058</v>
      </c>
      <c r="D38" s="200" t="s">
        <v>61</v>
      </c>
      <c r="E38" s="201">
        <v>1E-3</v>
      </c>
      <c r="F38" s="210">
        <v>0</v>
      </c>
      <c r="G38" s="203">
        <f>37.18+33.74</f>
        <v>70.92</v>
      </c>
      <c r="H38" s="204">
        <v>0</v>
      </c>
      <c r="I38" s="205">
        <f t="shared" si="44"/>
        <v>70.92</v>
      </c>
      <c r="J38" s="206">
        <f t="shared" si="45"/>
        <v>70.92</v>
      </c>
      <c r="K38" s="207">
        <v>0</v>
      </c>
      <c r="L38" s="208">
        <f>(J38)/10000</f>
        <v>7.0920000000000002E-3</v>
      </c>
      <c r="U38" s="20"/>
      <c r="V38" s="29"/>
    </row>
    <row r="39" spans="2:22" s="21" customFormat="1" ht="20.25" customHeight="1" thickBot="1">
      <c r="B39" s="212">
        <v>18</v>
      </c>
      <c r="C39" s="199">
        <v>46058</v>
      </c>
      <c r="D39" s="200" t="s">
        <v>62</v>
      </c>
      <c r="E39" s="201">
        <v>1E-3</v>
      </c>
      <c r="F39" s="210">
        <v>0</v>
      </c>
      <c r="G39" s="203">
        <f>4.2+5.02</f>
        <v>9.2199999999999989</v>
      </c>
      <c r="H39" s="204">
        <v>0</v>
      </c>
      <c r="I39" s="205">
        <f t="shared" ref="I39" si="46">G39</f>
        <v>9.2199999999999989</v>
      </c>
      <c r="J39" s="206">
        <f t="shared" ref="J39" si="47">I39</f>
        <v>9.2199999999999989</v>
      </c>
      <c r="K39" s="207">
        <v>0</v>
      </c>
      <c r="L39" s="208">
        <f>(J39)/10000</f>
        <v>9.2199999999999986E-4</v>
      </c>
      <c r="U39" s="20"/>
      <c r="V39" s="29"/>
    </row>
    <row r="40" spans="2:22" s="21" customFormat="1" ht="22.5" customHeight="1" thickBot="1">
      <c r="B40" s="212">
        <v>19</v>
      </c>
      <c r="C40" s="199">
        <v>46065</v>
      </c>
      <c r="D40" s="200" t="s">
        <v>64</v>
      </c>
      <c r="E40" s="201">
        <v>-0.1</v>
      </c>
      <c r="F40" s="210">
        <f>-(0.1*67.6)/E40</f>
        <v>67.599999999999994</v>
      </c>
      <c r="G40" s="203">
        <f t="shared" ref="G40" si="48">-E40*F40</f>
        <v>6.76</v>
      </c>
      <c r="H40" s="204">
        <v>61.6</v>
      </c>
      <c r="I40" s="205">
        <f t="shared" ref="I40" si="49">E40*H40</f>
        <v>-6.16</v>
      </c>
      <c r="J40" s="206">
        <f t="shared" ref="J40" si="50">E40*(H40-F40)</f>
        <v>0.59999999999999931</v>
      </c>
      <c r="K40" s="207">
        <f t="shared" ref="K40" si="51">-J40/G40</f>
        <v>-8.875739644970404E-2</v>
      </c>
      <c r="L40" s="208">
        <f t="shared" ref="L40" si="52">(J40)/10000</f>
        <v>5.9999999999999934E-5</v>
      </c>
      <c r="U40" s="20"/>
      <c r="V40" s="29"/>
    </row>
    <row r="41" spans="2:22" s="21" customFormat="1" ht="22.5" customHeight="1" thickBot="1">
      <c r="B41" s="212">
        <v>20</v>
      </c>
      <c r="C41" s="199">
        <v>46058</v>
      </c>
      <c r="D41" s="200" t="s">
        <v>60</v>
      </c>
      <c r="E41" s="201">
        <v>-0.5</v>
      </c>
      <c r="F41" s="210">
        <f>-(0.5*137)/E41</f>
        <v>137</v>
      </c>
      <c r="G41" s="203">
        <f t="shared" ref="G41:G42" si="53">-E41*F41</f>
        <v>68.5</v>
      </c>
      <c r="H41" s="204">
        <v>0</v>
      </c>
      <c r="I41" s="205">
        <f t="shared" ref="I41:I42" si="54">E41*H41</f>
        <v>0</v>
      </c>
      <c r="J41" s="206">
        <f t="shared" ref="J41:J42" si="55">E41*(H41-F41)</f>
        <v>68.5</v>
      </c>
      <c r="K41" s="207">
        <f t="shared" ref="K41:K42" si="56">-J41/G41</f>
        <v>-1</v>
      </c>
      <c r="L41" s="208">
        <f t="shared" ref="L41:L42" si="57">(J41)/10000</f>
        <v>6.8500000000000002E-3</v>
      </c>
      <c r="U41" s="20"/>
      <c r="V41" s="29"/>
    </row>
    <row r="42" spans="2:22" s="21" customFormat="1" ht="21.75" customHeight="1" thickBot="1">
      <c r="B42" s="212">
        <v>21</v>
      </c>
      <c r="C42" s="199">
        <v>46075</v>
      </c>
      <c r="D42" s="200" t="s">
        <v>65</v>
      </c>
      <c r="E42" s="201">
        <f>1</f>
        <v>1</v>
      </c>
      <c r="F42" s="210">
        <f>(1*162)/E42</f>
        <v>162</v>
      </c>
      <c r="G42" s="203">
        <f t="shared" si="53"/>
        <v>-162</v>
      </c>
      <c r="H42" s="204">
        <v>0</v>
      </c>
      <c r="I42" s="205">
        <f t="shared" si="54"/>
        <v>0</v>
      </c>
      <c r="J42" s="206">
        <f t="shared" si="55"/>
        <v>-162</v>
      </c>
      <c r="K42" s="207">
        <f t="shared" si="56"/>
        <v>-1</v>
      </c>
      <c r="L42" s="208">
        <f t="shared" si="57"/>
        <v>-1.6199999999999999E-2</v>
      </c>
      <c r="U42" s="20"/>
      <c r="V42" s="29"/>
    </row>
    <row r="43" spans="2:22" s="21" customFormat="1" ht="18.75" customHeight="1" thickBot="1">
      <c r="B43" s="212">
        <v>22</v>
      </c>
      <c r="C43" s="199">
        <v>46075</v>
      </c>
      <c r="D43" s="200" t="s">
        <v>61</v>
      </c>
      <c r="E43" s="201">
        <v>1E-3</v>
      </c>
      <c r="F43" s="210">
        <v>0</v>
      </c>
      <c r="G43" s="203">
        <f>13.45+15.11</f>
        <v>28.56</v>
      </c>
      <c r="H43" s="204">
        <v>0</v>
      </c>
      <c r="I43" s="205">
        <f t="shared" ref="I43:I44" si="58">G43</f>
        <v>28.56</v>
      </c>
      <c r="J43" s="206">
        <f t="shared" ref="J43:J44" si="59">I43</f>
        <v>28.56</v>
      </c>
      <c r="K43" s="207">
        <v>0</v>
      </c>
      <c r="L43" s="208">
        <f>(J43)/10000</f>
        <v>2.856E-3</v>
      </c>
      <c r="U43" s="20"/>
      <c r="V43" s="29"/>
    </row>
    <row r="44" spans="2:22" s="21" customFormat="1" ht="18.75" customHeight="1" thickBot="1">
      <c r="B44" s="212">
        <v>23</v>
      </c>
      <c r="C44" s="199">
        <v>46075</v>
      </c>
      <c r="D44" s="200" t="s">
        <v>62</v>
      </c>
      <c r="E44" s="201">
        <v>1E-3</v>
      </c>
      <c r="F44" s="210">
        <v>0</v>
      </c>
      <c r="G44" s="203">
        <f>14.25+15.39</f>
        <v>29.64</v>
      </c>
      <c r="H44" s="204">
        <v>0</v>
      </c>
      <c r="I44" s="205">
        <f t="shared" si="58"/>
        <v>29.64</v>
      </c>
      <c r="J44" s="206">
        <f t="shared" si="59"/>
        <v>29.64</v>
      </c>
      <c r="K44" s="207">
        <v>0</v>
      </c>
      <c r="L44" s="208">
        <f>(J44)/10000</f>
        <v>2.9640000000000001E-3</v>
      </c>
      <c r="U44" s="20"/>
      <c r="V44" s="29"/>
    </row>
    <row r="45" spans="2:22" s="21" customFormat="1" ht="20.25" customHeight="1" thickBot="1">
      <c r="B45" s="212">
        <v>24</v>
      </c>
      <c r="C45" s="199">
        <v>46099</v>
      </c>
      <c r="D45" s="200" t="s">
        <v>62</v>
      </c>
      <c r="E45" s="201">
        <v>1E-3</v>
      </c>
      <c r="F45" s="210">
        <v>0</v>
      </c>
      <c r="G45" s="203">
        <f>0.7</f>
        <v>0.7</v>
      </c>
      <c r="H45" s="204">
        <v>0</v>
      </c>
      <c r="I45" s="205">
        <f t="shared" ref="I45" si="60">G45</f>
        <v>0.7</v>
      </c>
      <c r="J45" s="206">
        <f t="shared" ref="J45" si="61">I45</f>
        <v>0.7</v>
      </c>
      <c r="K45" s="207">
        <v>1</v>
      </c>
      <c r="L45" s="208">
        <f>(J45)/10000</f>
        <v>6.9999999999999994E-5</v>
      </c>
      <c r="U45" s="20"/>
      <c r="V45" s="29"/>
    </row>
    <row r="46" spans="2:22" s="21" customFormat="1" ht="23.25" customHeight="1" thickBot="1">
      <c r="B46" s="216">
        <v>25</v>
      </c>
      <c r="C46" s="217">
        <v>46108</v>
      </c>
      <c r="D46" s="218" t="s">
        <v>66</v>
      </c>
      <c r="E46" s="219">
        <f>0.7+0.7+0.1</f>
        <v>1.5</v>
      </c>
      <c r="F46" s="272">
        <f>(1.5*101)/E46</f>
        <v>101</v>
      </c>
      <c r="G46" s="221">
        <f t="shared" ref="G46" si="62">-E46*F46</f>
        <v>-151.5</v>
      </c>
      <c r="H46" s="254">
        <v>0</v>
      </c>
      <c r="I46" s="177">
        <f t="shared" ref="I46" si="63">E46*H46</f>
        <v>0</v>
      </c>
      <c r="J46" s="175">
        <f t="shared" ref="J46" si="64">E46*(H46-F46)</f>
        <v>-151.5</v>
      </c>
      <c r="K46" s="141">
        <f t="shared" ref="K46" si="65">-J46/G46</f>
        <v>-1</v>
      </c>
      <c r="L46" s="222">
        <f t="shared" ref="L46" si="66">(J46)/10000</f>
        <v>-1.515E-2</v>
      </c>
      <c r="U46" s="20"/>
      <c r="V46" s="29"/>
    </row>
    <row r="47" spans="2:22" s="21" customFormat="1" ht="18.75" customHeight="1" thickBot="1">
      <c r="B47" s="167">
        <v>26</v>
      </c>
      <c r="C47" s="168">
        <v>46108</v>
      </c>
      <c r="D47" s="171" t="s">
        <v>62</v>
      </c>
      <c r="E47" s="169">
        <v>1E-3</v>
      </c>
      <c r="F47" s="170">
        <v>0</v>
      </c>
      <c r="G47" s="173">
        <f>0</f>
        <v>0</v>
      </c>
      <c r="H47" s="197">
        <v>0</v>
      </c>
      <c r="I47" s="176">
        <f t="shared" ref="I47" si="67">G47</f>
        <v>0</v>
      </c>
      <c r="J47" s="174">
        <f t="shared" ref="J47" si="68">I47</f>
        <v>0</v>
      </c>
      <c r="K47" s="100">
        <v>1</v>
      </c>
      <c r="L47" s="140">
        <f>(J47)/10000</f>
        <v>0</v>
      </c>
      <c r="U47" s="20"/>
      <c r="V47" s="29"/>
    </row>
    <row r="48" spans="2:22" s="21" customFormat="1" ht="21" customHeight="1" thickBot="1">
      <c r="I48" s="138" t="s">
        <v>28</v>
      </c>
      <c r="J48" s="139">
        <v>0</v>
      </c>
      <c r="K48" s="143"/>
      <c r="L48" s="143"/>
      <c r="U48" s="20"/>
      <c r="V48" s="29"/>
    </row>
    <row r="49" spans="2:22" s="21" customFormat="1" ht="21.75" customHeight="1" thickBot="1">
      <c r="I49" s="144">
        <f>SUM(I20:I31)</f>
        <v>23.71</v>
      </c>
      <c r="J49" s="145">
        <f>SUM(J20:J48)</f>
        <v>-480.22</v>
      </c>
      <c r="K49" s="103">
        <f>SUM(K20:K48)</f>
        <v>-13.672709848158471</v>
      </c>
      <c r="L49" s="135">
        <f>J49/10000</f>
        <v>-4.8022000000000002E-2</v>
      </c>
      <c r="U49" s="20"/>
      <c r="V49" s="29"/>
    </row>
    <row r="50" spans="2:22" s="21" customFormat="1" ht="20.25" customHeight="1">
      <c r="U50" s="20"/>
      <c r="V50" s="29"/>
    </row>
    <row r="51" spans="2:22" s="21" customFormat="1" ht="20.25" customHeight="1" thickBot="1">
      <c r="C51" s="36"/>
      <c r="D51" s="36"/>
      <c r="E51" s="36"/>
      <c r="H51" s="36"/>
      <c r="U51" s="20"/>
      <c r="V51" s="29"/>
    </row>
    <row r="52" spans="2:22" s="21" customFormat="1" ht="19.5" customHeight="1" thickBot="1">
      <c r="B52" s="36"/>
      <c r="G52" s="255" t="s">
        <v>58</v>
      </c>
      <c r="H52" s="256">
        <v>0.2</v>
      </c>
      <c r="I52" s="146"/>
      <c r="J52" s="146"/>
      <c r="U52" s="20"/>
      <c r="V52" s="29"/>
    </row>
    <row r="53" spans="2:22" s="21" customFormat="1" ht="21.75" customHeight="1" thickBot="1">
      <c r="B53" s="36"/>
      <c r="C53" s="101" t="s">
        <v>13</v>
      </c>
      <c r="D53" s="102">
        <f>E53/G16</f>
        <v>1.4209999999999999E-2</v>
      </c>
      <c r="E53" s="148">
        <f>-SUM(G20:G32)+J48</f>
        <v>142.1</v>
      </c>
      <c r="F53" s="36"/>
      <c r="G53" s="255" t="s">
        <v>64</v>
      </c>
      <c r="H53" s="256">
        <v>-0.1</v>
      </c>
      <c r="I53" s="146"/>
      <c r="J53" s="178">
        <f>L78</f>
        <v>-480.21999999999997</v>
      </c>
      <c r="K53" s="273" t="s">
        <v>54</v>
      </c>
      <c r="L53" s="274">
        <f>J20+J22+J27</f>
        <v>-37.919999999999995</v>
      </c>
      <c r="U53" s="20"/>
      <c r="V53" s="29"/>
    </row>
    <row r="54" spans="2:22" s="21" customFormat="1" ht="22.5" customHeight="1" thickBot="1">
      <c r="B54" s="36"/>
      <c r="C54" s="104" t="s">
        <v>14</v>
      </c>
      <c r="D54" s="105">
        <f>E54/G16</f>
        <v>0.93776800000000005</v>
      </c>
      <c r="E54" s="149">
        <f>E55-E53</f>
        <v>9377.68</v>
      </c>
      <c r="F54" s="36"/>
      <c r="G54" s="255"/>
      <c r="H54" s="256"/>
      <c r="I54" s="146"/>
      <c r="J54" s="146"/>
      <c r="K54" s="275" t="s">
        <v>55</v>
      </c>
      <c r="L54" s="276">
        <f>J21+J23</f>
        <v>-77.22</v>
      </c>
      <c r="U54" s="20"/>
      <c r="V54" s="29"/>
    </row>
    <row r="55" spans="2:22" s="21" customFormat="1" ht="23.25" customHeight="1" thickBot="1">
      <c r="B55" s="36"/>
      <c r="C55" s="106" t="s">
        <v>15</v>
      </c>
      <c r="D55" s="107">
        <f>D53+D54</f>
        <v>0.95197799999999999</v>
      </c>
      <c r="E55" s="150">
        <f>G16+J49</f>
        <v>9519.7800000000007</v>
      </c>
      <c r="F55" s="36"/>
      <c r="G55" s="255"/>
      <c r="H55" s="256"/>
      <c r="I55" s="146"/>
      <c r="J55" s="146"/>
      <c r="K55" s="275" t="s">
        <v>56</v>
      </c>
      <c r="L55" s="276">
        <f>J25</f>
        <v>-5</v>
      </c>
      <c r="U55" s="20"/>
      <c r="V55" s="29"/>
    </row>
    <row r="56" spans="2:22" s="21" customFormat="1" ht="24.75" customHeight="1" thickBot="1">
      <c r="B56" s="36"/>
      <c r="C56" s="36"/>
      <c r="D56" s="36"/>
      <c r="E56" s="36"/>
      <c r="F56" s="36"/>
      <c r="G56" s="257"/>
      <c r="H56" s="258"/>
      <c r="I56" s="146"/>
      <c r="J56" s="146"/>
      <c r="K56" s="277" t="s">
        <v>57</v>
      </c>
      <c r="L56" s="276">
        <f>J28+J29</f>
        <v>-11</v>
      </c>
      <c r="U56" s="20"/>
      <c r="V56" s="29"/>
    </row>
    <row r="57" spans="2:22" s="21" customFormat="1" ht="27.75" customHeight="1">
      <c r="B57" s="36"/>
      <c r="F57" s="36"/>
      <c r="I57" s="147"/>
      <c r="J57" s="146"/>
      <c r="K57" s="278" t="s">
        <v>58</v>
      </c>
      <c r="L57" s="279">
        <f>J30+J34</f>
        <v>-15.34</v>
      </c>
      <c r="U57" s="20"/>
      <c r="V57" s="29"/>
    </row>
    <row r="58" spans="2:22" s="21" customFormat="1" ht="27.75" customHeight="1" thickBot="1">
      <c r="B58" s="36"/>
      <c r="J58" s="146"/>
      <c r="K58" s="278" t="s">
        <v>59</v>
      </c>
      <c r="L58" s="279">
        <f>J35</f>
        <v>-83.740000000000009</v>
      </c>
      <c r="U58" s="20"/>
      <c r="V58" s="29"/>
    </row>
    <row r="59" spans="2:22" s="21" customFormat="1" ht="27.75" customHeight="1" thickBot="1">
      <c r="B59" s="36"/>
      <c r="C59" s="108" t="s">
        <v>29</v>
      </c>
      <c r="D59" s="36"/>
      <c r="E59" s="36"/>
      <c r="J59" s="146"/>
      <c r="K59" s="278" t="s">
        <v>60</v>
      </c>
      <c r="L59" s="279">
        <f>J36+J41</f>
        <v>-9.0999999999999943</v>
      </c>
      <c r="U59" s="20"/>
      <c r="V59" s="29"/>
    </row>
    <row r="60" spans="2:22" s="21" customFormat="1" ht="27.75" customHeight="1" thickBot="1">
      <c r="B60" s="31"/>
      <c r="C60" s="40" t="s">
        <v>46</v>
      </c>
      <c r="D60" s="41" t="s">
        <v>21</v>
      </c>
      <c r="E60" s="42" t="s">
        <v>16</v>
      </c>
      <c r="K60" s="278" t="s">
        <v>63</v>
      </c>
      <c r="L60" s="279">
        <f>J33</f>
        <v>-94.320000000000007</v>
      </c>
      <c r="U60" s="20"/>
      <c r="V60" s="29"/>
    </row>
    <row r="61" spans="2:22" s="21" customFormat="1" ht="27.75" customHeight="1" thickBot="1">
      <c r="C61" s="151">
        <v>10000</v>
      </c>
      <c r="D61" s="152">
        <f>J49</f>
        <v>-480.22</v>
      </c>
      <c r="E61" s="153">
        <f>C61+D61</f>
        <v>9519.7800000000007</v>
      </c>
      <c r="G61" s="179" t="s">
        <v>35</v>
      </c>
      <c r="H61" s="194">
        <v>1E-3</v>
      </c>
      <c r="K61" s="278" t="s">
        <v>65</v>
      </c>
      <c r="L61" s="279">
        <f>J42</f>
        <v>-162</v>
      </c>
      <c r="P61" s="20"/>
      <c r="Q61" s="29"/>
      <c r="R61" s="20"/>
      <c r="T61" s="29"/>
      <c r="U61" s="20"/>
      <c r="V61" s="29"/>
    </row>
    <row r="62" spans="2:22" s="21" customFormat="1" ht="27.75" customHeight="1" thickBot="1">
      <c r="G62" s="259" t="s">
        <v>38</v>
      </c>
      <c r="H62" s="258">
        <f>0.0001</f>
        <v>1E-4</v>
      </c>
      <c r="K62" s="278" t="s">
        <v>64</v>
      </c>
      <c r="L62" s="279">
        <f>J40</f>
        <v>0.59999999999999931</v>
      </c>
      <c r="P62" s="20"/>
      <c r="Q62" s="29"/>
      <c r="R62" s="20"/>
      <c r="T62" s="29"/>
      <c r="U62" s="20"/>
      <c r="V62" s="29"/>
    </row>
    <row r="63" spans="2:22" s="21" customFormat="1" ht="27.75" customHeight="1" thickBot="1">
      <c r="K63" s="255" t="s">
        <v>66</v>
      </c>
      <c r="L63" s="241">
        <f>J46</f>
        <v>-151.5</v>
      </c>
      <c r="M63" s="32"/>
      <c r="P63" s="20"/>
      <c r="Q63" s="29"/>
      <c r="R63" s="20"/>
      <c r="T63" s="29"/>
      <c r="U63" s="20"/>
      <c r="V63" s="29"/>
    </row>
    <row r="64" spans="2:22" s="21" customFormat="1" ht="27.75" customHeight="1" thickBot="1">
      <c r="K64" s="255"/>
      <c r="L64" s="241"/>
      <c r="M64" s="32"/>
      <c r="P64" s="20"/>
      <c r="Q64" s="29"/>
      <c r="R64" s="20"/>
      <c r="T64" s="29"/>
      <c r="U64" s="20"/>
      <c r="V64" s="29"/>
    </row>
    <row r="65" spans="11:22" s="21" customFormat="1" ht="27.75" customHeight="1">
      <c r="K65" s="236" t="s">
        <v>35</v>
      </c>
      <c r="L65" s="241">
        <f>J24+J26+J31+J32+J37+J38+J39+J43+J44+J45+J47</f>
        <v>166.32</v>
      </c>
      <c r="M65" s="32"/>
      <c r="P65" s="20"/>
      <c r="Q65" s="29"/>
      <c r="R65" s="20"/>
      <c r="T65" s="29"/>
      <c r="U65" s="20"/>
      <c r="V65" s="29"/>
    </row>
    <row r="66" spans="11:22" s="21" customFormat="1" ht="27.75" customHeight="1" thickBot="1">
      <c r="K66" s="192" t="s">
        <v>30</v>
      </c>
      <c r="L66" s="235">
        <f>SUM(L53:L65)</f>
        <v>-480.21999999999997</v>
      </c>
      <c r="O66" s="29"/>
      <c r="P66" s="20"/>
      <c r="Q66" s="29"/>
      <c r="R66" s="20"/>
      <c r="T66" s="29"/>
      <c r="V66" s="29"/>
    </row>
    <row r="67" spans="11:22" s="21" customFormat="1" ht="27.75" customHeight="1">
      <c r="K67" s="181" t="s">
        <v>36</v>
      </c>
      <c r="L67" s="154" t="e">
        <f>#REF!</f>
        <v>#REF!</v>
      </c>
      <c r="O67" s="29"/>
      <c r="P67" s="20"/>
      <c r="Q67" s="29"/>
      <c r="R67" s="20"/>
      <c r="T67" s="29"/>
      <c r="V67" s="29"/>
    </row>
    <row r="68" spans="11:22" s="21" customFormat="1" ht="27.75" customHeight="1">
      <c r="K68" s="182" t="s">
        <v>37</v>
      </c>
      <c r="L68" s="155" t="e">
        <f>#REF!+#REF!</f>
        <v>#REF!</v>
      </c>
      <c r="O68" s="29"/>
      <c r="P68" s="20"/>
      <c r="Q68" s="29"/>
      <c r="R68" s="20"/>
      <c r="T68" s="29"/>
      <c r="V68" s="29"/>
    </row>
    <row r="69" spans="11:22" s="21" customFormat="1" ht="27.75" customHeight="1">
      <c r="K69" s="214" t="s">
        <v>38</v>
      </c>
      <c r="L69" s="155" t="e">
        <f>#REF!</f>
        <v>#REF!</v>
      </c>
      <c r="O69" s="29"/>
      <c r="P69" s="20"/>
      <c r="Q69" s="29"/>
      <c r="R69" s="20"/>
      <c r="T69" s="29"/>
      <c r="V69" s="29"/>
    </row>
    <row r="70" spans="11:22" s="21" customFormat="1" ht="27.75" customHeight="1" thickBot="1">
      <c r="K70" s="215" t="s">
        <v>45</v>
      </c>
      <c r="L70" s="186" t="e">
        <f>#REF!</f>
        <v>#REF!</v>
      </c>
      <c r="O70" s="29"/>
      <c r="P70" s="20"/>
      <c r="Q70" s="29"/>
      <c r="R70" s="20"/>
      <c r="T70" s="29"/>
      <c r="V70" s="29"/>
    </row>
    <row r="71" spans="11:22" s="21" customFormat="1" ht="27.75" customHeight="1" thickBot="1">
      <c r="K71" s="257" t="s">
        <v>49</v>
      </c>
      <c r="L71" s="186" t="e">
        <f>#REF!</f>
        <v>#REF!</v>
      </c>
      <c r="O71" s="29"/>
      <c r="P71" s="20"/>
      <c r="Q71" s="29"/>
      <c r="R71" s="20"/>
      <c r="T71" s="29"/>
      <c r="V71" s="29"/>
    </row>
    <row r="72" spans="11:22" s="21" customFormat="1" ht="27.75" customHeight="1" thickBot="1">
      <c r="K72" s="180" t="s">
        <v>42</v>
      </c>
      <c r="L72" s="193" t="e">
        <f>SUM(L67:L71)</f>
        <v>#REF!</v>
      </c>
      <c r="O72" s="29"/>
      <c r="P72" s="20"/>
      <c r="Q72" s="29"/>
      <c r="R72" s="20"/>
      <c r="T72" s="29"/>
      <c r="V72" s="29"/>
    </row>
    <row r="73" spans="11:22" s="21" customFormat="1" ht="27.75" customHeight="1">
      <c r="K73" s="183" t="s">
        <v>39</v>
      </c>
      <c r="L73" s="187" t="e">
        <f>#REF!</f>
        <v>#REF!</v>
      </c>
      <c r="O73" s="29"/>
      <c r="P73" s="20"/>
      <c r="Q73" s="29"/>
      <c r="R73" s="20"/>
      <c r="T73" s="29"/>
      <c r="V73" s="29"/>
    </row>
    <row r="74" spans="11:22" s="21" customFormat="1" ht="27.75" customHeight="1">
      <c r="K74" s="184" t="s">
        <v>40</v>
      </c>
      <c r="L74" s="188" t="e">
        <f>#REF!</f>
        <v>#REF!</v>
      </c>
      <c r="O74" s="29"/>
      <c r="P74" s="20"/>
      <c r="Q74" s="29"/>
      <c r="R74" s="20"/>
      <c r="T74" s="29"/>
      <c r="V74" s="29"/>
    </row>
    <row r="75" spans="11:22" s="21" customFormat="1" ht="27.75" customHeight="1" thickBot="1">
      <c r="K75" s="185" t="s">
        <v>41</v>
      </c>
      <c r="L75" s="189" t="e">
        <f>#REF!</f>
        <v>#REF!</v>
      </c>
      <c r="O75" s="29"/>
      <c r="P75" s="20"/>
      <c r="Q75" s="29"/>
      <c r="R75" s="20"/>
      <c r="T75" s="29"/>
      <c r="V75" s="29"/>
    </row>
    <row r="76" spans="11:22" s="21" customFormat="1" ht="27.75" customHeight="1" thickBot="1">
      <c r="K76" s="190" t="s">
        <v>43</v>
      </c>
      <c r="L76" s="191" t="e">
        <f>SUM(L73:L75)</f>
        <v>#REF!</v>
      </c>
      <c r="O76" s="29"/>
      <c r="P76" s="20"/>
      <c r="Q76" s="29"/>
      <c r="R76" s="20"/>
      <c r="T76" s="29"/>
      <c r="V76" s="29"/>
    </row>
    <row r="77" spans="11:22" s="21" customFormat="1" ht="27.75" customHeight="1" thickBot="1">
      <c r="K77" s="138" t="s">
        <v>28</v>
      </c>
      <c r="L77" s="156">
        <f>J48</f>
        <v>0</v>
      </c>
      <c r="O77" s="29"/>
      <c r="P77" s="20"/>
      <c r="Q77" s="29"/>
      <c r="R77" s="20"/>
      <c r="T77" s="29"/>
      <c r="V77" s="29"/>
    </row>
    <row r="78" spans="11:22" s="21" customFormat="1" ht="27.75" customHeight="1" thickBot="1">
      <c r="L78" s="157">
        <f>L66</f>
        <v>-480.21999999999997</v>
      </c>
      <c r="O78" s="29"/>
      <c r="P78" s="20"/>
      <c r="Q78" s="29"/>
      <c r="R78" s="20"/>
      <c r="T78" s="29"/>
      <c r="V78" s="29"/>
    </row>
    <row r="79" spans="11:22" s="21" customFormat="1" ht="27.75" customHeight="1">
      <c r="N79" s="32"/>
      <c r="O79" s="29"/>
      <c r="P79" s="20"/>
      <c r="Q79" s="29"/>
      <c r="R79" s="20"/>
      <c r="T79" s="29"/>
      <c r="V79" s="29"/>
    </row>
    <row r="80" spans="11:22" s="21" customFormat="1" ht="27.75" customHeight="1">
      <c r="N80" s="32"/>
      <c r="O80" s="29"/>
      <c r="P80" s="20"/>
      <c r="Q80" s="29"/>
      <c r="R80" s="20"/>
      <c r="T80" s="29"/>
      <c r="V80" s="29"/>
    </row>
    <row r="81" spans="14:38" s="21" customFormat="1" ht="27.75" customHeight="1">
      <c r="N81" s="32"/>
      <c r="O81" s="29"/>
      <c r="P81" s="20"/>
      <c r="Q81" s="29"/>
      <c r="R81" s="20"/>
      <c r="T81" s="29"/>
      <c r="V81" s="29"/>
    </row>
    <row r="82" spans="14:38" s="21" customFormat="1" ht="27.75" customHeight="1">
      <c r="O82" s="29"/>
      <c r="P82" s="20"/>
      <c r="Q82" s="29"/>
      <c r="R82" s="20"/>
      <c r="T82" s="29"/>
      <c r="V82" s="29"/>
    </row>
    <row r="83" spans="14:38" s="21" customFormat="1" ht="27.75" customHeight="1">
      <c r="O83" s="29"/>
      <c r="P83" s="20"/>
      <c r="Q83" s="29"/>
      <c r="R83" s="20"/>
      <c r="T83" s="29"/>
      <c r="V83" s="29"/>
    </row>
    <row r="84" spans="14:38" s="21" customFormat="1" ht="27.75" customHeight="1">
      <c r="N84" s="32"/>
      <c r="O84" s="29"/>
      <c r="P84" s="20"/>
      <c r="Q84" s="29"/>
      <c r="R84" s="20"/>
      <c r="T84" s="29"/>
      <c r="V84" s="29"/>
    </row>
    <row r="85" spans="14:38" s="21" customFormat="1" ht="27.75" customHeight="1">
      <c r="N85" s="32"/>
      <c r="O85" s="29"/>
      <c r="P85" s="20"/>
      <c r="Q85" s="29"/>
      <c r="R85" s="20"/>
      <c r="T85" s="29"/>
      <c r="V85" s="29"/>
    </row>
    <row r="86" spans="14:38" s="21" customFormat="1" ht="27.75" customHeight="1">
      <c r="O86" s="29"/>
      <c r="P86" s="20"/>
      <c r="Q86" s="29"/>
      <c r="R86" s="20"/>
      <c r="T86" s="29"/>
      <c r="V86" s="29"/>
    </row>
    <row r="87" spans="14:38" s="21" customFormat="1" ht="27.75" customHeight="1">
      <c r="O87" s="29"/>
      <c r="P87" s="20"/>
      <c r="Q87" s="29"/>
      <c r="R87" s="20"/>
      <c r="T87" s="29"/>
      <c r="V87" s="29"/>
    </row>
    <row r="88" spans="14:38" s="21" customFormat="1" ht="27.75" customHeight="1">
      <c r="N88" s="32"/>
      <c r="O88" s="29"/>
      <c r="P88" s="20"/>
      <c r="Q88" s="29"/>
      <c r="R88" s="20"/>
      <c r="T88" s="29"/>
      <c r="V88" s="29"/>
    </row>
    <row r="89" spans="14:38" s="21" customFormat="1" ht="27.75" customHeight="1">
      <c r="N89" s="32"/>
      <c r="O89" s="29"/>
      <c r="P89" s="20"/>
      <c r="Q89" s="29"/>
      <c r="R89" s="20"/>
      <c r="T89" s="29"/>
      <c r="V89" s="29"/>
    </row>
    <row r="90" spans="14:38" s="21" customFormat="1" ht="27.75" customHeight="1">
      <c r="N90" s="32"/>
      <c r="O90" s="29"/>
      <c r="P90" s="20"/>
      <c r="Q90" s="29"/>
      <c r="R90" s="20"/>
      <c r="T90" s="29"/>
      <c r="V90" s="29"/>
    </row>
    <row r="91" spans="14:38" ht="27.75" customHeight="1">
      <c r="N91" s="32"/>
      <c r="O91" s="29"/>
      <c r="P91" s="20"/>
      <c r="Q91" s="29"/>
      <c r="R91" s="20"/>
      <c r="S91" s="21"/>
      <c r="T91" s="29"/>
      <c r="V91" s="29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4:38" ht="27.75" customHeight="1">
      <c r="N92" s="32"/>
      <c r="O92" s="29"/>
      <c r="P92" s="20"/>
      <c r="Q92" s="29"/>
      <c r="R92" s="20"/>
      <c r="S92" s="21"/>
      <c r="T92" s="29"/>
      <c r="V92" s="29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4:38" ht="27.75" customHeight="1">
      <c r="N93" s="32"/>
      <c r="O93" s="29"/>
      <c r="P93" s="20"/>
      <c r="Q93" s="29"/>
      <c r="R93" s="20"/>
      <c r="S93" s="21"/>
      <c r="T93" s="29"/>
      <c r="V93" s="29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14:38" ht="27.75" customHeight="1">
      <c r="N94" s="32"/>
      <c r="O94" s="29"/>
      <c r="P94" s="20"/>
      <c r="Q94" s="29"/>
      <c r="R94" s="20"/>
      <c r="S94" s="21"/>
      <c r="T94" s="29"/>
      <c r="V94" s="29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14:38" ht="27.75" customHeight="1">
      <c r="N95" s="32"/>
      <c r="O95" s="29"/>
      <c r="P95" s="20"/>
      <c r="Q95" s="29"/>
      <c r="R95" s="20"/>
      <c r="S95" s="21"/>
      <c r="T95" s="29"/>
      <c r="V95" s="29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14:38" ht="27.75" customHeight="1">
      <c r="N96" s="32"/>
      <c r="O96" s="29"/>
      <c r="P96" s="20"/>
      <c r="Q96" s="29"/>
      <c r="R96" s="20"/>
      <c r="S96" s="21"/>
      <c r="T96" s="29"/>
      <c r="V96" s="29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 ht="27.75" customHeight="1">
      <c r="N97" s="32"/>
      <c r="O97" s="29"/>
      <c r="P97" s="20"/>
      <c r="Q97" s="29"/>
      <c r="R97" s="20"/>
      <c r="S97" s="21"/>
      <c r="T97" s="29"/>
      <c r="V97" s="29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pans="1:38" ht="27.75" customHeight="1">
      <c r="N98" s="32"/>
      <c r="O98" s="29"/>
      <c r="P98" s="20"/>
      <c r="Q98" s="29"/>
      <c r="R98" s="20"/>
      <c r="S98" s="21"/>
      <c r="T98" s="29"/>
      <c r="V98" s="29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pans="1:38" ht="27.75" customHeight="1">
      <c r="N99" s="32"/>
      <c r="O99" s="29"/>
      <c r="P99" s="20"/>
      <c r="Q99" s="29"/>
      <c r="R99" s="20"/>
      <c r="S99" s="21"/>
      <c r="T99" s="29"/>
      <c r="V99" s="29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pans="1:38" ht="27.75" customHeight="1">
      <c r="A100" s="32"/>
      <c r="N100" s="32"/>
      <c r="O100" s="29"/>
      <c r="P100" s="20"/>
      <c r="Q100" s="29"/>
      <c r="R100" s="20"/>
      <c r="S100" s="21"/>
      <c r="T100" s="29"/>
      <c r="V100" s="29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pans="1:38" ht="27.75" customHeight="1">
      <c r="N101" s="32"/>
      <c r="V101" s="29"/>
      <c r="W101" s="21"/>
      <c r="X101" s="21"/>
      <c r="Y101" s="21"/>
    </row>
    <row r="102" spans="1:38" ht="27.75" customHeight="1">
      <c r="N102" s="32"/>
    </row>
  </sheetData>
  <mergeCells count="14">
    <mergeCell ref="C13:D13"/>
    <mergeCell ref="K13:L13"/>
    <mergeCell ref="C15:D15"/>
    <mergeCell ref="T16:V16"/>
    <mergeCell ref="D2:T2"/>
    <mergeCell ref="D3:J5"/>
    <mergeCell ref="T3:X3"/>
    <mergeCell ref="O5:S15"/>
    <mergeCell ref="F6:J6"/>
    <mergeCell ref="T6:Z15"/>
    <mergeCell ref="C7:D7"/>
    <mergeCell ref="C9:D9"/>
    <mergeCell ref="C10:D10"/>
    <mergeCell ref="C12:D12"/>
  </mergeCells>
  <printOptions horizontalCentered="1"/>
  <pageMargins left="0.4" right="0.4" top="0.4" bottom="0.4" header="0.25" footer="0.25"/>
  <pageSetup paperSize="9" scale="62" fitToHeight="0" orientation="portrait" r:id="rId1"/>
  <headerFooter differentFirst="1">
    <oddFooter>&amp;CPage &amp;P of &amp;N</oddFoot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E486-8FF4-4978-9742-38E4C5C4C3F7}">
  <sheetPr>
    <tabColor theme="3" tint="0.249977111117893"/>
    <pageSetUpPr fitToPage="1"/>
  </sheetPr>
  <dimension ref="A1:AV99"/>
  <sheetViews>
    <sheetView showGridLines="0" topLeftCell="A13" zoomScale="90" zoomScaleNormal="90" workbookViewId="0">
      <selection activeCell="G22" sqref="G22"/>
    </sheetView>
  </sheetViews>
  <sheetFormatPr defaultColWidth="9.140625" defaultRowHeight="27.75" customHeight="1"/>
  <cols>
    <col min="1" max="1" width="0.28515625" style="2" customWidth="1"/>
    <col min="2" max="2" width="6" style="2" customWidth="1"/>
    <col min="3" max="3" width="17.85546875" style="2" customWidth="1"/>
    <col min="4" max="4" width="23.5703125" style="2" bestFit="1" customWidth="1"/>
    <col min="5" max="5" width="16.7109375" style="6" customWidth="1"/>
    <col min="6" max="6" width="18.42578125" style="6" customWidth="1"/>
    <col min="7" max="7" width="23.42578125" style="8" bestFit="1" customWidth="1"/>
    <col min="8" max="8" width="16" style="8" customWidth="1"/>
    <col min="9" max="9" width="15" style="2" customWidth="1"/>
    <col min="10" max="10" width="14.7109375" style="2" customWidth="1"/>
    <col min="11" max="11" width="23.42578125" style="9" bestFit="1" customWidth="1"/>
    <col min="12" max="12" width="15.140625" style="8" customWidth="1"/>
    <col min="13" max="13" width="12" style="2" customWidth="1"/>
    <col min="14" max="14" width="9.7109375" style="3" customWidth="1"/>
    <col min="15" max="15" width="11.42578125" style="9" customWidth="1"/>
    <col min="16" max="16" width="14" style="8" customWidth="1"/>
    <col min="17" max="17" width="12.140625" style="9" customWidth="1"/>
    <col min="18" max="18" width="13.7109375" style="8" customWidth="1"/>
    <col min="19" max="19" width="14" style="2" customWidth="1"/>
    <col min="20" max="20" width="14.140625" style="9" customWidth="1"/>
    <col min="21" max="21" width="9.28515625" style="8" customWidth="1"/>
    <col min="22" max="22" width="10.7109375" style="9" bestFit="1" customWidth="1"/>
    <col min="23" max="23" width="14.42578125" style="2" customWidth="1"/>
    <col min="24" max="24" width="10.5703125" style="2" customWidth="1"/>
    <col min="25" max="16384" width="9.140625" style="2"/>
  </cols>
  <sheetData>
    <row r="1" spans="1:48" s="46" customFormat="1" ht="5.25" customHeight="1">
      <c r="D1" s="49"/>
      <c r="E1" s="49"/>
      <c r="F1" s="49"/>
      <c r="G1" s="50"/>
      <c r="H1" s="50"/>
      <c r="I1" s="49"/>
      <c r="J1" s="49"/>
      <c r="K1" s="45"/>
      <c r="L1" s="50"/>
      <c r="O1" s="45"/>
      <c r="P1" s="50"/>
      <c r="Q1" s="45"/>
      <c r="R1" s="44"/>
      <c r="T1" s="45"/>
      <c r="U1" s="44"/>
      <c r="V1" s="45"/>
    </row>
    <row r="2" spans="1:48" s="4" customFormat="1" ht="102" customHeight="1">
      <c r="A2" s="7"/>
      <c r="B2" s="43"/>
      <c r="C2" s="43"/>
      <c r="D2" s="282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47"/>
      <c r="V2" s="48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s="1" customFormat="1" ht="33" customHeight="1">
      <c r="A3" s="12"/>
      <c r="B3" s="12"/>
      <c r="C3" s="52"/>
      <c r="D3" s="284" t="s">
        <v>7</v>
      </c>
      <c r="E3" s="284"/>
      <c r="F3" s="284"/>
      <c r="G3" s="284"/>
      <c r="H3" s="284"/>
      <c r="I3" s="284"/>
      <c r="J3" s="284"/>
      <c r="K3" s="13"/>
      <c r="L3" s="14"/>
      <c r="M3" s="12"/>
      <c r="N3" s="12"/>
      <c r="O3" s="15" t="s">
        <v>31</v>
      </c>
      <c r="P3" s="16"/>
      <c r="Q3" s="16"/>
      <c r="R3" s="16"/>
      <c r="S3" s="17"/>
      <c r="T3" s="285"/>
      <c r="U3" s="285"/>
      <c r="V3" s="285"/>
      <c r="W3" s="285"/>
      <c r="X3" s="285"/>
      <c r="Y3" s="18"/>
      <c r="Z3" s="19"/>
      <c r="AA3" s="10"/>
    </row>
    <row r="4" spans="1:48" s="1" customFormat="1" ht="18.75" customHeight="1">
      <c r="A4" s="12"/>
      <c r="B4" s="12"/>
      <c r="C4" s="52"/>
      <c r="D4" s="284"/>
      <c r="E4" s="284"/>
      <c r="F4" s="284"/>
      <c r="G4" s="284"/>
      <c r="H4" s="284"/>
      <c r="I4" s="284"/>
      <c r="J4" s="284"/>
      <c r="K4" s="12"/>
      <c r="L4" s="12"/>
      <c r="M4" s="12"/>
      <c r="N4" s="12"/>
      <c r="O4" s="12"/>
      <c r="P4" s="12"/>
      <c r="Q4" s="12"/>
      <c r="R4" s="12"/>
      <c r="S4" s="12"/>
      <c r="T4" s="18"/>
      <c r="U4" s="20"/>
      <c r="V4" s="18"/>
      <c r="W4" s="19"/>
      <c r="X4" s="12"/>
      <c r="Y4" s="18"/>
      <c r="Z4" s="19"/>
      <c r="AA4" s="10"/>
    </row>
    <row r="5" spans="1:48" s="1" customFormat="1" ht="3.75" customHeight="1">
      <c r="A5" s="12"/>
      <c r="B5" s="12"/>
      <c r="C5" s="52"/>
      <c r="D5" s="284"/>
      <c r="E5" s="284"/>
      <c r="F5" s="284"/>
      <c r="G5" s="284"/>
      <c r="H5" s="284"/>
      <c r="I5" s="284"/>
      <c r="J5" s="284"/>
      <c r="K5" s="12"/>
      <c r="L5" s="12"/>
      <c r="M5" s="12"/>
      <c r="N5" s="12"/>
      <c r="O5" s="286" t="s">
        <v>24</v>
      </c>
      <c r="P5" s="286"/>
      <c r="Q5" s="286"/>
      <c r="R5" s="286"/>
      <c r="S5" s="286"/>
      <c r="T5" s="18"/>
      <c r="U5" s="20"/>
      <c r="V5" s="18"/>
      <c r="W5" s="19"/>
      <c r="X5" s="12"/>
      <c r="Y5" s="18"/>
      <c r="Z5" s="19"/>
      <c r="AA5" s="10"/>
    </row>
    <row r="6" spans="1:48" s="1" customFormat="1" ht="46.5" customHeight="1">
      <c r="A6" s="12"/>
      <c r="B6" s="12"/>
      <c r="C6" s="52"/>
      <c r="D6" s="51"/>
      <c r="E6" s="51"/>
      <c r="F6" s="288"/>
      <c r="G6" s="288"/>
      <c r="H6" s="288"/>
      <c r="I6" s="288"/>
      <c r="J6" s="288"/>
      <c r="K6" s="12"/>
      <c r="L6" s="12"/>
      <c r="M6" s="12"/>
      <c r="N6" s="22"/>
      <c r="O6" s="286"/>
      <c r="P6" s="286"/>
      <c r="Q6" s="286"/>
      <c r="R6" s="286"/>
      <c r="S6" s="286"/>
      <c r="T6" s="289"/>
      <c r="U6" s="289"/>
      <c r="V6" s="289"/>
      <c r="W6" s="289"/>
      <c r="X6" s="289"/>
      <c r="Y6" s="289"/>
      <c r="Z6" s="289"/>
      <c r="AA6" s="10"/>
    </row>
    <row r="7" spans="1:48" s="1" customFormat="1" ht="18.75" customHeight="1">
      <c r="A7" s="12"/>
      <c r="B7" s="12"/>
      <c r="C7" s="290" t="s">
        <v>22</v>
      </c>
      <c r="D7" s="290"/>
      <c r="E7" s="51"/>
      <c r="F7" s="51"/>
      <c r="G7" s="53"/>
      <c r="H7" s="53"/>
      <c r="I7" s="51"/>
      <c r="J7" s="51"/>
      <c r="K7" s="12"/>
      <c r="L7" s="12"/>
      <c r="M7" s="12"/>
      <c r="N7" s="22"/>
      <c r="O7" s="286"/>
      <c r="P7" s="286"/>
      <c r="Q7" s="286"/>
      <c r="R7" s="286"/>
      <c r="S7" s="286"/>
      <c r="T7" s="289"/>
      <c r="U7" s="289"/>
      <c r="V7" s="289"/>
      <c r="W7" s="289"/>
      <c r="X7" s="289"/>
      <c r="Y7" s="289"/>
      <c r="Z7" s="289"/>
      <c r="AA7" s="10"/>
    </row>
    <row r="8" spans="1:48" s="1" customFormat="1" ht="3.75" customHeight="1">
      <c r="A8" s="12"/>
      <c r="B8" s="12"/>
      <c r="C8" s="37"/>
      <c r="D8" s="38"/>
      <c r="E8" s="51"/>
      <c r="F8" s="51"/>
      <c r="G8" s="53"/>
      <c r="H8" s="53"/>
      <c r="I8" s="51"/>
      <c r="J8" s="51"/>
      <c r="K8" s="12"/>
      <c r="L8" s="12"/>
      <c r="M8" s="12"/>
      <c r="N8" s="22"/>
      <c r="O8" s="286"/>
      <c r="P8" s="286"/>
      <c r="Q8" s="286"/>
      <c r="R8" s="286"/>
      <c r="S8" s="286"/>
      <c r="T8" s="289"/>
      <c r="U8" s="289"/>
      <c r="V8" s="289"/>
      <c r="W8" s="289"/>
      <c r="X8" s="289"/>
      <c r="Y8" s="289"/>
      <c r="Z8" s="289"/>
      <c r="AA8" s="10"/>
    </row>
    <row r="9" spans="1:48" s="1" customFormat="1" ht="33.75" customHeight="1">
      <c r="A9" s="12"/>
      <c r="B9" s="22">
        <v>3</v>
      </c>
      <c r="C9" s="291">
        <f>J24</f>
        <v>-159.89999999999998</v>
      </c>
      <c r="D9" s="291"/>
      <c r="E9" s="51"/>
      <c r="F9" s="51"/>
      <c r="G9" s="53"/>
      <c r="H9" s="53"/>
      <c r="I9" s="51"/>
      <c r="J9" s="51"/>
      <c r="K9" s="12"/>
      <c r="L9" s="12"/>
      <c r="M9" s="12"/>
      <c r="N9" s="12"/>
      <c r="O9" s="286"/>
      <c r="P9" s="286"/>
      <c r="Q9" s="286"/>
      <c r="R9" s="286"/>
      <c r="S9" s="286"/>
      <c r="T9" s="289"/>
      <c r="U9" s="289"/>
      <c r="V9" s="289"/>
      <c r="W9" s="289"/>
      <c r="X9" s="289"/>
      <c r="Y9" s="289"/>
      <c r="Z9" s="289"/>
      <c r="AA9" s="10"/>
    </row>
    <row r="10" spans="1:48" s="1" customFormat="1" ht="22.5" customHeight="1">
      <c r="A10" s="12"/>
      <c r="B10" s="22">
        <v>2</v>
      </c>
      <c r="C10" s="290" t="s">
        <v>23</v>
      </c>
      <c r="D10" s="290"/>
      <c r="E10" s="51"/>
      <c r="F10" s="51"/>
      <c r="G10" s="53"/>
      <c r="H10" s="53"/>
      <c r="I10" s="51"/>
      <c r="J10" s="51"/>
      <c r="K10" s="12"/>
      <c r="L10" s="12"/>
      <c r="M10" s="12"/>
      <c r="N10" s="12"/>
      <c r="O10" s="286"/>
      <c r="P10" s="286"/>
      <c r="Q10" s="286"/>
      <c r="R10" s="286"/>
      <c r="S10" s="286"/>
      <c r="T10" s="289"/>
      <c r="U10" s="289"/>
      <c r="V10" s="289"/>
      <c r="W10" s="289"/>
      <c r="X10" s="289"/>
      <c r="Y10" s="289"/>
      <c r="Z10" s="289"/>
      <c r="AA10" s="10"/>
    </row>
    <row r="11" spans="1:48" s="1" customFormat="1" ht="3.75" customHeight="1">
      <c r="A11" s="12"/>
      <c r="B11" s="22"/>
      <c r="C11" s="37"/>
      <c r="D11" s="38"/>
      <c r="E11" s="51"/>
      <c r="F11" s="51"/>
      <c r="G11" s="53"/>
      <c r="H11" s="53"/>
      <c r="I11" s="51"/>
      <c r="J11" s="51"/>
      <c r="K11" s="12"/>
      <c r="L11" s="12"/>
      <c r="M11" s="12"/>
      <c r="N11" s="12"/>
      <c r="O11" s="286"/>
      <c r="P11" s="286"/>
      <c r="Q11" s="286"/>
      <c r="R11" s="286"/>
      <c r="S11" s="286"/>
      <c r="T11" s="289"/>
      <c r="U11" s="289"/>
      <c r="V11" s="289"/>
      <c r="W11" s="289"/>
      <c r="X11" s="289"/>
      <c r="Y11" s="289"/>
      <c r="Z11" s="289"/>
      <c r="AA11" s="10"/>
    </row>
    <row r="12" spans="1:48" s="1" customFormat="1" ht="31.5" customHeight="1">
      <c r="A12" s="12"/>
      <c r="B12" s="22">
        <v>11</v>
      </c>
      <c r="C12" s="292">
        <f>L24</f>
        <v>-1.5989999999999997E-2</v>
      </c>
      <c r="D12" s="292"/>
      <c r="E12" s="51"/>
      <c r="F12" s="51"/>
      <c r="G12" s="53"/>
      <c r="H12" s="53"/>
      <c r="I12" s="51"/>
      <c r="J12" s="51"/>
      <c r="K12" s="12"/>
      <c r="L12" s="12"/>
      <c r="M12" s="12"/>
      <c r="N12" s="12"/>
      <c r="O12" s="286"/>
      <c r="P12" s="286"/>
      <c r="Q12" s="286"/>
      <c r="R12" s="286"/>
      <c r="S12" s="286"/>
      <c r="T12" s="289"/>
      <c r="U12" s="289"/>
      <c r="V12" s="289"/>
      <c r="W12" s="289"/>
      <c r="X12" s="289"/>
      <c r="Y12" s="289"/>
      <c r="Z12" s="289"/>
      <c r="AA12" s="10"/>
    </row>
    <row r="13" spans="1:48" s="1" customFormat="1" ht="18.75" customHeight="1">
      <c r="A13" s="12"/>
      <c r="B13" s="12"/>
      <c r="C13" s="293" t="s">
        <v>6</v>
      </c>
      <c r="D13" s="293"/>
      <c r="E13" s="51"/>
      <c r="F13" s="51"/>
      <c r="G13" s="53"/>
      <c r="H13" s="53"/>
      <c r="I13" s="51"/>
      <c r="J13" s="51"/>
      <c r="K13" s="294"/>
      <c r="L13" s="294"/>
      <c r="M13" s="12"/>
      <c r="N13" s="12"/>
      <c r="O13" s="286"/>
      <c r="P13" s="286"/>
      <c r="Q13" s="286"/>
      <c r="R13" s="286"/>
      <c r="S13" s="286"/>
      <c r="T13" s="289"/>
      <c r="U13" s="289"/>
      <c r="V13" s="289"/>
      <c r="W13" s="289"/>
      <c r="X13" s="289"/>
      <c r="Y13" s="289"/>
      <c r="Z13" s="289"/>
      <c r="AA13" s="10"/>
    </row>
    <row r="14" spans="1:48" s="1" customFormat="1" ht="3.75" customHeight="1">
      <c r="A14" s="12"/>
      <c r="B14" s="12"/>
      <c r="C14" s="37"/>
      <c r="D14" s="38"/>
      <c r="E14" s="51"/>
      <c r="F14" s="51"/>
      <c r="G14" s="53"/>
      <c r="H14" s="53"/>
      <c r="I14" s="51"/>
      <c r="J14" s="51"/>
      <c r="K14" s="23"/>
      <c r="L14" s="24"/>
      <c r="M14" s="12"/>
      <c r="N14" s="12"/>
      <c r="O14" s="286"/>
      <c r="P14" s="286"/>
      <c r="Q14" s="286"/>
      <c r="R14" s="286"/>
      <c r="S14" s="286"/>
      <c r="T14" s="289"/>
      <c r="U14" s="289"/>
      <c r="V14" s="289"/>
      <c r="W14" s="289"/>
      <c r="X14" s="289"/>
      <c r="Y14" s="289"/>
      <c r="Z14" s="289"/>
      <c r="AA14" s="10"/>
    </row>
    <row r="15" spans="1:48" s="1" customFormat="1" ht="57.95" customHeight="1" thickBot="1">
      <c r="A15" s="12"/>
      <c r="B15" s="12"/>
      <c r="C15" s="292">
        <f>L24</f>
        <v>-1.5989999999999997E-2</v>
      </c>
      <c r="D15" s="292"/>
      <c r="E15" s="51"/>
      <c r="F15" s="51"/>
      <c r="G15" s="53"/>
      <c r="H15" s="53"/>
      <c r="I15" s="51"/>
      <c r="J15" s="51"/>
      <c r="K15" s="12"/>
      <c r="L15" s="12"/>
      <c r="M15" s="12"/>
      <c r="N15" s="12"/>
      <c r="O15" s="287"/>
      <c r="P15" s="287"/>
      <c r="Q15" s="287"/>
      <c r="R15" s="287"/>
      <c r="S15" s="287"/>
      <c r="T15" s="289"/>
      <c r="U15" s="289"/>
      <c r="V15" s="289"/>
      <c r="W15" s="289"/>
      <c r="X15" s="289"/>
      <c r="Y15" s="289"/>
      <c r="Z15" s="289"/>
      <c r="AA15" s="10"/>
    </row>
    <row r="16" spans="1:48" s="1" customFormat="1" ht="23.25" customHeight="1" thickBot="1">
      <c r="A16" s="12"/>
      <c r="B16" s="12"/>
      <c r="C16" s="20"/>
      <c r="D16" s="35">
        <v>46162</v>
      </c>
      <c r="E16" s="33" t="s">
        <v>12</v>
      </c>
      <c r="F16" s="34"/>
      <c r="G16" s="142">
        <v>2000</v>
      </c>
      <c r="H16" s="20"/>
      <c r="I16" s="21"/>
      <c r="J16" s="21"/>
      <c r="K16" s="12"/>
      <c r="L16" s="12"/>
      <c r="M16" s="12"/>
      <c r="N16" s="32"/>
      <c r="O16" s="29"/>
      <c r="P16" s="20"/>
      <c r="Q16" s="29"/>
      <c r="R16" s="20"/>
      <c r="S16" s="21"/>
      <c r="T16" s="281"/>
      <c r="U16" s="281"/>
      <c r="V16" s="281"/>
      <c r="W16" s="12"/>
      <c r="X16" s="12"/>
      <c r="Y16" s="12"/>
      <c r="Z16" s="12"/>
      <c r="AA16" s="10"/>
    </row>
    <row r="17" spans="1:27" s="1" customFormat="1" ht="18.75" customHeight="1" thickBot="1">
      <c r="A17" s="25"/>
      <c r="B17" s="20"/>
      <c r="C17" s="20"/>
      <c r="D17" s="20"/>
      <c r="E17" s="20"/>
      <c r="F17" s="20"/>
      <c r="G17" s="20"/>
      <c r="H17" s="20"/>
      <c r="I17" s="21"/>
      <c r="J17" s="21"/>
      <c r="K17" s="12"/>
      <c r="L17" s="12"/>
      <c r="M17" s="12"/>
      <c r="N17" s="32"/>
      <c r="O17" s="29"/>
      <c r="P17" s="20"/>
      <c r="Q17" s="29"/>
      <c r="R17" s="20"/>
      <c r="S17" s="21"/>
      <c r="T17" s="12"/>
      <c r="U17" s="26"/>
      <c r="V17" s="27"/>
      <c r="W17" s="12"/>
      <c r="X17" s="12"/>
      <c r="Y17" s="12"/>
      <c r="Z17" s="12"/>
      <c r="AA17" s="10"/>
    </row>
    <row r="18" spans="1:27" ht="18.75" customHeight="1" thickBot="1">
      <c r="A18" s="20"/>
      <c r="B18" s="89"/>
      <c r="C18" s="90"/>
      <c r="D18" s="90" t="s">
        <v>17</v>
      </c>
      <c r="E18" s="90"/>
      <c r="F18" s="91"/>
      <c r="G18" s="91"/>
      <c r="H18" s="92" t="s">
        <v>27</v>
      </c>
      <c r="I18" s="131"/>
      <c r="J18" s="133"/>
      <c r="K18" s="93" t="s">
        <v>21</v>
      </c>
      <c r="L18" s="94"/>
      <c r="M18" s="54"/>
      <c r="N18" s="32"/>
      <c r="O18" s="36"/>
      <c r="P18" s="125">
        <v>760</v>
      </c>
      <c r="Q18" s="112"/>
      <c r="R18" s="67"/>
      <c r="S18" s="127">
        <f t="shared" ref="S18:S31" si="0">Q18*-R18</f>
        <v>0</v>
      </c>
      <c r="T18" s="39"/>
      <c r="U18" s="20"/>
      <c r="V18" s="55"/>
      <c r="W18" s="56" t="s">
        <v>8</v>
      </c>
      <c r="X18" s="57"/>
      <c r="Y18" s="12"/>
      <c r="Z18" s="12"/>
      <c r="AA18" s="11"/>
    </row>
    <row r="19" spans="1:27" ht="18" customHeight="1" thickBot="1">
      <c r="A19" s="30"/>
      <c r="B19" s="95" t="s">
        <v>3</v>
      </c>
      <c r="C19" s="95" t="s">
        <v>1</v>
      </c>
      <c r="D19" s="96" t="s">
        <v>2</v>
      </c>
      <c r="E19" s="96" t="s">
        <v>11</v>
      </c>
      <c r="F19" s="96" t="s">
        <v>5</v>
      </c>
      <c r="G19" s="96" t="s">
        <v>9</v>
      </c>
      <c r="H19" s="97" t="s">
        <v>4</v>
      </c>
      <c r="I19" s="132" t="s">
        <v>26</v>
      </c>
      <c r="J19" s="134" t="s">
        <v>18</v>
      </c>
      <c r="K19" s="98" t="s">
        <v>19</v>
      </c>
      <c r="L19" s="99" t="s">
        <v>20</v>
      </c>
      <c r="M19" s="54"/>
      <c r="N19" s="32"/>
      <c r="O19" s="36"/>
      <c r="P19" s="68">
        <v>820</v>
      </c>
      <c r="Q19" s="113"/>
      <c r="R19" s="69"/>
      <c r="S19" s="70">
        <f t="shared" si="0"/>
        <v>0</v>
      </c>
      <c r="T19" s="39"/>
      <c r="U19" s="20"/>
      <c r="V19" s="58" t="s">
        <v>1</v>
      </c>
      <c r="W19" s="59" t="s">
        <v>9</v>
      </c>
      <c r="X19" s="60" t="s">
        <v>10</v>
      </c>
      <c r="Y19" s="12"/>
      <c r="Z19" s="12"/>
      <c r="AA19" s="11"/>
    </row>
    <row r="20" spans="1:27" ht="18" customHeight="1" thickBot="1">
      <c r="A20" s="30"/>
      <c r="B20" s="212">
        <v>1</v>
      </c>
      <c r="C20" s="199">
        <v>46130</v>
      </c>
      <c r="D20" s="200" t="s">
        <v>67</v>
      </c>
      <c r="E20" s="201">
        <f>1</f>
        <v>1</v>
      </c>
      <c r="F20" s="210">
        <f>(1*177)/E20</f>
        <v>177</v>
      </c>
      <c r="G20" s="203">
        <f t="shared" ref="G20:G21" si="1">-E20*F20</f>
        <v>-177</v>
      </c>
      <c r="H20" s="204">
        <v>162.5</v>
      </c>
      <c r="I20" s="205">
        <f t="shared" ref="I20:I21" si="2">E20*H20</f>
        <v>162.5</v>
      </c>
      <c r="J20" s="206">
        <f t="shared" ref="J20:J21" si="3">E20*(H20-F20)</f>
        <v>-14.5</v>
      </c>
      <c r="K20" s="207">
        <f t="shared" ref="K20:K21" si="4">-J20/G20</f>
        <v>-8.1920903954802254E-2</v>
      </c>
      <c r="L20" s="208">
        <f t="shared" ref="L20:L21" si="5">(J20)/10000</f>
        <v>-1.4499999999999999E-3</v>
      </c>
      <c r="M20" s="54"/>
      <c r="N20" s="32"/>
      <c r="O20" s="36"/>
      <c r="P20" s="129">
        <v>830</v>
      </c>
      <c r="Q20" s="114"/>
      <c r="R20" s="71"/>
      <c r="S20" s="130">
        <f t="shared" si="0"/>
        <v>0</v>
      </c>
      <c r="T20" s="39"/>
      <c r="U20" s="20"/>
      <c r="V20" s="109">
        <v>45919</v>
      </c>
      <c r="W20" s="110">
        <v>10000</v>
      </c>
      <c r="X20" s="111">
        <f>(W20-10000)/10000</f>
        <v>0</v>
      </c>
      <c r="Y20" s="12"/>
      <c r="Z20" s="12"/>
      <c r="AA20" s="11"/>
    </row>
    <row r="21" spans="1:27" ht="18" customHeight="1" thickBot="1">
      <c r="A21" s="30"/>
      <c r="B21" s="216">
        <v>2</v>
      </c>
      <c r="C21" s="217">
        <v>46131</v>
      </c>
      <c r="D21" s="218" t="s">
        <v>68</v>
      </c>
      <c r="E21" s="219">
        <f>1</f>
        <v>1</v>
      </c>
      <c r="F21" s="272">
        <f>(1*207.7)/E21</f>
        <v>207.7</v>
      </c>
      <c r="G21" s="221">
        <f t="shared" si="1"/>
        <v>-207.7</v>
      </c>
      <c r="H21" s="254">
        <v>14</v>
      </c>
      <c r="I21" s="177">
        <f t="shared" si="2"/>
        <v>14</v>
      </c>
      <c r="J21" s="175">
        <f t="shared" si="3"/>
        <v>-193.7</v>
      </c>
      <c r="K21" s="141">
        <f t="shared" si="4"/>
        <v>-0.93259508907077515</v>
      </c>
      <c r="L21" s="222">
        <f t="shared" si="5"/>
        <v>-1.9369999999999998E-2</v>
      </c>
      <c r="M21" s="54"/>
      <c r="N21" s="32"/>
      <c r="O21" s="36"/>
      <c r="P21" s="129">
        <v>830</v>
      </c>
      <c r="Q21" s="114"/>
      <c r="R21" s="71"/>
      <c r="S21" s="130">
        <f t="shared" si="0"/>
        <v>0</v>
      </c>
      <c r="T21" s="39"/>
      <c r="U21" s="20"/>
      <c r="V21" s="109">
        <v>45919</v>
      </c>
      <c r="W21" s="110">
        <v>10000</v>
      </c>
      <c r="X21" s="111">
        <f>(W21-10000)/10000</f>
        <v>0</v>
      </c>
      <c r="Y21" s="12"/>
      <c r="Z21" s="12"/>
      <c r="AA21" s="11"/>
    </row>
    <row r="22" spans="1:27" ht="18" customHeight="1" thickBot="1">
      <c r="A22" s="30"/>
      <c r="B22" s="167">
        <v>3</v>
      </c>
      <c r="C22" s="249">
        <v>46131</v>
      </c>
      <c r="D22" s="171" t="s">
        <v>62</v>
      </c>
      <c r="E22" s="169">
        <v>1E-3</v>
      </c>
      <c r="F22" s="170">
        <v>0</v>
      </c>
      <c r="G22" s="173">
        <v>48.3</v>
      </c>
      <c r="H22" s="197">
        <v>0</v>
      </c>
      <c r="I22" s="176">
        <f t="shared" ref="I22" si="6">G22</f>
        <v>48.3</v>
      </c>
      <c r="J22" s="174">
        <f t="shared" ref="J22" si="7">I22</f>
        <v>48.3</v>
      </c>
      <c r="K22" s="100">
        <v>1</v>
      </c>
      <c r="L22" s="140">
        <f>(J22)/10000</f>
        <v>4.8300000000000001E-3</v>
      </c>
      <c r="M22" s="54"/>
      <c r="N22" s="32"/>
      <c r="O22" s="124" t="e">
        <f>#REF!-#REF!-Q18</f>
        <v>#REF!</v>
      </c>
      <c r="P22" s="72">
        <v>750</v>
      </c>
      <c r="Q22" s="115"/>
      <c r="R22" s="73"/>
      <c r="S22" s="74">
        <f t="shared" si="0"/>
        <v>0</v>
      </c>
      <c r="T22" s="122" t="e">
        <f>-(#REF!-P22)*O22*100+#REF!</f>
        <v>#REF!</v>
      </c>
      <c r="U22" s="20"/>
      <c r="V22" s="61">
        <v>45942</v>
      </c>
      <c r="W22" s="62">
        <f>10478.4</f>
        <v>10478.4</v>
      </c>
      <c r="X22" s="213">
        <f>W22/10000-1</f>
        <v>4.7839999999999883E-2</v>
      </c>
      <c r="Y22" s="12"/>
      <c r="Z22" s="12"/>
      <c r="AA22" s="11"/>
    </row>
    <row r="23" spans="1:27" ht="20.25" customHeight="1" thickBot="1">
      <c r="A23" s="30"/>
      <c r="B23" s="21"/>
      <c r="C23" s="21"/>
      <c r="D23" s="21"/>
      <c r="E23" s="21"/>
      <c r="F23" s="21"/>
      <c r="G23" s="21"/>
      <c r="H23" s="21"/>
      <c r="I23" s="138" t="s">
        <v>28</v>
      </c>
      <c r="J23" s="139">
        <v>0</v>
      </c>
      <c r="K23" s="143"/>
      <c r="L23" s="143"/>
      <c r="M23" s="21"/>
      <c r="N23" s="32"/>
      <c r="O23" s="119">
        <f>O24-Q24-Q19</f>
        <v>0</v>
      </c>
      <c r="P23" s="76">
        <v>810</v>
      </c>
      <c r="Q23" s="116"/>
      <c r="R23" s="77"/>
      <c r="S23" s="74">
        <f t="shared" si="0"/>
        <v>0</v>
      </c>
      <c r="T23" s="75">
        <f t="shared" ref="T23:T24" si="8">-(P24-P23)*O23*100+T24</f>
        <v>0</v>
      </c>
      <c r="U23" s="20"/>
      <c r="V23" s="29"/>
      <c r="W23" s="21"/>
      <c r="X23" s="21"/>
      <c r="Y23" s="21"/>
      <c r="Z23" s="12"/>
      <c r="AA23" s="11"/>
    </row>
    <row r="24" spans="1:27" s="21" customFormat="1" ht="21.75" customHeight="1" thickBot="1">
      <c r="A24" s="30"/>
      <c r="I24" s="144">
        <v>0</v>
      </c>
      <c r="J24" s="145">
        <f>SUM(J20:J22)</f>
        <v>-159.89999999999998</v>
      </c>
      <c r="K24" s="103">
        <f>SUM(K20:K22)</f>
        <v>-1.4515993025577378E-2</v>
      </c>
      <c r="L24" s="135">
        <f>J24/10000</f>
        <v>-1.5989999999999997E-2</v>
      </c>
      <c r="N24" s="32"/>
      <c r="O24" s="119">
        <f>O25-Q25-Q21</f>
        <v>0</v>
      </c>
      <c r="P24" s="136">
        <v>815</v>
      </c>
      <c r="Q24" s="116"/>
      <c r="R24" s="77"/>
      <c r="S24" s="137">
        <f t="shared" si="0"/>
        <v>0</v>
      </c>
      <c r="T24" s="75">
        <f t="shared" si="8"/>
        <v>0</v>
      </c>
      <c r="U24" s="20"/>
      <c r="V24" s="29"/>
      <c r="Z24" s="12"/>
    </row>
    <row r="25" spans="1:27" s="21" customFormat="1" ht="20.25" customHeight="1" thickBot="1">
      <c r="A25" s="30"/>
      <c r="N25" s="32"/>
      <c r="O25" s="119">
        <f t="shared" ref="O25:O27" si="9">O26-Q26</f>
        <v>0</v>
      </c>
      <c r="P25" s="79">
        <v>817</v>
      </c>
      <c r="Q25" s="116"/>
      <c r="R25" s="77"/>
      <c r="S25" s="120">
        <f t="shared" si="0"/>
        <v>0</v>
      </c>
      <c r="T25" s="121">
        <f>S33</f>
        <v>0</v>
      </c>
      <c r="U25" s="20"/>
      <c r="V25" s="29"/>
      <c r="Z25" s="12"/>
    </row>
    <row r="26" spans="1:27" s="21" customFormat="1" ht="21.75" customHeight="1" thickBot="1">
      <c r="A26" s="30"/>
      <c r="C26" s="36"/>
      <c r="D26" s="36"/>
      <c r="E26" s="36"/>
      <c r="H26" s="36"/>
      <c r="O26" s="119">
        <f t="shared" si="9"/>
        <v>0</v>
      </c>
      <c r="P26" s="76">
        <v>820</v>
      </c>
      <c r="Q26" s="116"/>
      <c r="R26" s="77"/>
      <c r="S26" s="74">
        <f t="shared" si="0"/>
        <v>0</v>
      </c>
      <c r="T26" s="78">
        <f t="shared" ref="T26:T29" si="10">(P26-P25)*O25*100+T25</f>
        <v>0</v>
      </c>
      <c r="U26" s="20"/>
      <c r="V26" s="29"/>
      <c r="Z26" s="12"/>
    </row>
    <row r="27" spans="1:27" s="21" customFormat="1" ht="21.75" customHeight="1" thickBot="1">
      <c r="A27" s="30"/>
      <c r="B27" s="36"/>
      <c r="G27" s="255"/>
      <c r="H27" s="256"/>
      <c r="I27" s="146"/>
      <c r="J27" s="146"/>
      <c r="O27" s="119">
        <f t="shared" si="9"/>
        <v>0</v>
      </c>
      <c r="P27" s="76">
        <v>840</v>
      </c>
      <c r="Q27" s="116"/>
      <c r="R27" s="77"/>
      <c r="S27" s="74">
        <f t="shared" si="0"/>
        <v>0</v>
      </c>
      <c r="T27" s="78">
        <f t="shared" si="10"/>
        <v>0</v>
      </c>
      <c r="U27" s="20"/>
      <c r="V27" s="29"/>
      <c r="Z27" s="12"/>
    </row>
    <row r="28" spans="1:27" s="21" customFormat="1" ht="21" customHeight="1" thickBot="1">
      <c r="B28" s="36"/>
      <c r="C28" s="101" t="s">
        <v>13</v>
      </c>
      <c r="D28" s="102">
        <f>E28/G16</f>
        <v>0.16819999999999999</v>
      </c>
      <c r="E28" s="148">
        <f>-SUM(G20:G22)+J23</f>
        <v>336.4</v>
      </c>
      <c r="F28" s="36"/>
      <c r="G28" s="255"/>
      <c r="H28" s="256"/>
      <c r="I28" s="146"/>
      <c r="J28" s="178">
        <f>L33</f>
        <v>-159.89999999999998</v>
      </c>
      <c r="K28" s="273" t="s">
        <v>67</v>
      </c>
      <c r="L28" s="274">
        <f>J20</f>
        <v>-14.5</v>
      </c>
      <c r="O28" s="119">
        <f>O29-Q29</f>
        <v>0</v>
      </c>
      <c r="P28" s="76">
        <v>860</v>
      </c>
      <c r="Q28" s="116"/>
      <c r="R28" s="77"/>
      <c r="S28" s="74">
        <f t="shared" si="0"/>
        <v>0</v>
      </c>
      <c r="T28" s="78">
        <f t="shared" si="10"/>
        <v>0</v>
      </c>
      <c r="U28" s="20"/>
      <c r="V28" s="29"/>
      <c r="Z28" s="12"/>
    </row>
    <row r="29" spans="1:27" s="21" customFormat="1" ht="20.25" customHeight="1" thickBot="1">
      <c r="B29" s="36"/>
      <c r="C29" s="104" t="s">
        <v>14</v>
      </c>
      <c r="D29" s="105">
        <f>E29/G16</f>
        <v>0.75184999999999991</v>
      </c>
      <c r="E29" s="149">
        <f>E30-E28</f>
        <v>1503.6999999999998</v>
      </c>
      <c r="F29" s="36"/>
      <c r="G29" s="255"/>
      <c r="H29" s="256"/>
      <c r="I29" s="146"/>
      <c r="J29" s="146"/>
      <c r="K29" s="255" t="s">
        <v>68</v>
      </c>
      <c r="L29" s="241">
        <f>J21</f>
        <v>-193.7</v>
      </c>
      <c r="O29" s="118">
        <f>O30-Q30</f>
        <v>0</v>
      </c>
      <c r="P29" s="126">
        <v>870</v>
      </c>
      <c r="Q29" s="116"/>
      <c r="R29" s="77"/>
      <c r="S29" s="128">
        <f t="shared" si="0"/>
        <v>0</v>
      </c>
      <c r="T29" s="78">
        <f t="shared" si="10"/>
        <v>0</v>
      </c>
      <c r="U29" s="20"/>
      <c r="V29" s="29"/>
    </row>
    <row r="30" spans="1:27" s="21" customFormat="1" ht="21.75" customHeight="1" thickBot="1">
      <c r="B30" s="36"/>
      <c r="C30" s="106" t="s">
        <v>15</v>
      </c>
      <c r="D30" s="107">
        <f>D28+D29</f>
        <v>0.92004999999999992</v>
      </c>
      <c r="E30" s="150">
        <f>G16+J24</f>
        <v>1840.1</v>
      </c>
      <c r="F30" s="36"/>
      <c r="G30" s="255"/>
      <c r="H30" s="256"/>
      <c r="I30" s="146"/>
      <c r="J30" s="146"/>
      <c r="K30" s="236" t="s">
        <v>35</v>
      </c>
      <c r="L30" s="241">
        <f>J22</f>
        <v>48.3</v>
      </c>
      <c r="O30" s="118">
        <f>O31-Q31</f>
        <v>0</v>
      </c>
      <c r="P30" s="126">
        <v>890</v>
      </c>
      <c r="Q30" s="116"/>
      <c r="R30" s="77"/>
      <c r="S30" s="128">
        <f t="shared" si="0"/>
        <v>0</v>
      </c>
      <c r="T30" s="78">
        <f>(P30-P29)*O29*100+T29</f>
        <v>0</v>
      </c>
      <c r="U30" s="20"/>
      <c r="V30" s="29"/>
    </row>
    <row r="31" spans="1:27" s="21" customFormat="1" ht="20.25" customHeight="1" thickBot="1">
      <c r="B31" s="36"/>
      <c r="C31" s="36"/>
      <c r="D31" s="36"/>
      <c r="E31" s="36"/>
      <c r="F31" s="36"/>
      <c r="G31" s="257"/>
      <c r="H31" s="258"/>
      <c r="I31" s="146"/>
      <c r="J31" s="146"/>
      <c r="K31" s="192" t="s">
        <v>30</v>
      </c>
      <c r="L31" s="235">
        <f>SUM(L28:L30)</f>
        <v>-159.89999999999998</v>
      </c>
      <c r="O31" s="123">
        <f>SUM(Q22:Q32)+Q33</f>
        <v>0</v>
      </c>
      <c r="P31" s="81">
        <v>900</v>
      </c>
      <c r="Q31" s="117"/>
      <c r="R31" s="82"/>
      <c r="S31" s="74">
        <f t="shared" si="0"/>
        <v>0</v>
      </c>
      <c r="T31" s="80">
        <f>(P31-P30)*O30*100+T30</f>
        <v>0</v>
      </c>
      <c r="U31" s="20"/>
      <c r="V31" s="29"/>
    </row>
    <row r="32" spans="1:27" s="21" customFormat="1" ht="21" customHeight="1" thickBot="1">
      <c r="B32" s="36"/>
      <c r="F32" s="36"/>
      <c r="I32" s="147"/>
      <c r="J32" s="146"/>
      <c r="K32" s="138" t="s">
        <v>28</v>
      </c>
      <c r="L32" s="156">
        <f>J23</f>
        <v>0</v>
      </c>
      <c r="O32" s="84" t="s">
        <v>25</v>
      </c>
      <c r="P32" s="85"/>
      <c r="Q32" s="86"/>
      <c r="R32" s="86"/>
      <c r="S32" s="87"/>
      <c r="T32" s="83"/>
      <c r="U32" s="20"/>
      <c r="V32" s="29"/>
    </row>
    <row r="33" spans="2:22" s="21" customFormat="1" ht="20.25" customHeight="1" thickBot="1">
      <c r="B33" s="36"/>
      <c r="J33" s="146"/>
      <c r="L33" s="157">
        <f>L31</f>
        <v>-159.89999999999998</v>
      </c>
      <c r="O33" s="66"/>
      <c r="P33" s="66"/>
      <c r="Q33" s="88">
        <f>SUM(Q34:Q42)</f>
        <v>0</v>
      </c>
      <c r="R33" s="158">
        <f>0</f>
        <v>0</v>
      </c>
      <c r="S33" s="159">
        <f>SUM(S18:S32)</f>
        <v>0</v>
      </c>
      <c r="T33" s="39"/>
      <c r="U33" s="20"/>
      <c r="V33" s="29"/>
    </row>
    <row r="34" spans="2:22" s="21" customFormat="1" ht="21" customHeight="1" thickBot="1">
      <c r="B34" s="36"/>
      <c r="C34" s="108" t="s">
        <v>29</v>
      </c>
      <c r="D34" s="36"/>
      <c r="E34" s="36"/>
      <c r="J34" s="146"/>
      <c r="O34" s="66"/>
      <c r="P34" s="195" t="s">
        <v>30</v>
      </c>
      <c r="Q34" s="196">
        <v>0</v>
      </c>
      <c r="R34" s="160"/>
      <c r="S34" s="161">
        <v>0</v>
      </c>
      <c r="T34" s="39"/>
      <c r="U34" s="20"/>
      <c r="V34" s="29"/>
    </row>
    <row r="35" spans="2:22" s="21" customFormat="1" ht="21.75" customHeight="1" thickBot="1">
      <c r="B35" s="31"/>
      <c r="C35" s="40" t="s">
        <v>46</v>
      </c>
      <c r="D35" s="41" t="s">
        <v>21</v>
      </c>
      <c r="E35" s="42" t="s">
        <v>16</v>
      </c>
      <c r="U35" s="20"/>
      <c r="V35" s="29"/>
    </row>
    <row r="36" spans="2:22" s="21" customFormat="1" ht="20.25" customHeight="1" thickBot="1">
      <c r="C36" s="151">
        <v>2000</v>
      </c>
      <c r="D36" s="152">
        <f>J24</f>
        <v>-159.89999999999998</v>
      </c>
      <c r="E36" s="153">
        <f>C36+D36</f>
        <v>1840.1</v>
      </c>
      <c r="G36" s="179"/>
      <c r="H36" s="194"/>
      <c r="U36" s="20"/>
      <c r="V36" s="29"/>
    </row>
    <row r="37" spans="2:22" s="21" customFormat="1" ht="22.5" customHeight="1" thickBot="1">
      <c r="G37" s="259"/>
      <c r="H37" s="258"/>
      <c r="U37" s="20"/>
      <c r="V37" s="29"/>
    </row>
    <row r="38" spans="2:22" s="21" customFormat="1" ht="22.5" customHeight="1">
      <c r="U38" s="20"/>
      <c r="V38" s="29"/>
    </row>
    <row r="39" spans="2:22" s="21" customFormat="1" ht="21.75" customHeight="1">
      <c r="U39" s="20"/>
      <c r="V39" s="29"/>
    </row>
    <row r="40" spans="2:22" s="21" customFormat="1" ht="18.75" customHeight="1">
      <c r="U40" s="20"/>
      <c r="V40" s="29"/>
    </row>
    <row r="41" spans="2:22" s="21" customFormat="1" ht="18.75" customHeight="1">
      <c r="K41" s="9"/>
      <c r="L41" s="8"/>
      <c r="U41" s="20"/>
      <c r="V41" s="29"/>
    </row>
    <row r="42" spans="2:22" s="21" customFormat="1" ht="20.25" customHeight="1">
      <c r="K42" s="9"/>
      <c r="L42" s="8"/>
      <c r="U42" s="20"/>
      <c r="V42" s="29"/>
    </row>
    <row r="43" spans="2:22" s="21" customFormat="1" ht="23.25" customHeight="1">
      <c r="K43" s="9"/>
      <c r="L43" s="8"/>
      <c r="U43" s="20"/>
      <c r="V43" s="29"/>
    </row>
    <row r="44" spans="2:22" s="21" customFormat="1" ht="18.75" customHeight="1">
      <c r="K44" s="9"/>
      <c r="L44" s="8"/>
      <c r="U44" s="20"/>
      <c r="V44" s="29"/>
    </row>
    <row r="45" spans="2:22" s="21" customFormat="1" ht="21" customHeight="1">
      <c r="K45" s="9"/>
      <c r="L45" s="8"/>
      <c r="U45" s="20"/>
      <c r="V45" s="29"/>
    </row>
    <row r="46" spans="2:22" s="21" customFormat="1" ht="21.75" customHeight="1">
      <c r="K46" s="9"/>
      <c r="L46" s="8"/>
      <c r="U46" s="20"/>
      <c r="V46" s="29"/>
    </row>
    <row r="47" spans="2:22" s="21" customFormat="1" ht="20.25" customHeight="1">
      <c r="K47" s="9"/>
      <c r="L47" s="8"/>
      <c r="U47" s="20"/>
      <c r="V47" s="29"/>
    </row>
    <row r="48" spans="2:22" s="21" customFormat="1" ht="20.25" customHeight="1">
      <c r="K48" s="9"/>
      <c r="L48" s="8"/>
      <c r="U48" s="20"/>
      <c r="V48" s="29"/>
    </row>
    <row r="49" spans="2:22" s="21" customFormat="1" ht="19.5" customHeight="1">
      <c r="K49" s="9"/>
      <c r="L49" s="8"/>
      <c r="U49" s="20"/>
      <c r="V49" s="29"/>
    </row>
    <row r="50" spans="2:22" s="21" customFormat="1" ht="21.75" customHeight="1">
      <c r="K50" s="9"/>
      <c r="L50" s="8"/>
      <c r="U50" s="20"/>
      <c r="V50" s="29"/>
    </row>
    <row r="51" spans="2:22" s="21" customFormat="1" ht="22.5" customHeight="1">
      <c r="K51" s="9"/>
      <c r="L51" s="8"/>
      <c r="U51" s="20"/>
      <c r="V51" s="29"/>
    </row>
    <row r="52" spans="2:22" s="21" customFormat="1" ht="23.25" customHeight="1">
      <c r="K52" s="9"/>
      <c r="L52" s="8"/>
      <c r="U52" s="20"/>
      <c r="V52" s="29"/>
    </row>
    <row r="53" spans="2:22" s="21" customFormat="1" ht="24.75" customHeight="1">
      <c r="K53" s="9"/>
      <c r="L53" s="8"/>
      <c r="U53" s="20"/>
      <c r="V53" s="29"/>
    </row>
    <row r="54" spans="2:22" s="21" customFormat="1" ht="27.75" customHeight="1">
      <c r="K54" s="9"/>
      <c r="L54" s="8"/>
      <c r="U54" s="20"/>
      <c r="V54" s="29"/>
    </row>
    <row r="55" spans="2:22" s="21" customFormat="1" ht="27.75" customHeight="1">
      <c r="K55" s="9"/>
      <c r="L55" s="8"/>
      <c r="U55" s="20"/>
      <c r="V55" s="29"/>
    </row>
    <row r="56" spans="2:22" s="21" customFormat="1" ht="27.75" customHeight="1">
      <c r="K56" s="9"/>
      <c r="L56" s="8"/>
      <c r="U56" s="20"/>
      <c r="V56" s="29"/>
    </row>
    <row r="57" spans="2:22" s="21" customFormat="1" ht="27.75" customHeight="1">
      <c r="K57" s="9"/>
      <c r="L57" s="8"/>
      <c r="U57" s="20"/>
      <c r="V57" s="29"/>
    </row>
    <row r="58" spans="2:22" s="21" customFormat="1" ht="27.75" customHeight="1">
      <c r="K58" s="9"/>
      <c r="L58" s="8"/>
      <c r="P58" s="20"/>
      <c r="Q58" s="29"/>
      <c r="R58" s="20"/>
      <c r="T58" s="29"/>
      <c r="U58" s="20"/>
      <c r="V58" s="29"/>
    </row>
    <row r="59" spans="2:22" s="21" customFormat="1" ht="27.75" customHeight="1">
      <c r="K59" s="9"/>
      <c r="L59" s="8"/>
      <c r="P59" s="20"/>
      <c r="Q59" s="29"/>
      <c r="R59" s="20"/>
      <c r="T59" s="29"/>
      <c r="U59" s="20"/>
      <c r="V59" s="29"/>
    </row>
    <row r="60" spans="2:22" s="21" customFormat="1" ht="27.75" customHeight="1">
      <c r="K60" s="9"/>
      <c r="L60" s="8"/>
      <c r="M60" s="32"/>
      <c r="P60" s="20"/>
      <c r="Q60" s="29"/>
      <c r="R60" s="20"/>
      <c r="T60" s="29"/>
      <c r="U60" s="20"/>
      <c r="V60" s="29"/>
    </row>
    <row r="61" spans="2:22" s="21" customFormat="1" ht="27.75" customHeight="1">
      <c r="K61" s="9"/>
      <c r="L61" s="8"/>
      <c r="M61" s="32"/>
      <c r="P61" s="20"/>
      <c r="Q61" s="29"/>
      <c r="R61" s="20"/>
      <c r="T61" s="29"/>
      <c r="U61" s="20"/>
      <c r="V61" s="29"/>
    </row>
    <row r="62" spans="2:22" s="21" customFormat="1" ht="27.75" customHeight="1">
      <c r="B62" s="2"/>
      <c r="C62" s="2"/>
      <c r="D62" s="2"/>
      <c r="E62" s="6"/>
      <c r="F62" s="6"/>
      <c r="G62" s="8"/>
      <c r="H62" s="8"/>
      <c r="I62" s="2"/>
      <c r="J62" s="2"/>
      <c r="K62" s="9"/>
      <c r="L62" s="8"/>
      <c r="M62" s="32"/>
      <c r="P62" s="20"/>
      <c r="Q62" s="29"/>
      <c r="R62" s="20"/>
      <c r="T62" s="29"/>
      <c r="U62" s="20"/>
      <c r="V62" s="29"/>
    </row>
    <row r="63" spans="2:22" s="21" customFormat="1" ht="27.75" customHeight="1">
      <c r="B63" s="2"/>
      <c r="C63" s="2"/>
      <c r="D63" s="2"/>
      <c r="E63" s="6"/>
      <c r="F63" s="6"/>
      <c r="G63" s="8"/>
      <c r="H63" s="8"/>
      <c r="I63" s="2"/>
      <c r="J63" s="2"/>
      <c r="K63" s="9"/>
      <c r="L63" s="8"/>
      <c r="O63" s="29"/>
      <c r="P63" s="20"/>
      <c r="Q63" s="29"/>
      <c r="R63" s="20"/>
      <c r="T63" s="29"/>
      <c r="V63" s="29"/>
    </row>
    <row r="64" spans="2:22" s="21" customFormat="1" ht="27.75" customHeight="1">
      <c r="B64" s="2"/>
      <c r="C64" s="2"/>
      <c r="D64" s="2"/>
      <c r="E64" s="6"/>
      <c r="F64" s="6"/>
      <c r="G64" s="8"/>
      <c r="H64" s="8"/>
      <c r="I64" s="2"/>
      <c r="J64" s="2"/>
      <c r="K64" s="9"/>
      <c r="L64" s="8"/>
      <c r="O64" s="29"/>
      <c r="P64" s="20"/>
      <c r="Q64" s="29"/>
      <c r="R64" s="20"/>
      <c r="T64" s="29"/>
      <c r="V64" s="29"/>
    </row>
    <row r="65" spans="2:22" s="21" customFormat="1" ht="27.75" customHeight="1">
      <c r="B65" s="2"/>
      <c r="C65" s="2"/>
      <c r="D65" s="2"/>
      <c r="E65" s="6"/>
      <c r="F65" s="6"/>
      <c r="G65" s="8"/>
      <c r="H65" s="8"/>
      <c r="I65" s="2"/>
      <c r="J65" s="2"/>
      <c r="K65" s="9"/>
      <c r="L65" s="8"/>
      <c r="O65" s="29"/>
      <c r="P65" s="20"/>
      <c r="Q65" s="29"/>
      <c r="R65" s="20"/>
      <c r="T65" s="29"/>
      <c r="V65" s="29"/>
    </row>
    <row r="66" spans="2:22" s="21" customFormat="1" ht="27.75" customHeight="1">
      <c r="B66" s="2"/>
      <c r="C66" s="2"/>
      <c r="D66" s="2"/>
      <c r="E66" s="6"/>
      <c r="F66" s="6"/>
      <c r="G66" s="8"/>
      <c r="H66" s="8"/>
      <c r="I66" s="2"/>
      <c r="J66" s="2"/>
      <c r="K66" s="9"/>
      <c r="L66" s="8"/>
      <c r="O66" s="29"/>
      <c r="P66" s="20"/>
      <c r="Q66" s="29"/>
      <c r="R66" s="20"/>
      <c r="T66" s="29"/>
      <c r="V66" s="29"/>
    </row>
    <row r="67" spans="2:22" s="21" customFormat="1" ht="27.75" customHeight="1">
      <c r="B67" s="2"/>
      <c r="C67" s="2"/>
      <c r="D67" s="2"/>
      <c r="E67" s="6"/>
      <c r="F67" s="6"/>
      <c r="G67" s="8"/>
      <c r="H67" s="8"/>
      <c r="I67" s="2"/>
      <c r="J67" s="2"/>
      <c r="K67" s="9"/>
      <c r="L67" s="8"/>
      <c r="O67" s="29"/>
      <c r="P67" s="20"/>
      <c r="Q67" s="29"/>
      <c r="R67" s="20"/>
      <c r="T67" s="29"/>
      <c r="V67" s="29"/>
    </row>
    <row r="68" spans="2:22" s="21" customFormat="1" ht="27.75" customHeight="1">
      <c r="B68" s="2"/>
      <c r="C68" s="2"/>
      <c r="D68" s="2"/>
      <c r="E68" s="6"/>
      <c r="F68" s="6"/>
      <c r="G68" s="8"/>
      <c r="H68" s="8"/>
      <c r="I68" s="2"/>
      <c r="J68" s="2"/>
      <c r="K68" s="9"/>
      <c r="L68" s="8"/>
      <c r="O68" s="29"/>
      <c r="P68" s="20"/>
      <c r="Q68" s="29"/>
      <c r="R68" s="20"/>
      <c r="T68" s="29"/>
      <c r="V68" s="29"/>
    </row>
    <row r="69" spans="2:22" s="21" customFormat="1" ht="27.75" customHeight="1">
      <c r="B69" s="2"/>
      <c r="C69" s="2"/>
      <c r="D69" s="2"/>
      <c r="E69" s="6"/>
      <c r="F69" s="6"/>
      <c r="G69" s="8"/>
      <c r="H69" s="8"/>
      <c r="I69" s="2"/>
      <c r="J69" s="2"/>
      <c r="K69" s="9"/>
      <c r="L69" s="8"/>
      <c r="O69" s="29"/>
      <c r="P69" s="20"/>
      <c r="Q69" s="29"/>
      <c r="R69" s="20"/>
      <c r="T69" s="29"/>
      <c r="V69" s="29"/>
    </row>
    <row r="70" spans="2:22" s="21" customFormat="1" ht="27.75" customHeight="1">
      <c r="B70" s="2"/>
      <c r="C70" s="2"/>
      <c r="D70" s="2"/>
      <c r="E70" s="6"/>
      <c r="F70" s="6"/>
      <c r="G70" s="8"/>
      <c r="H70" s="8"/>
      <c r="I70" s="2"/>
      <c r="J70" s="2"/>
      <c r="K70" s="9"/>
      <c r="L70" s="8"/>
      <c r="O70" s="29"/>
      <c r="P70" s="20"/>
      <c r="Q70" s="29"/>
      <c r="R70" s="20"/>
      <c r="T70" s="29"/>
      <c r="V70" s="29"/>
    </row>
    <row r="71" spans="2:22" s="21" customFormat="1" ht="27.75" customHeight="1">
      <c r="B71" s="2"/>
      <c r="C71" s="2"/>
      <c r="D71" s="2"/>
      <c r="E71" s="6"/>
      <c r="F71" s="6"/>
      <c r="G71" s="8"/>
      <c r="H71" s="8"/>
      <c r="I71" s="2"/>
      <c r="J71" s="2"/>
      <c r="K71" s="9"/>
      <c r="L71" s="8"/>
      <c r="O71" s="29"/>
      <c r="P71" s="20"/>
      <c r="Q71" s="29"/>
      <c r="R71" s="20"/>
      <c r="T71" s="29"/>
      <c r="V71" s="29"/>
    </row>
    <row r="72" spans="2:22" s="21" customFormat="1" ht="27.75" customHeight="1">
      <c r="B72" s="2"/>
      <c r="C72" s="2"/>
      <c r="D72" s="2"/>
      <c r="E72" s="6"/>
      <c r="F72" s="6"/>
      <c r="G72" s="8"/>
      <c r="H72" s="8"/>
      <c r="I72" s="2"/>
      <c r="J72" s="2"/>
      <c r="K72" s="9"/>
      <c r="L72" s="8"/>
      <c r="O72" s="29"/>
      <c r="P72" s="20"/>
      <c r="Q72" s="29"/>
      <c r="R72" s="20"/>
      <c r="T72" s="29"/>
      <c r="V72" s="29"/>
    </row>
    <row r="73" spans="2:22" s="21" customFormat="1" ht="27.75" customHeight="1">
      <c r="B73" s="2"/>
      <c r="C73" s="2"/>
      <c r="D73" s="2"/>
      <c r="E73" s="6"/>
      <c r="F73" s="6"/>
      <c r="G73" s="8"/>
      <c r="H73" s="8"/>
      <c r="I73" s="2"/>
      <c r="J73" s="2"/>
      <c r="K73" s="9"/>
      <c r="L73" s="8"/>
      <c r="O73" s="29"/>
      <c r="P73" s="20"/>
      <c r="Q73" s="29"/>
      <c r="R73" s="20"/>
      <c r="T73" s="29"/>
      <c r="V73" s="29"/>
    </row>
    <row r="74" spans="2:22" s="21" customFormat="1" ht="27.75" customHeight="1">
      <c r="B74" s="2"/>
      <c r="C74" s="2"/>
      <c r="D74" s="2"/>
      <c r="E74" s="6"/>
      <c r="F74" s="6"/>
      <c r="G74" s="8"/>
      <c r="H74" s="8"/>
      <c r="I74" s="2"/>
      <c r="J74" s="2"/>
      <c r="K74" s="9"/>
      <c r="L74" s="8"/>
      <c r="O74" s="29"/>
      <c r="P74" s="20"/>
      <c r="Q74" s="29"/>
      <c r="R74" s="20"/>
      <c r="T74" s="29"/>
      <c r="V74" s="29"/>
    </row>
    <row r="75" spans="2:22" s="21" customFormat="1" ht="27.75" customHeight="1">
      <c r="B75" s="2"/>
      <c r="C75" s="2"/>
      <c r="D75" s="2"/>
      <c r="E75" s="6"/>
      <c r="F75" s="6"/>
      <c r="G75" s="8"/>
      <c r="H75" s="8"/>
      <c r="I75" s="2"/>
      <c r="J75" s="2"/>
      <c r="K75" s="9"/>
      <c r="L75" s="8"/>
      <c r="O75" s="29"/>
      <c r="P75" s="20"/>
      <c r="Q75" s="29"/>
      <c r="R75" s="20"/>
      <c r="T75" s="29"/>
      <c r="V75" s="29"/>
    </row>
    <row r="76" spans="2:22" s="21" customFormat="1" ht="27.75" customHeight="1">
      <c r="B76" s="2"/>
      <c r="C76" s="2"/>
      <c r="D76" s="2"/>
      <c r="E76" s="6"/>
      <c r="F76" s="6"/>
      <c r="G76" s="8"/>
      <c r="H76" s="8"/>
      <c r="I76" s="2"/>
      <c r="J76" s="2"/>
      <c r="K76" s="9"/>
      <c r="L76" s="8"/>
      <c r="N76" s="32"/>
      <c r="O76" s="29"/>
      <c r="P76" s="20"/>
      <c r="Q76" s="29"/>
      <c r="R76" s="20"/>
      <c r="T76" s="29"/>
      <c r="V76" s="29"/>
    </row>
    <row r="77" spans="2:22" s="21" customFormat="1" ht="27.75" customHeight="1">
      <c r="B77" s="2"/>
      <c r="C77" s="2"/>
      <c r="D77" s="2"/>
      <c r="E77" s="6"/>
      <c r="F77" s="6"/>
      <c r="G77" s="8"/>
      <c r="H77" s="8"/>
      <c r="I77" s="2"/>
      <c r="J77" s="2"/>
      <c r="K77" s="9"/>
      <c r="L77" s="8"/>
      <c r="N77" s="32"/>
      <c r="O77" s="29"/>
      <c r="P77" s="20"/>
      <c r="Q77" s="29"/>
      <c r="R77" s="20"/>
      <c r="T77" s="29"/>
      <c r="V77" s="29"/>
    </row>
    <row r="78" spans="2:22" s="21" customFormat="1" ht="27.75" customHeight="1">
      <c r="B78" s="2"/>
      <c r="C78" s="2"/>
      <c r="D78" s="2"/>
      <c r="E78" s="6"/>
      <c r="F78" s="6"/>
      <c r="G78" s="8"/>
      <c r="H78" s="8"/>
      <c r="I78" s="2"/>
      <c r="J78" s="2"/>
      <c r="K78" s="9"/>
      <c r="L78" s="8"/>
      <c r="N78" s="32"/>
      <c r="O78" s="29"/>
      <c r="P78" s="20"/>
      <c r="Q78" s="29"/>
      <c r="R78" s="20"/>
      <c r="T78" s="29"/>
      <c r="V78" s="29"/>
    </row>
    <row r="79" spans="2:22" s="21" customFormat="1" ht="27.75" customHeight="1">
      <c r="B79" s="2"/>
      <c r="C79" s="2"/>
      <c r="D79" s="2"/>
      <c r="E79" s="6"/>
      <c r="F79" s="6"/>
      <c r="G79" s="8"/>
      <c r="H79" s="8"/>
      <c r="I79" s="2"/>
      <c r="J79" s="2"/>
      <c r="K79" s="9"/>
      <c r="L79" s="8"/>
      <c r="O79" s="29"/>
      <c r="P79" s="20"/>
      <c r="Q79" s="29"/>
      <c r="R79" s="20"/>
      <c r="T79" s="29"/>
      <c r="V79" s="29"/>
    </row>
    <row r="80" spans="2:22" s="21" customFormat="1" ht="27.75" customHeight="1">
      <c r="B80" s="2"/>
      <c r="C80" s="2"/>
      <c r="D80" s="2"/>
      <c r="E80" s="6"/>
      <c r="F80" s="6"/>
      <c r="G80" s="8"/>
      <c r="H80" s="8"/>
      <c r="I80" s="2"/>
      <c r="J80" s="2"/>
      <c r="K80" s="9"/>
      <c r="L80" s="8"/>
      <c r="O80" s="29"/>
      <c r="P80" s="20"/>
      <c r="Q80" s="29"/>
      <c r="R80" s="20"/>
      <c r="T80" s="29"/>
      <c r="V80" s="29"/>
    </row>
    <row r="81" spans="2:38" s="21" customFormat="1" ht="27.75" customHeight="1">
      <c r="B81" s="2"/>
      <c r="C81" s="2"/>
      <c r="D81" s="2"/>
      <c r="E81" s="6"/>
      <c r="F81" s="6"/>
      <c r="G81" s="8"/>
      <c r="H81" s="8"/>
      <c r="I81" s="2"/>
      <c r="J81" s="2"/>
      <c r="K81" s="9"/>
      <c r="L81" s="8"/>
      <c r="N81" s="32"/>
      <c r="O81" s="29"/>
      <c r="P81" s="20"/>
      <c r="Q81" s="29"/>
      <c r="R81" s="20"/>
      <c r="T81" s="29"/>
      <c r="V81" s="29"/>
    </row>
    <row r="82" spans="2:38" s="21" customFormat="1" ht="27.75" customHeight="1">
      <c r="B82" s="2"/>
      <c r="C82" s="2"/>
      <c r="D82" s="2"/>
      <c r="E82" s="6"/>
      <c r="F82" s="6"/>
      <c r="G82" s="8"/>
      <c r="H82" s="8"/>
      <c r="I82" s="2"/>
      <c r="J82" s="2"/>
      <c r="K82" s="9"/>
      <c r="L82" s="8"/>
      <c r="N82" s="32"/>
      <c r="O82" s="29"/>
      <c r="P82" s="20"/>
      <c r="Q82" s="29"/>
      <c r="R82" s="20"/>
      <c r="T82" s="29"/>
      <c r="V82" s="29"/>
    </row>
    <row r="83" spans="2:38" s="21" customFormat="1" ht="27.75" customHeight="1">
      <c r="B83" s="2"/>
      <c r="C83" s="2"/>
      <c r="D83" s="2"/>
      <c r="E83" s="6"/>
      <c r="F83" s="6"/>
      <c r="G83" s="8"/>
      <c r="H83" s="8"/>
      <c r="I83" s="2"/>
      <c r="J83" s="2"/>
      <c r="K83" s="9"/>
      <c r="L83" s="8"/>
      <c r="O83" s="29"/>
      <c r="P83" s="20"/>
      <c r="Q83" s="29"/>
      <c r="R83" s="20"/>
      <c r="T83" s="29"/>
      <c r="V83" s="29"/>
    </row>
    <row r="84" spans="2:38" s="21" customFormat="1" ht="27.75" customHeight="1">
      <c r="B84" s="2"/>
      <c r="C84" s="2"/>
      <c r="D84" s="2"/>
      <c r="E84" s="6"/>
      <c r="F84" s="6"/>
      <c r="G84" s="8"/>
      <c r="H84" s="8"/>
      <c r="I84" s="2"/>
      <c r="J84" s="2"/>
      <c r="K84" s="9"/>
      <c r="L84" s="8"/>
      <c r="O84" s="29"/>
      <c r="P84" s="20"/>
      <c r="Q84" s="29"/>
      <c r="R84" s="20"/>
      <c r="T84" s="29"/>
      <c r="V84" s="29"/>
    </row>
    <row r="85" spans="2:38" s="21" customFormat="1" ht="27.75" customHeight="1">
      <c r="B85" s="2"/>
      <c r="C85" s="2"/>
      <c r="D85" s="2"/>
      <c r="E85" s="6"/>
      <c r="F85" s="6"/>
      <c r="G85" s="8"/>
      <c r="H85" s="8"/>
      <c r="I85" s="2"/>
      <c r="J85" s="2"/>
      <c r="K85" s="9"/>
      <c r="L85" s="8"/>
      <c r="N85" s="32"/>
      <c r="O85" s="29"/>
      <c r="P85" s="20"/>
      <c r="Q85" s="29"/>
      <c r="R85" s="20"/>
      <c r="T85" s="29"/>
      <c r="V85" s="29"/>
    </row>
    <row r="86" spans="2:38" s="21" customFormat="1" ht="27.75" customHeight="1">
      <c r="B86" s="2"/>
      <c r="C86" s="2"/>
      <c r="D86" s="2"/>
      <c r="E86" s="6"/>
      <c r="F86" s="6"/>
      <c r="G86" s="8"/>
      <c r="H86" s="8"/>
      <c r="I86" s="2"/>
      <c r="J86" s="2"/>
      <c r="K86" s="9"/>
      <c r="L86" s="8"/>
      <c r="N86" s="32"/>
      <c r="O86" s="29"/>
      <c r="P86" s="20"/>
      <c r="Q86" s="29"/>
      <c r="R86" s="20"/>
      <c r="T86" s="29"/>
      <c r="V86" s="29"/>
    </row>
    <row r="87" spans="2:38" s="21" customFormat="1" ht="27.75" customHeight="1">
      <c r="B87" s="2"/>
      <c r="C87" s="2"/>
      <c r="D87" s="2"/>
      <c r="E87" s="6"/>
      <c r="F87" s="6"/>
      <c r="G87" s="8"/>
      <c r="H87" s="8"/>
      <c r="I87" s="2"/>
      <c r="J87" s="2"/>
      <c r="K87" s="9"/>
      <c r="L87" s="8"/>
      <c r="N87" s="32"/>
      <c r="O87" s="29"/>
      <c r="P87" s="20"/>
      <c r="Q87" s="29"/>
      <c r="R87" s="20"/>
      <c r="T87" s="29"/>
      <c r="V87" s="29"/>
    </row>
    <row r="88" spans="2:38" ht="27.75" customHeight="1">
      <c r="N88" s="32"/>
      <c r="O88" s="29"/>
      <c r="P88" s="20"/>
      <c r="Q88" s="29"/>
      <c r="R88" s="20"/>
      <c r="S88" s="21"/>
      <c r="T88" s="29"/>
      <c r="V88" s="29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pans="2:38" ht="27.75" customHeight="1">
      <c r="N89" s="32"/>
      <c r="O89" s="29"/>
      <c r="P89" s="20"/>
      <c r="Q89" s="29"/>
      <c r="R89" s="20"/>
      <c r="S89" s="21"/>
      <c r="T89" s="29"/>
      <c r="V89" s="29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pans="2:38" ht="27.75" customHeight="1">
      <c r="N90" s="32"/>
      <c r="O90" s="29"/>
      <c r="P90" s="20"/>
      <c r="Q90" s="29"/>
      <c r="R90" s="20"/>
      <c r="S90" s="21"/>
      <c r="T90" s="29"/>
      <c r="V90" s="29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2:38" ht="27.75" customHeight="1">
      <c r="N91" s="32"/>
      <c r="O91" s="29"/>
      <c r="P91" s="20"/>
      <c r="Q91" s="29"/>
      <c r="R91" s="20"/>
      <c r="S91" s="21"/>
      <c r="T91" s="29"/>
      <c r="V91" s="29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2:38" ht="27.75" customHeight="1">
      <c r="N92" s="32"/>
      <c r="O92" s="29"/>
      <c r="P92" s="20"/>
      <c r="Q92" s="29"/>
      <c r="R92" s="20"/>
      <c r="S92" s="21"/>
      <c r="T92" s="29"/>
      <c r="V92" s="29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2:38" ht="27.75" customHeight="1">
      <c r="N93" s="32"/>
      <c r="O93" s="29"/>
      <c r="P93" s="20"/>
      <c r="Q93" s="29"/>
      <c r="R93" s="20"/>
      <c r="S93" s="21"/>
      <c r="T93" s="29"/>
      <c r="V93" s="29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2:38" ht="27.75" customHeight="1">
      <c r="N94" s="32"/>
      <c r="O94" s="29"/>
      <c r="P94" s="20"/>
      <c r="Q94" s="29"/>
      <c r="R94" s="20"/>
      <c r="S94" s="21"/>
      <c r="T94" s="29"/>
      <c r="V94" s="29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2:38" ht="27.75" customHeight="1">
      <c r="N95" s="32"/>
      <c r="O95" s="29"/>
      <c r="P95" s="20"/>
      <c r="Q95" s="29"/>
      <c r="R95" s="20"/>
      <c r="S95" s="21"/>
      <c r="T95" s="29"/>
      <c r="V95" s="29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2:38" ht="27.75" customHeight="1">
      <c r="N96" s="32"/>
      <c r="O96" s="29"/>
      <c r="P96" s="20"/>
      <c r="Q96" s="29"/>
      <c r="R96" s="20"/>
      <c r="S96" s="21"/>
      <c r="T96" s="29"/>
      <c r="V96" s="29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 ht="27.75" customHeight="1">
      <c r="A97" s="32"/>
      <c r="N97" s="32"/>
      <c r="O97" s="29"/>
      <c r="P97" s="20"/>
      <c r="Q97" s="29"/>
      <c r="R97" s="20"/>
      <c r="S97" s="21"/>
      <c r="T97" s="29"/>
      <c r="V97" s="29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pans="1:38" ht="27.75" customHeight="1">
      <c r="N98" s="32"/>
      <c r="V98" s="29"/>
      <c r="W98" s="21"/>
      <c r="X98" s="21"/>
      <c r="Y98" s="21"/>
    </row>
    <row r="99" spans="1:38" ht="27.75" customHeight="1">
      <c r="N99" s="32"/>
    </row>
  </sheetData>
  <mergeCells count="14">
    <mergeCell ref="C13:D13"/>
    <mergeCell ref="K13:L13"/>
    <mergeCell ref="C15:D15"/>
    <mergeCell ref="T16:V16"/>
    <mergeCell ref="D2:T2"/>
    <mergeCell ref="D3:J5"/>
    <mergeCell ref="T3:X3"/>
    <mergeCell ref="O5:S15"/>
    <mergeCell ref="F6:J6"/>
    <mergeCell ref="T6:Z15"/>
    <mergeCell ref="C7:D7"/>
    <mergeCell ref="C9:D9"/>
    <mergeCell ref="C10:D10"/>
    <mergeCell ref="C12:D12"/>
  </mergeCells>
  <printOptions horizontalCentered="1"/>
  <pageMargins left="0.4" right="0.4" top="0.4" bottom="0.4" header="0.25" footer="0.25"/>
  <pageSetup paperSize="9" scale="62" fitToHeight="0" orientation="portrait" r:id="rId1"/>
  <headerFooter differentFirst="1">
    <oddFooter>&amp;CPage &amp;P of &amp;N</oddFoot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FAA8-5317-45D9-A924-25B9252ADD11}">
  <sheetPr>
    <tabColor theme="3" tint="0.249977111117893"/>
    <pageSetUpPr fitToPage="1"/>
  </sheetPr>
  <dimension ref="A1:AV98"/>
  <sheetViews>
    <sheetView showGridLines="0" topLeftCell="A10" zoomScale="90" zoomScaleNormal="90" workbookViewId="0">
      <selection activeCell="E29" sqref="E29"/>
    </sheetView>
  </sheetViews>
  <sheetFormatPr defaultColWidth="9.140625" defaultRowHeight="27.75" customHeight="1"/>
  <cols>
    <col min="1" max="1" width="0.28515625" style="2" customWidth="1"/>
    <col min="2" max="2" width="6" style="2" customWidth="1"/>
    <col min="3" max="3" width="17.85546875" style="2" customWidth="1"/>
    <col min="4" max="4" width="26" style="2" customWidth="1"/>
    <col min="5" max="5" width="16.7109375" style="6" customWidth="1"/>
    <col min="6" max="6" width="18.42578125" style="6" customWidth="1"/>
    <col min="7" max="7" width="23.42578125" style="8" bestFit="1" customWidth="1"/>
    <col min="8" max="8" width="16" style="8" customWidth="1"/>
    <col min="9" max="9" width="15" style="2" customWidth="1"/>
    <col min="10" max="10" width="14.7109375" style="2" customWidth="1"/>
    <col min="11" max="11" width="27.28515625" style="9" customWidth="1"/>
    <col min="12" max="12" width="15.140625" style="8" customWidth="1"/>
    <col min="13" max="13" width="12" style="2" customWidth="1"/>
    <col min="14" max="14" width="9.7109375" style="3" customWidth="1"/>
    <col min="15" max="15" width="11.42578125" style="9" customWidth="1"/>
    <col min="16" max="16" width="14" style="8" customWidth="1"/>
    <col min="17" max="17" width="12.140625" style="9" customWidth="1"/>
    <col min="18" max="18" width="13.7109375" style="8" customWidth="1"/>
    <col min="19" max="19" width="14" style="2" customWidth="1"/>
    <col min="20" max="20" width="14.140625" style="9" customWidth="1"/>
    <col min="21" max="21" width="9.28515625" style="8" customWidth="1"/>
    <col min="22" max="22" width="10.7109375" style="9" bestFit="1" customWidth="1"/>
    <col min="23" max="23" width="14.42578125" style="2" customWidth="1"/>
    <col min="24" max="24" width="10.5703125" style="2" customWidth="1"/>
    <col min="25" max="16384" width="9.140625" style="2"/>
  </cols>
  <sheetData>
    <row r="1" spans="1:48" s="46" customFormat="1" ht="5.25" customHeight="1">
      <c r="D1" s="49"/>
      <c r="E1" s="49"/>
      <c r="F1" s="49"/>
      <c r="G1" s="50"/>
      <c r="H1" s="50"/>
      <c r="I1" s="49"/>
      <c r="J1" s="49"/>
      <c r="K1" s="45"/>
      <c r="L1" s="50"/>
      <c r="O1" s="45"/>
      <c r="P1" s="50"/>
      <c r="Q1" s="45"/>
      <c r="R1" s="44"/>
      <c r="T1" s="45"/>
      <c r="U1" s="44"/>
      <c r="V1" s="45"/>
    </row>
    <row r="2" spans="1:48" s="4" customFormat="1" ht="102" customHeight="1">
      <c r="A2" s="7"/>
      <c r="B2" s="43"/>
      <c r="C2" s="43"/>
      <c r="D2" s="282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47"/>
      <c r="V2" s="48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s="1" customFormat="1" ht="33" customHeight="1">
      <c r="A3" s="12"/>
      <c r="B3" s="12"/>
      <c r="C3" s="52"/>
      <c r="D3" s="284" t="s">
        <v>7</v>
      </c>
      <c r="E3" s="284"/>
      <c r="F3" s="284"/>
      <c r="G3" s="284"/>
      <c r="H3" s="284"/>
      <c r="I3" s="284"/>
      <c r="J3" s="284"/>
      <c r="K3" s="13"/>
      <c r="L3" s="14"/>
      <c r="M3" s="12"/>
      <c r="N3" s="12"/>
      <c r="O3" s="15" t="s">
        <v>31</v>
      </c>
      <c r="P3" s="16"/>
      <c r="Q3" s="16"/>
      <c r="R3" s="16"/>
      <c r="S3" s="17"/>
      <c r="T3" s="285"/>
      <c r="U3" s="285"/>
      <c r="V3" s="285"/>
      <c r="W3" s="285"/>
      <c r="X3" s="285"/>
      <c r="Y3" s="18"/>
      <c r="Z3" s="19"/>
      <c r="AA3" s="10"/>
    </row>
    <row r="4" spans="1:48" s="1" customFormat="1" ht="18.75" customHeight="1">
      <c r="A4" s="12"/>
      <c r="B4" s="12"/>
      <c r="C4" s="52"/>
      <c r="D4" s="284"/>
      <c r="E4" s="284"/>
      <c r="F4" s="284"/>
      <c r="G4" s="284"/>
      <c r="H4" s="284"/>
      <c r="I4" s="284"/>
      <c r="J4" s="284"/>
      <c r="K4" s="12"/>
      <c r="L4" s="12"/>
      <c r="M4" s="12"/>
      <c r="N4" s="12"/>
      <c r="O4" s="12"/>
      <c r="P4" s="12"/>
      <c r="Q4" s="12"/>
      <c r="R4" s="12"/>
      <c r="S4" s="12"/>
      <c r="T4" s="18"/>
      <c r="U4" s="20"/>
      <c r="V4" s="18"/>
      <c r="W4" s="19"/>
      <c r="X4" s="12"/>
      <c r="Y4" s="18"/>
      <c r="Z4" s="19"/>
      <c r="AA4" s="10"/>
    </row>
    <row r="5" spans="1:48" s="1" customFormat="1" ht="3.75" customHeight="1">
      <c r="A5" s="12"/>
      <c r="B5" s="12"/>
      <c r="C5" s="52"/>
      <c r="D5" s="284"/>
      <c r="E5" s="284"/>
      <c r="F5" s="284"/>
      <c r="G5" s="284"/>
      <c r="H5" s="284"/>
      <c r="I5" s="284"/>
      <c r="J5" s="284"/>
      <c r="K5" s="12"/>
      <c r="L5" s="12"/>
      <c r="M5" s="12"/>
      <c r="N5" s="12"/>
      <c r="O5" s="286" t="s">
        <v>24</v>
      </c>
      <c r="P5" s="286"/>
      <c r="Q5" s="286"/>
      <c r="R5" s="286"/>
      <c r="S5" s="286"/>
      <c r="T5" s="18"/>
      <c r="U5" s="20"/>
      <c r="V5" s="18"/>
      <c r="W5" s="19"/>
      <c r="X5" s="12"/>
      <c r="Y5" s="18"/>
      <c r="Z5" s="19"/>
      <c r="AA5" s="10"/>
    </row>
    <row r="6" spans="1:48" s="1" customFormat="1" ht="46.5" customHeight="1">
      <c r="A6" s="12"/>
      <c r="B6" s="12"/>
      <c r="C6" s="52"/>
      <c r="D6" s="51"/>
      <c r="E6" s="51"/>
      <c r="F6" s="288"/>
      <c r="G6" s="288"/>
      <c r="H6" s="288"/>
      <c r="I6" s="288"/>
      <c r="J6" s="288"/>
      <c r="K6" s="12"/>
      <c r="L6" s="12"/>
      <c r="M6" s="12"/>
      <c r="N6" s="22"/>
      <c r="O6" s="286"/>
      <c r="P6" s="286"/>
      <c r="Q6" s="286"/>
      <c r="R6" s="286"/>
      <c r="S6" s="286"/>
      <c r="T6" s="289"/>
      <c r="U6" s="289"/>
      <c r="V6" s="289"/>
      <c r="W6" s="289"/>
      <c r="X6" s="289"/>
      <c r="Y6" s="289"/>
      <c r="Z6" s="289"/>
      <c r="AA6" s="10"/>
    </row>
    <row r="7" spans="1:48" s="1" customFormat="1" ht="18.75" customHeight="1">
      <c r="A7" s="12"/>
      <c r="B7" s="12"/>
      <c r="C7" s="290" t="s">
        <v>22</v>
      </c>
      <c r="D7" s="290"/>
      <c r="E7" s="51"/>
      <c r="F7" s="51"/>
      <c r="G7" s="53"/>
      <c r="H7" s="53"/>
      <c r="I7" s="51"/>
      <c r="J7" s="51"/>
      <c r="K7" s="12"/>
      <c r="L7" s="12"/>
      <c r="M7" s="12"/>
      <c r="N7" s="22"/>
      <c r="O7" s="286"/>
      <c r="P7" s="286"/>
      <c r="Q7" s="286"/>
      <c r="R7" s="286"/>
      <c r="S7" s="286"/>
      <c r="T7" s="289"/>
      <c r="U7" s="289"/>
      <c r="V7" s="289"/>
      <c r="W7" s="289"/>
      <c r="X7" s="289"/>
      <c r="Y7" s="289"/>
      <c r="Z7" s="289"/>
      <c r="AA7" s="10"/>
    </row>
    <row r="8" spans="1:48" s="1" customFormat="1" ht="3.75" customHeight="1">
      <c r="A8" s="12"/>
      <c r="B8" s="12"/>
      <c r="C8" s="37"/>
      <c r="D8" s="38"/>
      <c r="E8" s="51"/>
      <c r="F8" s="51"/>
      <c r="G8" s="53"/>
      <c r="H8" s="53"/>
      <c r="I8" s="51"/>
      <c r="J8" s="51"/>
      <c r="K8" s="12"/>
      <c r="L8" s="12"/>
      <c r="M8" s="12"/>
      <c r="N8" s="22"/>
      <c r="O8" s="286"/>
      <c r="P8" s="286"/>
      <c r="Q8" s="286"/>
      <c r="R8" s="286"/>
      <c r="S8" s="286"/>
      <c r="T8" s="289"/>
      <c r="U8" s="289"/>
      <c r="V8" s="289"/>
      <c r="W8" s="289"/>
      <c r="X8" s="289"/>
      <c r="Y8" s="289"/>
      <c r="Z8" s="289"/>
      <c r="AA8" s="10"/>
    </row>
    <row r="9" spans="1:48" s="1" customFormat="1" ht="33.75" customHeight="1">
      <c r="A9" s="12"/>
      <c r="B9" s="22">
        <v>3</v>
      </c>
      <c r="C9" s="291">
        <f>J23</f>
        <v>-12.049999999999999</v>
      </c>
      <c r="D9" s="291"/>
      <c r="E9" s="51"/>
      <c r="F9" s="51"/>
      <c r="G9" s="53"/>
      <c r="H9" s="53"/>
      <c r="I9" s="51"/>
      <c r="J9" s="51"/>
      <c r="K9" s="12"/>
      <c r="L9" s="12"/>
      <c r="M9" s="12"/>
      <c r="N9" s="12"/>
      <c r="O9" s="286"/>
      <c r="P9" s="286"/>
      <c r="Q9" s="286"/>
      <c r="R9" s="286"/>
      <c r="S9" s="286"/>
      <c r="T9" s="289"/>
      <c r="U9" s="289"/>
      <c r="V9" s="289"/>
      <c r="W9" s="289"/>
      <c r="X9" s="289"/>
      <c r="Y9" s="289"/>
      <c r="Z9" s="289"/>
      <c r="AA9" s="10"/>
    </row>
    <row r="10" spans="1:48" s="1" customFormat="1" ht="22.5" customHeight="1">
      <c r="A10" s="12"/>
      <c r="B10" s="22">
        <v>2</v>
      </c>
      <c r="C10" s="290" t="s">
        <v>23</v>
      </c>
      <c r="D10" s="290"/>
      <c r="E10" s="51"/>
      <c r="F10" s="51"/>
      <c r="G10" s="53"/>
      <c r="H10" s="53"/>
      <c r="I10" s="51"/>
      <c r="J10" s="51"/>
      <c r="K10" s="12"/>
      <c r="L10" s="12"/>
      <c r="M10" s="12"/>
      <c r="N10" s="12"/>
      <c r="O10" s="286"/>
      <c r="P10" s="286"/>
      <c r="Q10" s="286"/>
      <c r="R10" s="286"/>
      <c r="S10" s="286"/>
      <c r="T10" s="289"/>
      <c r="U10" s="289"/>
      <c r="V10" s="289"/>
      <c r="W10" s="289"/>
      <c r="X10" s="289"/>
      <c r="Y10" s="289"/>
      <c r="Z10" s="289"/>
      <c r="AA10" s="10"/>
    </row>
    <row r="11" spans="1:48" s="1" customFormat="1" ht="3.75" customHeight="1">
      <c r="A11" s="12"/>
      <c r="B11" s="22"/>
      <c r="C11" s="37"/>
      <c r="D11" s="38"/>
      <c r="E11" s="51"/>
      <c r="F11" s="51"/>
      <c r="G11" s="53"/>
      <c r="H11" s="53"/>
      <c r="I11" s="51"/>
      <c r="J11" s="51"/>
      <c r="K11" s="12"/>
      <c r="L11" s="12"/>
      <c r="M11" s="12"/>
      <c r="N11" s="12"/>
      <c r="O11" s="286"/>
      <c r="P11" s="286"/>
      <c r="Q11" s="286"/>
      <c r="R11" s="286"/>
      <c r="S11" s="286"/>
      <c r="T11" s="289"/>
      <c r="U11" s="289"/>
      <c r="V11" s="289"/>
      <c r="W11" s="289"/>
      <c r="X11" s="289"/>
      <c r="Y11" s="289"/>
      <c r="Z11" s="289"/>
      <c r="AA11" s="10"/>
    </row>
    <row r="12" spans="1:48" s="1" customFormat="1" ht="31.5" customHeight="1">
      <c r="A12" s="12"/>
      <c r="B12" s="22">
        <v>11</v>
      </c>
      <c r="C12" s="292">
        <f>L23</f>
        <v>-1.2049999999999999E-3</v>
      </c>
      <c r="D12" s="292"/>
      <c r="E12" s="51"/>
      <c r="F12" s="51"/>
      <c r="G12" s="53"/>
      <c r="H12" s="53"/>
      <c r="I12" s="51"/>
      <c r="J12" s="51"/>
      <c r="K12" s="12"/>
      <c r="L12" s="12"/>
      <c r="M12" s="12"/>
      <c r="N12" s="12"/>
      <c r="O12" s="286"/>
      <c r="P12" s="286"/>
      <c r="Q12" s="286"/>
      <c r="R12" s="286"/>
      <c r="S12" s="286"/>
      <c r="T12" s="289"/>
      <c r="U12" s="289"/>
      <c r="V12" s="289"/>
      <c r="W12" s="289"/>
      <c r="X12" s="289"/>
      <c r="Y12" s="289"/>
      <c r="Z12" s="289"/>
      <c r="AA12" s="10"/>
    </row>
    <row r="13" spans="1:48" s="1" customFormat="1" ht="18.75" customHeight="1">
      <c r="A13" s="12"/>
      <c r="B13" s="12"/>
      <c r="C13" s="293" t="s">
        <v>6</v>
      </c>
      <c r="D13" s="293"/>
      <c r="E13" s="51"/>
      <c r="F13" s="51"/>
      <c r="G13" s="53"/>
      <c r="H13" s="53"/>
      <c r="I13" s="51"/>
      <c r="J13" s="51"/>
      <c r="K13" s="294"/>
      <c r="L13" s="294"/>
      <c r="M13" s="12"/>
      <c r="N13" s="12"/>
      <c r="O13" s="286"/>
      <c r="P13" s="286"/>
      <c r="Q13" s="286"/>
      <c r="R13" s="286"/>
      <c r="S13" s="286"/>
      <c r="T13" s="289"/>
      <c r="U13" s="289"/>
      <c r="V13" s="289"/>
      <c r="W13" s="289"/>
      <c r="X13" s="289"/>
      <c r="Y13" s="289"/>
      <c r="Z13" s="289"/>
      <c r="AA13" s="10"/>
    </row>
    <row r="14" spans="1:48" s="1" customFormat="1" ht="3.75" customHeight="1">
      <c r="A14" s="12"/>
      <c r="B14" s="12"/>
      <c r="C14" s="37"/>
      <c r="D14" s="38"/>
      <c r="E14" s="51"/>
      <c r="F14" s="51"/>
      <c r="G14" s="53"/>
      <c r="H14" s="53"/>
      <c r="I14" s="51"/>
      <c r="J14" s="51"/>
      <c r="K14" s="23"/>
      <c r="L14" s="24"/>
      <c r="M14" s="12"/>
      <c r="N14" s="12"/>
      <c r="O14" s="286"/>
      <c r="P14" s="286"/>
      <c r="Q14" s="286"/>
      <c r="R14" s="286"/>
      <c r="S14" s="286"/>
      <c r="T14" s="289"/>
      <c r="U14" s="289"/>
      <c r="V14" s="289"/>
      <c r="W14" s="289"/>
      <c r="X14" s="289"/>
      <c r="Y14" s="289"/>
      <c r="Z14" s="289"/>
      <c r="AA14" s="10"/>
    </row>
    <row r="15" spans="1:48" s="1" customFormat="1" ht="57.95" customHeight="1" thickBot="1">
      <c r="A15" s="12"/>
      <c r="B15" s="12"/>
      <c r="C15" s="292">
        <f>L23</f>
        <v>-1.2049999999999999E-3</v>
      </c>
      <c r="D15" s="292"/>
      <c r="E15" s="51"/>
      <c r="F15" s="51"/>
      <c r="G15" s="53"/>
      <c r="H15" s="53"/>
      <c r="I15" s="51"/>
      <c r="J15" s="51"/>
      <c r="K15" s="12"/>
      <c r="L15" s="12"/>
      <c r="M15" s="12"/>
      <c r="N15" s="12"/>
      <c r="O15" s="287"/>
      <c r="P15" s="287"/>
      <c r="Q15" s="287"/>
      <c r="R15" s="287"/>
      <c r="S15" s="287"/>
      <c r="T15" s="289"/>
      <c r="U15" s="289"/>
      <c r="V15" s="289"/>
      <c r="W15" s="289"/>
      <c r="X15" s="289"/>
      <c r="Y15" s="289"/>
      <c r="Z15" s="289"/>
      <c r="AA15" s="10"/>
    </row>
    <row r="16" spans="1:48" s="1" customFormat="1" ht="23.25" customHeight="1" thickBot="1">
      <c r="A16" s="12"/>
      <c r="B16" s="12"/>
      <c r="C16" s="20"/>
      <c r="D16" s="35">
        <v>46162</v>
      </c>
      <c r="E16" s="33" t="s">
        <v>12</v>
      </c>
      <c r="F16" s="34"/>
      <c r="G16" s="142">
        <v>2000</v>
      </c>
      <c r="H16" s="20"/>
      <c r="I16" s="21"/>
      <c r="J16" s="21"/>
      <c r="K16" s="12"/>
      <c r="L16" s="12"/>
      <c r="M16" s="12"/>
      <c r="N16" s="32"/>
      <c r="O16" s="29"/>
      <c r="P16" s="20"/>
      <c r="Q16" s="29"/>
      <c r="R16" s="20"/>
      <c r="S16" s="21"/>
      <c r="T16" s="281"/>
      <c r="U16" s="281"/>
      <c r="V16" s="281"/>
      <c r="W16" s="12"/>
      <c r="X16" s="12"/>
      <c r="Y16" s="12"/>
      <c r="Z16" s="12"/>
      <c r="AA16" s="10"/>
    </row>
    <row r="17" spans="1:27" s="1" customFormat="1" ht="18.75" customHeight="1" thickBot="1">
      <c r="A17" s="25"/>
      <c r="B17" s="20"/>
      <c r="C17" s="20"/>
      <c r="D17" s="20"/>
      <c r="E17" s="20"/>
      <c r="F17" s="20"/>
      <c r="G17" s="20"/>
      <c r="H17" s="20"/>
      <c r="I17" s="21"/>
      <c r="J17" s="21"/>
      <c r="K17" s="12"/>
      <c r="L17" s="12"/>
      <c r="M17" s="12"/>
      <c r="N17" s="32"/>
      <c r="O17" s="29"/>
      <c r="P17" s="20"/>
      <c r="Q17" s="29"/>
      <c r="R17" s="20"/>
      <c r="S17" s="21"/>
      <c r="T17" s="12"/>
      <c r="U17" s="26"/>
      <c r="V17" s="27"/>
      <c r="W17" s="12"/>
      <c r="X17" s="12"/>
      <c r="Y17" s="12"/>
      <c r="Z17" s="12"/>
      <c r="AA17" s="10"/>
    </row>
    <row r="18" spans="1:27" ht="18.75" customHeight="1" thickBot="1">
      <c r="A18" s="20"/>
      <c r="B18" s="89"/>
      <c r="C18" s="90"/>
      <c r="D18" s="90" t="s">
        <v>17</v>
      </c>
      <c r="E18" s="90"/>
      <c r="F18" s="91"/>
      <c r="G18" s="91"/>
      <c r="H18" s="92" t="s">
        <v>27</v>
      </c>
      <c r="I18" s="131"/>
      <c r="J18" s="133"/>
      <c r="K18" s="93" t="s">
        <v>21</v>
      </c>
      <c r="L18" s="94"/>
      <c r="M18" s="54"/>
      <c r="N18" s="32"/>
      <c r="O18" s="36"/>
      <c r="P18" s="125">
        <v>760</v>
      </c>
      <c r="Q18" s="112"/>
      <c r="R18" s="67"/>
      <c r="S18" s="127">
        <f t="shared" ref="S18:S30" si="0">Q18*-R18</f>
        <v>0</v>
      </c>
      <c r="T18" s="39"/>
      <c r="U18" s="20"/>
      <c r="V18" s="55"/>
      <c r="W18" s="56" t="s">
        <v>8</v>
      </c>
      <c r="X18" s="57"/>
      <c r="Y18" s="12"/>
      <c r="Z18" s="12"/>
      <c r="AA18" s="11"/>
    </row>
    <row r="19" spans="1:27" ht="18" customHeight="1" thickBot="1">
      <c r="A19" s="30"/>
      <c r="B19" s="95" t="s">
        <v>3</v>
      </c>
      <c r="C19" s="95" t="s">
        <v>1</v>
      </c>
      <c r="D19" s="96" t="s">
        <v>2</v>
      </c>
      <c r="E19" s="96" t="s">
        <v>11</v>
      </c>
      <c r="F19" s="96" t="s">
        <v>5</v>
      </c>
      <c r="G19" s="96" t="s">
        <v>9</v>
      </c>
      <c r="H19" s="97" t="s">
        <v>4</v>
      </c>
      <c r="I19" s="132" t="s">
        <v>26</v>
      </c>
      <c r="J19" s="134" t="s">
        <v>18</v>
      </c>
      <c r="K19" s="98" t="s">
        <v>19</v>
      </c>
      <c r="L19" s="99" t="s">
        <v>20</v>
      </c>
      <c r="M19" s="54"/>
      <c r="N19" s="32"/>
      <c r="O19" s="36"/>
      <c r="P19" s="68">
        <v>820</v>
      </c>
      <c r="Q19" s="113"/>
      <c r="R19" s="69"/>
      <c r="S19" s="70">
        <f t="shared" si="0"/>
        <v>0</v>
      </c>
      <c r="T19" s="39"/>
      <c r="U19" s="20"/>
      <c r="V19" s="58" t="s">
        <v>1</v>
      </c>
      <c r="W19" s="59" t="s">
        <v>9</v>
      </c>
      <c r="X19" s="60" t="s">
        <v>10</v>
      </c>
      <c r="Y19" s="12"/>
      <c r="Z19" s="12"/>
      <c r="AA19" s="11"/>
    </row>
    <row r="20" spans="1:27" ht="18" customHeight="1" thickBot="1">
      <c r="A20" s="30"/>
      <c r="B20" s="216">
        <v>1</v>
      </c>
      <c r="C20" s="217">
        <v>46079</v>
      </c>
      <c r="D20" s="218" t="s">
        <v>71</v>
      </c>
      <c r="E20" s="280">
        <v>0.05</v>
      </c>
      <c r="F20" s="272">
        <f>(0.05*7300)/E20</f>
        <v>7300</v>
      </c>
      <c r="G20" s="221">
        <f t="shared" ref="G20:G21" si="1">-E20*F20</f>
        <v>-365</v>
      </c>
      <c r="H20" s="254">
        <v>6800</v>
      </c>
      <c r="I20" s="177">
        <f t="shared" ref="I20:I21" si="2">E20*H20</f>
        <v>340</v>
      </c>
      <c r="J20" s="175">
        <f t="shared" ref="J20:J21" si="3">E20*(H20-F20)</f>
        <v>-25</v>
      </c>
      <c r="K20" s="141">
        <f t="shared" ref="K20:K21" si="4">-J20/G20</f>
        <v>-6.8493150684931503E-2</v>
      </c>
      <c r="L20" s="222">
        <f t="shared" ref="L20:L21" si="5">(J20)/10000</f>
        <v>-2.5000000000000001E-3</v>
      </c>
      <c r="M20" s="54"/>
      <c r="N20" s="32"/>
      <c r="O20" s="36"/>
      <c r="P20" s="129">
        <v>830</v>
      </c>
      <c r="Q20" s="114"/>
      <c r="R20" s="71"/>
      <c r="S20" s="130">
        <f t="shared" si="0"/>
        <v>0</v>
      </c>
      <c r="T20" s="39"/>
      <c r="U20" s="20"/>
      <c r="V20" s="109">
        <v>45919</v>
      </c>
      <c r="W20" s="110">
        <v>10000</v>
      </c>
      <c r="X20" s="111">
        <f>(W20-10000)/10000</f>
        <v>0</v>
      </c>
      <c r="Y20" s="12"/>
      <c r="Z20" s="12"/>
      <c r="AA20" s="11"/>
    </row>
    <row r="21" spans="1:27" ht="18" customHeight="1" thickBot="1">
      <c r="A21" s="30"/>
      <c r="B21" s="216">
        <v>2</v>
      </c>
      <c r="C21" s="217">
        <v>46079</v>
      </c>
      <c r="D21" s="218" t="s">
        <v>72</v>
      </c>
      <c r="E21" s="280">
        <v>-0.05</v>
      </c>
      <c r="F21" s="272">
        <f>-(0.05*1400)/E21</f>
        <v>1400</v>
      </c>
      <c r="G21" s="221">
        <f t="shared" si="1"/>
        <v>70</v>
      </c>
      <c r="H21" s="254">
        <v>1141</v>
      </c>
      <c r="I21" s="177">
        <f t="shared" si="2"/>
        <v>-57.050000000000004</v>
      </c>
      <c r="J21" s="175">
        <f t="shared" si="3"/>
        <v>12.950000000000001</v>
      </c>
      <c r="K21" s="141">
        <f t="shared" si="4"/>
        <v>-0.18500000000000003</v>
      </c>
      <c r="L21" s="222">
        <f t="shared" si="5"/>
        <v>1.2950000000000001E-3</v>
      </c>
      <c r="M21" s="54"/>
      <c r="N21" s="32"/>
      <c r="O21" s="36"/>
      <c r="P21" s="129">
        <v>830</v>
      </c>
      <c r="Q21" s="114"/>
      <c r="R21" s="71"/>
      <c r="S21" s="130">
        <f t="shared" si="0"/>
        <v>0</v>
      </c>
      <c r="T21" s="39"/>
      <c r="U21" s="20"/>
      <c r="V21" s="109">
        <v>45919</v>
      </c>
      <c r="W21" s="110">
        <v>10000</v>
      </c>
      <c r="X21" s="111">
        <f>(W21-10000)/10000</f>
        <v>0</v>
      </c>
      <c r="Y21" s="12"/>
      <c r="Z21" s="12"/>
      <c r="AA21" s="11"/>
    </row>
    <row r="22" spans="1:27" ht="20.25" customHeight="1" thickBot="1">
      <c r="A22" s="30"/>
      <c r="B22" s="21"/>
      <c r="C22" s="21"/>
      <c r="D22" s="21"/>
      <c r="E22" s="21"/>
      <c r="F22" s="21"/>
      <c r="G22" s="21"/>
      <c r="H22" s="21"/>
      <c r="I22" s="138" t="s">
        <v>28</v>
      </c>
      <c r="J22" s="139">
        <v>0</v>
      </c>
      <c r="K22" s="143"/>
      <c r="L22" s="143"/>
      <c r="M22" s="21"/>
      <c r="N22" s="32"/>
      <c r="O22" s="119">
        <f>O23-Q23-Q19</f>
        <v>0</v>
      </c>
      <c r="P22" s="76">
        <v>810</v>
      </c>
      <c r="Q22" s="116"/>
      <c r="R22" s="77"/>
      <c r="S22" s="74">
        <f t="shared" si="0"/>
        <v>0</v>
      </c>
      <c r="T22" s="75">
        <f t="shared" ref="T22:T23" si="6">-(P23-P22)*O22*100+T23</f>
        <v>0</v>
      </c>
      <c r="U22" s="20"/>
      <c r="V22" s="29"/>
      <c r="W22" s="21"/>
      <c r="X22" s="21"/>
      <c r="Y22" s="21"/>
      <c r="Z22" s="12"/>
      <c r="AA22" s="11"/>
    </row>
    <row r="23" spans="1:27" s="21" customFormat="1" ht="21.75" customHeight="1" thickBot="1">
      <c r="A23" s="30"/>
      <c r="I23" s="144">
        <v>0</v>
      </c>
      <c r="J23" s="145">
        <f>SUM(J20:J21)</f>
        <v>-12.049999999999999</v>
      </c>
      <c r="K23" s="103">
        <f>SUM(K20:K21)</f>
        <v>-0.2534931506849315</v>
      </c>
      <c r="L23" s="135">
        <f>J23/10000</f>
        <v>-1.2049999999999999E-3</v>
      </c>
      <c r="N23" s="32"/>
      <c r="O23" s="119">
        <f>O24-Q24-Q21</f>
        <v>0</v>
      </c>
      <c r="P23" s="136">
        <v>815</v>
      </c>
      <c r="Q23" s="116"/>
      <c r="R23" s="77"/>
      <c r="S23" s="137">
        <f t="shared" si="0"/>
        <v>0</v>
      </c>
      <c r="T23" s="75">
        <f t="shared" si="6"/>
        <v>0</v>
      </c>
      <c r="U23" s="20"/>
      <c r="V23" s="29"/>
      <c r="Z23" s="12"/>
    </row>
    <row r="24" spans="1:27" s="21" customFormat="1" ht="20.25" customHeight="1" thickBot="1">
      <c r="A24" s="30"/>
      <c r="N24" s="32"/>
      <c r="O24" s="119">
        <f t="shared" ref="O24:O26" si="7">O25-Q25</f>
        <v>0</v>
      </c>
      <c r="P24" s="79">
        <v>817</v>
      </c>
      <c r="Q24" s="116"/>
      <c r="R24" s="77"/>
      <c r="S24" s="120">
        <f t="shared" si="0"/>
        <v>0</v>
      </c>
      <c r="T24" s="121">
        <f>S32</f>
        <v>0</v>
      </c>
      <c r="U24" s="20"/>
      <c r="V24" s="29"/>
      <c r="Z24" s="12"/>
    </row>
    <row r="25" spans="1:27" s="21" customFormat="1" ht="21.75" customHeight="1" thickBot="1">
      <c r="A25" s="30"/>
      <c r="C25" s="36"/>
      <c r="D25" s="36"/>
      <c r="E25" s="36"/>
      <c r="H25" s="36"/>
      <c r="O25" s="119">
        <f t="shared" si="7"/>
        <v>0</v>
      </c>
      <c r="P25" s="76">
        <v>820</v>
      </c>
      <c r="Q25" s="116"/>
      <c r="R25" s="77"/>
      <c r="S25" s="74">
        <f t="shared" si="0"/>
        <v>0</v>
      </c>
      <c r="T25" s="78">
        <f t="shared" ref="T25:T28" si="8">(P25-P24)*O24*100+T24</f>
        <v>0</v>
      </c>
      <c r="U25" s="20"/>
      <c r="V25" s="29"/>
      <c r="Z25" s="12"/>
    </row>
    <row r="26" spans="1:27" s="21" customFormat="1" ht="21.75" customHeight="1" thickBot="1">
      <c r="A26" s="30"/>
      <c r="B26" s="36"/>
      <c r="G26" s="255"/>
      <c r="H26" s="256"/>
      <c r="I26" s="146"/>
      <c r="J26" s="146"/>
      <c r="O26" s="119">
        <f t="shared" si="7"/>
        <v>0</v>
      </c>
      <c r="P26" s="76">
        <v>840</v>
      </c>
      <c r="Q26" s="116"/>
      <c r="R26" s="77"/>
      <c r="S26" s="74">
        <f t="shared" si="0"/>
        <v>0</v>
      </c>
      <c r="T26" s="78">
        <f t="shared" si="8"/>
        <v>0</v>
      </c>
      <c r="U26" s="20"/>
      <c r="V26" s="29"/>
      <c r="Z26" s="12"/>
    </row>
    <row r="27" spans="1:27" s="21" customFormat="1" ht="21" customHeight="1" thickBot="1">
      <c r="B27" s="36"/>
      <c r="C27" s="101" t="s">
        <v>13</v>
      </c>
      <c r="D27" s="102">
        <f>E27/G16</f>
        <v>0.14749999999999999</v>
      </c>
      <c r="E27" s="148">
        <f>-SUM(G20:G21)+J22</f>
        <v>295</v>
      </c>
      <c r="F27" s="36"/>
      <c r="G27" s="255"/>
      <c r="H27" s="256"/>
      <c r="I27" s="146"/>
      <c r="J27" s="178">
        <f>L31</f>
        <v>-12.049999999999999</v>
      </c>
      <c r="K27" s="255" t="s">
        <v>71</v>
      </c>
      <c r="L27" s="241">
        <f>J20</f>
        <v>-25</v>
      </c>
      <c r="O27" s="119">
        <f>O28-Q28</f>
        <v>0</v>
      </c>
      <c r="P27" s="76">
        <v>860</v>
      </c>
      <c r="Q27" s="116"/>
      <c r="R27" s="77"/>
      <c r="S27" s="74">
        <f t="shared" si="0"/>
        <v>0</v>
      </c>
      <c r="T27" s="78">
        <f t="shared" si="8"/>
        <v>0</v>
      </c>
      <c r="U27" s="20"/>
      <c r="V27" s="29"/>
      <c r="Z27" s="12"/>
    </row>
    <row r="28" spans="1:27" s="21" customFormat="1" ht="20.25" customHeight="1" thickBot="1">
      <c r="B28" s="36"/>
      <c r="C28" s="104" t="s">
        <v>14</v>
      </c>
      <c r="D28" s="105">
        <f>E28/G16</f>
        <v>0.84647499999999998</v>
      </c>
      <c r="E28" s="149">
        <f>E29-E27</f>
        <v>1692.95</v>
      </c>
      <c r="F28" s="36"/>
      <c r="G28" s="255"/>
      <c r="H28" s="256"/>
      <c r="I28" s="146"/>
      <c r="J28" s="146"/>
      <c r="K28" s="255" t="s">
        <v>72</v>
      </c>
      <c r="L28" s="241">
        <f>J21</f>
        <v>12.950000000000001</v>
      </c>
      <c r="O28" s="118">
        <f>O29-Q29</f>
        <v>0</v>
      </c>
      <c r="P28" s="126">
        <v>870</v>
      </c>
      <c r="Q28" s="116"/>
      <c r="R28" s="77"/>
      <c r="S28" s="128">
        <f t="shared" si="0"/>
        <v>0</v>
      </c>
      <c r="T28" s="78">
        <f t="shared" si="8"/>
        <v>0</v>
      </c>
      <c r="U28" s="20"/>
      <c r="V28" s="29"/>
    </row>
    <row r="29" spans="1:27" s="21" customFormat="1" ht="21.75" customHeight="1" thickBot="1">
      <c r="B29" s="36"/>
      <c r="C29" s="106" t="s">
        <v>15</v>
      </c>
      <c r="D29" s="107">
        <f>D27+D28</f>
        <v>0.99397499999999994</v>
      </c>
      <c r="E29" s="150">
        <f>G16+J23</f>
        <v>1987.95</v>
      </c>
      <c r="F29" s="36"/>
      <c r="G29" s="255"/>
      <c r="H29" s="256"/>
      <c r="I29" s="146"/>
      <c r="J29" s="146"/>
      <c r="K29" s="192" t="s">
        <v>43</v>
      </c>
      <c r="L29" s="235">
        <f>SUM(L27:L28)</f>
        <v>-12.049999999999999</v>
      </c>
      <c r="O29" s="118">
        <f>O30-Q30</f>
        <v>0</v>
      </c>
      <c r="P29" s="126">
        <v>890</v>
      </c>
      <c r="Q29" s="116"/>
      <c r="R29" s="77"/>
      <c r="S29" s="128">
        <f t="shared" si="0"/>
        <v>0</v>
      </c>
      <c r="T29" s="78">
        <f>(P29-P28)*O28*100+T28</f>
        <v>0</v>
      </c>
      <c r="U29" s="20"/>
      <c r="V29" s="29"/>
    </row>
    <row r="30" spans="1:27" s="21" customFormat="1" ht="20.25" customHeight="1" thickBot="1">
      <c r="B30" s="36"/>
      <c r="C30" s="36"/>
      <c r="D30" s="36"/>
      <c r="E30" s="36"/>
      <c r="F30" s="36"/>
      <c r="G30" s="257"/>
      <c r="H30" s="258"/>
      <c r="I30" s="146"/>
      <c r="J30" s="146"/>
      <c r="K30" s="138" t="s">
        <v>28</v>
      </c>
      <c r="L30" s="156">
        <f>J22</f>
        <v>0</v>
      </c>
      <c r="O30" s="123">
        <f>SUM(Q22:Q31)+Q32</f>
        <v>0</v>
      </c>
      <c r="P30" s="81">
        <v>900</v>
      </c>
      <c r="Q30" s="117"/>
      <c r="R30" s="82"/>
      <c r="S30" s="74">
        <f t="shared" si="0"/>
        <v>0</v>
      </c>
      <c r="T30" s="80">
        <f>(P30-P29)*O29*100+T29</f>
        <v>0</v>
      </c>
      <c r="U30" s="20"/>
      <c r="V30" s="29"/>
    </row>
    <row r="31" spans="1:27" s="21" customFormat="1" ht="21" customHeight="1" thickBot="1">
      <c r="B31" s="36"/>
      <c r="F31" s="36"/>
      <c r="I31" s="147"/>
      <c r="J31" s="146"/>
      <c r="L31" s="157">
        <f>L29</f>
        <v>-12.049999999999999</v>
      </c>
      <c r="O31" s="84" t="s">
        <v>25</v>
      </c>
      <c r="P31" s="85"/>
      <c r="Q31" s="86"/>
      <c r="R31" s="86"/>
      <c r="S31" s="87"/>
      <c r="T31" s="83"/>
      <c r="U31" s="20"/>
      <c r="V31" s="29"/>
    </row>
    <row r="32" spans="1:27" s="21" customFormat="1" ht="20.25" customHeight="1" thickBot="1">
      <c r="B32" s="36"/>
      <c r="J32" s="146"/>
      <c r="O32" s="66"/>
      <c r="P32" s="66"/>
      <c r="Q32" s="88">
        <f>SUM(Q33:Q41)</f>
        <v>0</v>
      </c>
      <c r="R32" s="158">
        <f>0</f>
        <v>0</v>
      </c>
      <c r="S32" s="159">
        <f>SUM(S18:S31)</f>
        <v>0</v>
      </c>
      <c r="T32" s="39"/>
      <c r="U32" s="20"/>
      <c r="V32" s="29"/>
    </row>
    <row r="33" spans="2:22" s="21" customFormat="1" ht="21" customHeight="1" thickBot="1">
      <c r="B33" s="36"/>
      <c r="C33" s="108" t="s">
        <v>29</v>
      </c>
      <c r="D33" s="36"/>
      <c r="E33" s="36"/>
      <c r="J33" s="146"/>
      <c r="O33" s="66"/>
      <c r="P33" s="195" t="s">
        <v>30</v>
      </c>
      <c r="Q33" s="196">
        <v>0</v>
      </c>
      <c r="R33" s="160"/>
      <c r="S33" s="161">
        <v>0</v>
      </c>
      <c r="T33" s="39"/>
      <c r="U33" s="20"/>
      <c r="V33" s="29"/>
    </row>
    <row r="34" spans="2:22" s="21" customFormat="1" ht="21.75" customHeight="1" thickBot="1">
      <c r="B34" s="31"/>
      <c r="C34" s="40" t="s">
        <v>46</v>
      </c>
      <c r="D34" s="41" t="s">
        <v>21</v>
      </c>
      <c r="E34" s="42" t="s">
        <v>16</v>
      </c>
      <c r="U34" s="20"/>
      <c r="V34" s="29"/>
    </row>
    <row r="35" spans="2:22" s="21" customFormat="1" ht="20.25" customHeight="1" thickBot="1">
      <c r="C35" s="151">
        <v>2000</v>
      </c>
      <c r="D35" s="152">
        <f>J23</f>
        <v>-12.049999999999999</v>
      </c>
      <c r="E35" s="153">
        <f>C35+D35</f>
        <v>1987.95</v>
      </c>
      <c r="G35" s="179"/>
      <c r="H35" s="194"/>
      <c r="U35" s="20"/>
      <c r="V35" s="29"/>
    </row>
    <row r="36" spans="2:22" s="21" customFormat="1" ht="22.5" customHeight="1" thickBot="1">
      <c r="G36" s="259"/>
      <c r="H36" s="258"/>
      <c r="U36" s="20"/>
      <c r="V36" s="29"/>
    </row>
    <row r="37" spans="2:22" s="21" customFormat="1" ht="22.5" customHeight="1">
      <c r="U37" s="20"/>
      <c r="V37" s="29"/>
    </row>
    <row r="38" spans="2:22" s="21" customFormat="1" ht="21.75" customHeight="1">
      <c r="U38" s="20"/>
      <c r="V38" s="29"/>
    </row>
    <row r="39" spans="2:22" s="21" customFormat="1" ht="18.75" customHeight="1">
      <c r="K39" s="9"/>
      <c r="L39" s="8"/>
      <c r="U39" s="20"/>
      <c r="V39" s="29"/>
    </row>
    <row r="40" spans="2:22" s="21" customFormat="1" ht="18.75" customHeight="1">
      <c r="K40" s="9"/>
      <c r="L40" s="8"/>
      <c r="U40" s="20"/>
      <c r="V40" s="29"/>
    </row>
    <row r="41" spans="2:22" s="21" customFormat="1" ht="20.25" customHeight="1">
      <c r="K41" s="9"/>
      <c r="L41" s="8"/>
      <c r="U41" s="20"/>
      <c r="V41" s="29"/>
    </row>
    <row r="42" spans="2:22" s="21" customFormat="1" ht="23.25" customHeight="1">
      <c r="K42" s="9"/>
      <c r="L42" s="8"/>
      <c r="U42" s="20"/>
      <c r="V42" s="29"/>
    </row>
    <row r="43" spans="2:22" s="21" customFormat="1" ht="18.75" customHeight="1">
      <c r="K43" s="9"/>
      <c r="L43" s="8"/>
      <c r="U43" s="20"/>
      <c r="V43" s="29"/>
    </row>
    <row r="44" spans="2:22" s="21" customFormat="1" ht="21" customHeight="1">
      <c r="K44" s="9"/>
      <c r="L44" s="8"/>
      <c r="U44" s="20"/>
      <c r="V44" s="29"/>
    </row>
    <row r="45" spans="2:22" s="21" customFormat="1" ht="21.75" customHeight="1">
      <c r="K45" s="9"/>
      <c r="L45" s="8"/>
      <c r="U45" s="20"/>
      <c r="V45" s="29"/>
    </row>
    <row r="46" spans="2:22" s="21" customFormat="1" ht="20.25" customHeight="1">
      <c r="K46" s="9"/>
      <c r="L46" s="8"/>
      <c r="U46" s="20"/>
      <c r="V46" s="29"/>
    </row>
    <row r="47" spans="2:22" s="21" customFormat="1" ht="20.25" customHeight="1">
      <c r="K47" s="9"/>
      <c r="L47" s="8"/>
      <c r="U47" s="20"/>
      <c r="V47" s="29"/>
    </row>
    <row r="48" spans="2:22" s="21" customFormat="1" ht="19.5" customHeight="1">
      <c r="K48" s="9"/>
      <c r="L48" s="8"/>
      <c r="U48" s="20"/>
      <c r="V48" s="29"/>
    </row>
    <row r="49" spans="2:22" s="21" customFormat="1" ht="21.75" customHeight="1">
      <c r="K49" s="9"/>
      <c r="L49" s="8"/>
      <c r="U49" s="20"/>
      <c r="V49" s="29"/>
    </row>
    <row r="50" spans="2:22" s="21" customFormat="1" ht="22.5" customHeight="1">
      <c r="K50" s="9"/>
      <c r="L50" s="8"/>
      <c r="U50" s="20"/>
      <c r="V50" s="29"/>
    </row>
    <row r="51" spans="2:22" s="21" customFormat="1" ht="23.25" customHeight="1">
      <c r="K51" s="9"/>
      <c r="L51" s="8"/>
      <c r="U51" s="20"/>
      <c r="V51" s="29"/>
    </row>
    <row r="52" spans="2:22" s="21" customFormat="1" ht="24.75" customHeight="1">
      <c r="K52" s="9"/>
      <c r="L52" s="8"/>
      <c r="U52" s="20"/>
      <c r="V52" s="29"/>
    </row>
    <row r="53" spans="2:22" s="21" customFormat="1" ht="27.75" customHeight="1">
      <c r="K53" s="9"/>
      <c r="L53" s="8"/>
      <c r="U53" s="20"/>
      <c r="V53" s="29"/>
    </row>
    <row r="54" spans="2:22" s="21" customFormat="1" ht="27.75" customHeight="1">
      <c r="K54" s="9"/>
      <c r="L54" s="8"/>
      <c r="U54" s="20"/>
      <c r="V54" s="29"/>
    </row>
    <row r="55" spans="2:22" s="21" customFormat="1" ht="27.75" customHeight="1">
      <c r="K55" s="9"/>
      <c r="L55" s="8"/>
      <c r="U55" s="20"/>
      <c r="V55" s="29"/>
    </row>
    <row r="56" spans="2:22" s="21" customFormat="1" ht="27.75" customHeight="1">
      <c r="K56" s="9"/>
      <c r="L56" s="8"/>
      <c r="U56" s="20"/>
      <c r="V56" s="29"/>
    </row>
    <row r="57" spans="2:22" s="21" customFormat="1" ht="27.75" customHeight="1">
      <c r="K57" s="9"/>
      <c r="L57" s="8"/>
      <c r="P57" s="20"/>
      <c r="Q57" s="29"/>
      <c r="R57" s="20"/>
      <c r="T57" s="29"/>
      <c r="U57" s="20"/>
      <c r="V57" s="29"/>
    </row>
    <row r="58" spans="2:22" s="21" customFormat="1" ht="27.75" customHeight="1">
      <c r="K58" s="9"/>
      <c r="L58" s="8"/>
      <c r="P58" s="20"/>
      <c r="Q58" s="29"/>
      <c r="R58" s="20"/>
      <c r="T58" s="29"/>
      <c r="U58" s="20"/>
      <c r="V58" s="29"/>
    </row>
    <row r="59" spans="2:22" s="21" customFormat="1" ht="27.75" customHeight="1">
      <c r="K59" s="9"/>
      <c r="L59" s="8"/>
      <c r="M59" s="32"/>
      <c r="P59" s="20"/>
      <c r="Q59" s="29"/>
      <c r="R59" s="20"/>
      <c r="T59" s="29"/>
      <c r="U59" s="20"/>
      <c r="V59" s="29"/>
    </row>
    <row r="60" spans="2:22" s="21" customFormat="1" ht="27.75" customHeight="1">
      <c r="K60" s="9"/>
      <c r="L60" s="8"/>
      <c r="M60" s="32"/>
      <c r="P60" s="20"/>
      <c r="Q60" s="29"/>
      <c r="R60" s="20"/>
      <c r="T60" s="29"/>
      <c r="U60" s="20"/>
      <c r="V60" s="29"/>
    </row>
    <row r="61" spans="2:22" s="21" customFormat="1" ht="27.75" customHeight="1">
      <c r="B61" s="2"/>
      <c r="C61" s="2"/>
      <c r="D61" s="2"/>
      <c r="E61" s="6"/>
      <c r="F61" s="6"/>
      <c r="G61" s="8"/>
      <c r="H61" s="8"/>
      <c r="I61" s="2"/>
      <c r="J61" s="2"/>
      <c r="K61" s="9"/>
      <c r="L61" s="8"/>
      <c r="M61" s="32"/>
      <c r="P61" s="20"/>
      <c r="Q61" s="29"/>
      <c r="R61" s="20"/>
      <c r="T61" s="29"/>
      <c r="U61" s="20"/>
      <c r="V61" s="29"/>
    </row>
    <row r="62" spans="2:22" s="21" customFormat="1" ht="27.75" customHeight="1">
      <c r="B62" s="2"/>
      <c r="C62" s="2"/>
      <c r="D62" s="2"/>
      <c r="E62" s="6"/>
      <c r="F62" s="6"/>
      <c r="G62" s="8"/>
      <c r="H62" s="8"/>
      <c r="I62" s="2"/>
      <c r="J62" s="2"/>
      <c r="K62" s="9"/>
      <c r="L62" s="8"/>
      <c r="O62" s="29"/>
      <c r="P62" s="20"/>
      <c r="Q62" s="29"/>
      <c r="R62" s="20"/>
      <c r="T62" s="29"/>
      <c r="V62" s="29"/>
    </row>
    <row r="63" spans="2:22" s="21" customFormat="1" ht="27.75" customHeight="1">
      <c r="B63" s="2"/>
      <c r="C63" s="2"/>
      <c r="D63" s="2"/>
      <c r="E63" s="6"/>
      <c r="F63" s="6"/>
      <c r="G63" s="8"/>
      <c r="H63" s="8"/>
      <c r="I63" s="2"/>
      <c r="J63" s="2"/>
      <c r="K63" s="9"/>
      <c r="L63" s="8"/>
      <c r="O63" s="29"/>
      <c r="P63" s="20"/>
      <c r="Q63" s="29"/>
      <c r="R63" s="20"/>
      <c r="T63" s="29"/>
      <c r="V63" s="29"/>
    </row>
    <row r="64" spans="2:22" s="21" customFormat="1" ht="27.75" customHeight="1">
      <c r="B64" s="2"/>
      <c r="C64" s="2"/>
      <c r="D64" s="2"/>
      <c r="E64" s="6"/>
      <c r="F64" s="6"/>
      <c r="G64" s="8"/>
      <c r="H64" s="8"/>
      <c r="I64" s="2"/>
      <c r="J64" s="2"/>
      <c r="K64" s="9"/>
      <c r="L64" s="8"/>
      <c r="O64" s="29"/>
      <c r="P64" s="20"/>
      <c r="Q64" s="29"/>
      <c r="R64" s="20"/>
      <c r="T64" s="29"/>
      <c r="V64" s="29"/>
    </row>
    <row r="65" spans="2:22" s="21" customFormat="1" ht="27.75" customHeight="1">
      <c r="B65" s="2"/>
      <c r="C65" s="2"/>
      <c r="D65" s="2"/>
      <c r="E65" s="6"/>
      <c r="F65" s="6"/>
      <c r="G65" s="8"/>
      <c r="H65" s="8"/>
      <c r="I65" s="2"/>
      <c r="J65" s="2"/>
      <c r="K65" s="9"/>
      <c r="L65" s="8"/>
      <c r="O65" s="29"/>
      <c r="P65" s="20"/>
      <c r="Q65" s="29"/>
      <c r="R65" s="20"/>
      <c r="T65" s="29"/>
      <c r="V65" s="29"/>
    </row>
    <row r="66" spans="2:22" s="21" customFormat="1" ht="27.75" customHeight="1">
      <c r="B66" s="2"/>
      <c r="C66" s="2"/>
      <c r="D66" s="2"/>
      <c r="E66" s="6"/>
      <c r="F66" s="6"/>
      <c r="G66" s="8"/>
      <c r="H66" s="8"/>
      <c r="I66" s="2"/>
      <c r="J66" s="2"/>
      <c r="K66" s="9"/>
      <c r="L66" s="8"/>
      <c r="O66" s="29"/>
      <c r="P66" s="20"/>
      <c r="Q66" s="29"/>
      <c r="R66" s="20"/>
      <c r="T66" s="29"/>
      <c r="V66" s="29"/>
    </row>
    <row r="67" spans="2:22" s="21" customFormat="1" ht="27.75" customHeight="1">
      <c r="B67" s="2"/>
      <c r="C67" s="2"/>
      <c r="D67" s="2"/>
      <c r="E67" s="6"/>
      <c r="F67" s="6"/>
      <c r="G67" s="8"/>
      <c r="H67" s="8"/>
      <c r="I67" s="2"/>
      <c r="J67" s="2"/>
      <c r="K67" s="9"/>
      <c r="L67" s="8"/>
      <c r="O67" s="29"/>
      <c r="P67" s="20"/>
      <c r="Q67" s="29"/>
      <c r="R67" s="20"/>
      <c r="T67" s="29"/>
      <c r="V67" s="29"/>
    </row>
    <row r="68" spans="2:22" s="21" customFormat="1" ht="27.75" customHeight="1">
      <c r="B68" s="2"/>
      <c r="C68" s="2"/>
      <c r="D68" s="2"/>
      <c r="E68" s="6"/>
      <c r="F68" s="6"/>
      <c r="G68" s="8"/>
      <c r="H68" s="8"/>
      <c r="I68" s="2"/>
      <c r="J68" s="2"/>
      <c r="K68" s="9"/>
      <c r="L68" s="8"/>
      <c r="O68" s="29"/>
      <c r="P68" s="20"/>
      <c r="Q68" s="29"/>
      <c r="R68" s="20"/>
      <c r="T68" s="29"/>
      <c r="V68" s="29"/>
    </row>
    <row r="69" spans="2:22" s="21" customFormat="1" ht="27.75" customHeight="1">
      <c r="B69" s="2"/>
      <c r="C69" s="2"/>
      <c r="D69" s="2"/>
      <c r="E69" s="6"/>
      <c r="F69" s="6"/>
      <c r="G69" s="8"/>
      <c r="H69" s="8"/>
      <c r="I69" s="2"/>
      <c r="J69" s="2"/>
      <c r="K69" s="9"/>
      <c r="L69" s="8"/>
      <c r="O69" s="29"/>
      <c r="P69" s="20"/>
      <c r="Q69" s="29"/>
      <c r="R69" s="20"/>
      <c r="T69" s="29"/>
      <c r="V69" s="29"/>
    </row>
    <row r="70" spans="2:22" s="21" customFormat="1" ht="27.75" customHeight="1">
      <c r="B70" s="2"/>
      <c r="C70" s="2"/>
      <c r="D70" s="2"/>
      <c r="E70" s="6"/>
      <c r="F70" s="6"/>
      <c r="G70" s="8"/>
      <c r="H70" s="8"/>
      <c r="I70" s="2"/>
      <c r="J70" s="2"/>
      <c r="K70" s="9"/>
      <c r="L70" s="8"/>
      <c r="O70" s="29"/>
      <c r="P70" s="20"/>
      <c r="Q70" s="29"/>
      <c r="R70" s="20"/>
      <c r="T70" s="29"/>
      <c r="V70" s="29"/>
    </row>
    <row r="71" spans="2:22" s="21" customFormat="1" ht="27.75" customHeight="1">
      <c r="B71" s="2"/>
      <c r="C71" s="2"/>
      <c r="D71" s="2"/>
      <c r="E71" s="6"/>
      <c r="F71" s="6"/>
      <c r="G71" s="8"/>
      <c r="H71" s="8"/>
      <c r="I71" s="2"/>
      <c r="J71" s="2"/>
      <c r="K71" s="9"/>
      <c r="L71" s="8"/>
      <c r="O71" s="29"/>
      <c r="P71" s="20"/>
      <c r="Q71" s="29"/>
      <c r="R71" s="20"/>
      <c r="T71" s="29"/>
      <c r="V71" s="29"/>
    </row>
    <row r="72" spans="2:22" s="21" customFormat="1" ht="27.75" customHeight="1">
      <c r="B72" s="2"/>
      <c r="C72" s="2"/>
      <c r="D72" s="2"/>
      <c r="E72" s="6"/>
      <c r="F72" s="6"/>
      <c r="G72" s="8"/>
      <c r="H72" s="8"/>
      <c r="I72" s="2"/>
      <c r="J72" s="2"/>
      <c r="K72" s="9"/>
      <c r="L72" s="8"/>
      <c r="O72" s="29"/>
      <c r="P72" s="20"/>
      <c r="Q72" s="29"/>
      <c r="R72" s="20"/>
      <c r="T72" s="29"/>
      <c r="V72" s="29"/>
    </row>
    <row r="73" spans="2:22" s="21" customFormat="1" ht="27.75" customHeight="1">
      <c r="B73" s="2"/>
      <c r="C73" s="2"/>
      <c r="D73" s="2"/>
      <c r="E73" s="6"/>
      <c r="F73" s="6"/>
      <c r="G73" s="8"/>
      <c r="H73" s="8"/>
      <c r="I73" s="2"/>
      <c r="J73" s="2"/>
      <c r="K73" s="9"/>
      <c r="L73" s="8"/>
      <c r="O73" s="29"/>
      <c r="P73" s="20"/>
      <c r="Q73" s="29"/>
      <c r="R73" s="20"/>
      <c r="T73" s="29"/>
      <c r="V73" s="29"/>
    </row>
    <row r="74" spans="2:22" s="21" customFormat="1" ht="27.75" customHeight="1">
      <c r="B74" s="2"/>
      <c r="C74" s="2"/>
      <c r="D74" s="2"/>
      <c r="E74" s="6"/>
      <c r="F74" s="6"/>
      <c r="G74" s="8"/>
      <c r="H74" s="8"/>
      <c r="I74" s="2"/>
      <c r="J74" s="2"/>
      <c r="K74" s="9"/>
      <c r="L74" s="8"/>
      <c r="O74" s="29"/>
      <c r="P74" s="20"/>
      <c r="Q74" s="29"/>
      <c r="R74" s="20"/>
      <c r="T74" s="29"/>
      <c r="V74" s="29"/>
    </row>
    <row r="75" spans="2:22" s="21" customFormat="1" ht="27.75" customHeight="1">
      <c r="B75" s="2"/>
      <c r="C75" s="2"/>
      <c r="D75" s="2"/>
      <c r="E75" s="6"/>
      <c r="F75" s="6"/>
      <c r="G75" s="8"/>
      <c r="H75" s="8"/>
      <c r="I75" s="2"/>
      <c r="J75" s="2"/>
      <c r="K75" s="9"/>
      <c r="L75" s="8"/>
      <c r="N75" s="32"/>
      <c r="O75" s="29"/>
      <c r="P75" s="20"/>
      <c r="Q75" s="29"/>
      <c r="R75" s="20"/>
      <c r="T75" s="29"/>
      <c r="V75" s="29"/>
    </row>
    <row r="76" spans="2:22" s="21" customFormat="1" ht="27.75" customHeight="1">
      <c r="B76" s="2"/>
      <c r="C76" s="2"/>
      <c r="D76" s="2"/>
      <c r="E76" s="6"/>
      <c r="F76" s="6"/>
      <c r="G76" s="8"/>
      <c r="H76" s="8"/>
      <c r="I76" s="2"/>
      <c r="J76" s="2"/>
      <c r="K76" s="9"/>
      <c r="L76" s="8"/>
      <c r="N76" s="32"/>
      <c r="O76" s="29"/>
      <c r="P76" s="20"/>
      <c r="Q76" s="29"/>
      <c r="R76" s="20"/>
      <c r="T76" s="29"/>
      <c r="V76" s="29"/>
    </row>
    <row r="77" spans="2:22" s="21" customFormat="1" ht="27.75" customHeight="1">
      <c r="B77" s="2"/>
      <c r="C77" s="2"/>
      <c r="D77" s="2"/>
      <c r="E77" s="6"/>
      <c r="F77" s="6"/>
      <c r="G77" s="8"/>
      <c r="H77" s="8"/>
      <c r="I77" s="2"/>
      <c r="J77" s="2"/>
      <c r="K77" s="9"/>
      <c r="L77" s="8"/>
      <c r="N77" s="32"/>
      <c r="O77" s="29"/>
      <c r="P77" s="20"/>
      <c r="Q77" s="29"/>
      <c r="R77" s="20"/>
      <c r="T77" s="29"/>
      <c r="V77" s="29"/>
    </row>
    <row r="78" spans="2:22" s="21" customFormat="1" ht="27.75" customHeight="1">
      <c r="B78" s="2"/>
      <c r="C78" s="2"/>
      <c r="D78" s="2"/>
      <c r="E78" s="6"/>
      <c r="F78" s="6"/>
      <c r="G78" s="8"/>
      <c r="H78" s="8"/>
      <c r="I78" s="2"/>
      <c r="J78" s="2"/>
      <c r="K78" s="9"/>
      <c r="L78" s="8"/>
      <c r="O78" s="29"/>
      <c r="P78" s="20"/>
      <c r="Q78" s="29"/>
      <c r="R78" s="20"/>
      <c r="T78" s="29"/>
      <c r="V78" s="29"/>
    </row>
    <row r="79" spans="2:22" s="21" customFormat="1" ht="27.75" customHeight="1">
      <c r="B79" s="2"/>
      <c r="C79" s="2"/>
      <c r="D79" s="2"/>
      <c r="E79" s="6"/>
      <c r="F79" s="6"/>
      <c r="G79" s="8"/>
      <c r="H79" s="8"/>
      <c r="I79" s="2"/>
      <c r="J79" s="2"/>
      <c r="K79" s="9"/>
      <c r="L79" s="8"/>
      <c r="O79" s="29"/>
      <c r="P79" s="20"/>
      <c r="Q79" s="29"/>
      <c r="R79" s="20"/>
      <c r="T79" s="29"/>
      <c r="V79" s="29"/>
    </row>
    <row r="80" spans="2:22" s="21" customFormat="1" ht="27.75" customHeight="1">
      <c r="B80" s="2"/>
      <c r="C80" s="2"/>
      <c r="D80" s="2"/>
      <c r="E80" s="6"/>
      <c r="F80" s="6"/>
      <c r="G80" s="8"/>
      <c r="H80" s="8"/>
      <c r="I80" s="2"/>
      <c r="J80" s="2"/>
      <c r="K80" s="9"/>
      <c r="L80" s="8"/>
      <c r="N80" s="32"/>
      <c r="O80" s="29"/>
      <c r="P80" s="20"/>
      <c r="Q80" s="29"/>
      <c r="R80" s="20"/>
      <c r="T80" s="29"/>
      <c r="V80" s="29"/>
    </row>
    <row r="81" spans="1:38" s="21" customFormat="1" ht="27.75" customHeight="1">
      <c r="B81" s="2"/>
      <c r="C81" s="2"/>
      <c r="D81" s="2"/>
      <c r="E81" s="6"/>
      <c r="F81" s="6"/>
      <c r="G81" s="8"/>
      <c r="H81" s="8"/>
      <c r="I81" s="2"/>
      <c r="J81" s="2"/>
      <c r="K81" s="9"/>
      <c r="L81" s="8"/>
      <c r="N81" s="32"/>
      <c r="O81" s="29"/>
      <c r="P81" s="20"/>
      <c r="Q81" s="29"/>
      <c r="R81" s="20"/>
      <c r="T81" s="29"/>
      <c r="V81" s="29"/>
    </row>
    <row r="82" spans="1:38" s="21" customFormat="1" ht="27.75" customHeight="1">
      <c r="B82" s="2"/>
      <c r="C82" s="2"/>
      <c r="D82" s="2"/>
      <c r="E82" s="6"/>
      <c r="F82" s="6"/>
      <c r="G82" s="8"/>
      <c r="H82" s="8"/>
      <c r="I82" s="2"/>
      <c r="J82" s="2"/>
      <c r="K82" s="9"/>
      <c r="L82" s="8"/>
      <c r="O82" s="29"/>
      <c r="P82" s="20"/>
      <c r="Q82" s="29"/>
      <c r="R82" s="20"/>
      <c r="T82" s="29"/>
      <c r="V82" s="29"/>
    </row>
    <row r="83" spans="1:38" s="21" customFormat="1" ht="27.75" customHeight="1">
      <c r="B83" s="2"/>
      <c r="C83" s="2"/>
      <c r="D83" s="2"/>
      <c r="E83" s="6"/>
      <c r="F83" s="6"/>
      <c r="G83" s="8"/>
      <c r="H83" s="8"/>
      <c r="I83" s="2"/>
      <c r="J83" s="2"/>
      <c r="K83" s="9"/>
      <c r="L83" s="8"/>
      <c r="O83" s="29"/>
      <c r="P83" s="20"/>
      <c r="Q83" s="29"/>
      <c r="R83" s="20"/>
      <c r="T83" s="29"/>
      <c r="V83" s="29"/>
    </row>
    <row r="84" spans="1:38" s="21" customFormat="1" ht="27.75" customHeight="1">
      <c r="B84" s="2"/>
      <c r="C84" s="2"/>
      <c r="D84" s="2"/>
      <c r="E84" s="6"/>
      <c r="F84" s="6"/>
      <c r="G84" s="8"/>
      <c r="H84" s="8"/>
      <c r="I84" s="2"/>
      <c r="J84" s="2"/>
      <c r="K84" s="9"/>
      <c r="L84" s="8"/>
      <c r="N84" s="32"/>
      <c r="O84" s="29"/>
      <c r="P84" s="20"/>
      <c r="Q84" s="29"/>
      <c r="R84" s="20"/>
      <c r="T84" s="29"/>
      <c r="V84" s="29"/>
    </row>
    <row r="85" spans="1:38" s="21" customFormat="1" ht="27.75" customHeight="1">
      <c r="B85" s="2"/>
      <c r="C85" s="2"/>
      <c r="D85" s="2"/>
      <c r="E85" s="6"/>
      <c r="F85" s="6"/>
      <c r="G85" s="8"/>
      <c r="H85" s="8"/>
      <c r="I85" s="2"/>
      <c r="J85" s="2"/>
      <c r="K85" s="9"/>
      <c r="L85" s="8"/>
      <c r="N85" s="32"/>
      <c r="O85" s="29"/>
      <c r="P85" s="20"/>
      <c r="Q85" s="29"/>
      <c r="R85" s="20"/>
      <c r="T85" s="29"/>
      <c r="V85" s="29"/>
    </row>
    <row r="86" spans="1:38" s="21" customFormat="1" ht="27.75" customHeight="1">
      <c r="B86" s="2"/>
      <c r="C86" s="2"/>
      <c r="D86" s="2"/>
      <c r="E86" s="6"/>
      <c r="F86" s="6"/>
      <c r="G86" s="8"/>
      <c r="H86" s="8"/>
      <c r="I86" s="2"/>
      <c r="J86" s="2"/>
      <c r="K86" s="9"/>
      <c r="L86" s="8"/>
      <c r="N86" s="32"/>
      <c r="O86" s="29"/>
      <c r="P86" s="20"/>
      <c r="Q86" s="29"/>
      <c r="R86" s="20"/>
      <c r="T86" s="29"/>
      <c r="V86" s="29"/>
    </row>
    <row r="87" spans="1:38" ht="27.75" customHeight="1">
      <c r="N87" s="32"/>
      <c r="O87" s="29"/>
      <c r="P87" s="20"/>
      <c r="Q87" s="29"/>
      <c r="R87" s="20"/>
      <c r="S87" s="21"/>
      <c r="T87" s="29"/>
      <c r="V87" s="29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pans="1:38" ht="27.75" customHeight="1">
      <c r="N88" s="32"/>
      <c r="O88" s="29"/>
      <c r="P88" s="20"/>
      <c r="Q88" s="29"/>
      <c r="R88" s="20"/>
      <c r="S88" s="21"/>
      <c r="T88" s="29"/>
      <c r="V88" s="29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pans="1:38" ht="27.75" customHeight="1">
      <c r="N89" s="32"/>
      <c r="O89" s="29"/>
      <c r="P89" s="20"/>
      <c r="Q89" s="29"/>
      <c r="R89" s="20"/>
      <c r="S89" s="21"/>
      <c r="T89" s="29"/>
      <c r="V89" s="29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pans="1:38" ht="27.75" customHeight="1">
      <c r="N90" s="32"/>
      <c r="O90" s="29"/>
      <c r="P90" s="20"/>
      <c r="Q90" s="29"/>
      <c r="R90" s="20"/>
      <c r="S90" s="21"/>
      <c r="T90" s="29"/>
      <c r="V90" s="29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 ht="27.75" customHeight="1">
      <c r="N91" s="32"/>
      <c r="O91" s="29"/>
      <c r="P91" s="20"/>
      <c r="Q91" s="29"/>
      <c r="R91" s="20"/>
      <c r="S91" s="21"/>
      <c r="T91" s="29"/>
      <c r="V91" s="29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:38" ht="27.75" customHeight="1">
      <c r="N92" s="32"/>
      <c r="O92" s="29"/>
      <c r="P92" s="20"/>
      <c r="Q92" s="29"/>
      <c r="R92" s="20"/>
      <c r="S92" s="21"/>
      <c r="T92" s="29"/>
      <c r="V92" s="29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 ht="27.75" customHeight="1">
      <c r="N93" s="32"/>
      <c r="O93" s="29"/>
      <c r="P93" s="20"/>
      <c r="Q93" s="29"/>
      <c r="R93" s="20"/>
      <c r="S93" s="21"/>
      <c r="T93" s="29"/>
      <c r="V93" s="29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1:38" ht="27.75" customHeight="1">
      <c r="N94" s="32"/>
      <c r="O94" s="29"/>
      <c r="P94" s="20"/>
      <c r="Q94" s="29"/>
      <c r="R94" s="20"/>
      <c r="S94" s="21"/>
      <c r="T94" s="29"/>
      <c r="V94" s="29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1:38" ht="27.75" customHeight="1">
      <c r="N95" s="32"/>
      <c r="O95" s="29"/>
      <c r="P95" s="20"/>
      <c r="Q95" s="29"/>
      <c r="R95" s="20"/>
      <c r="S95" s="21"/>
      <c r="T95" s="29"/>
      <c r="V95" s="29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1:38" ht="27.75" customHeight="1">
      <c r="A96" s="32"/>
      <c r="N96" s="32"/>
      <c r="O96" s="29"/>
      <c r="P96" s="20"/>
      <c r="Q96" s="29"/>
      <c r="R96" s="20"/>
      <c r="S96" s="21"/>
      <c r="T96" s="29"/>
      <c r="V96" s="29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4:25" ht="27.75" customHeight="1">
      <c r="N97" s="32"/>
      <c r="V97" s="29"/>
      <c r="W97" s="21"/>
      <c r="X97" s="21"/>
      <c r="Y97" s="21"/>
    </row>
    <row r="98" spans="14:25" ht="27.75" customHeight="1">
      <c r="N98" s="32"/>
    </row>
  </sheetData>
  <mergeCells count="14">
    <mergeCell ref="C13:D13"/>
    <mergeCell ref="K13:L13"/>
    <mergeCell ref="C15:D15"/>
    <mergeCell ref="T16:V16"/>
    <mergeCell ref="D2:T2"/>
    <mergeCell ref="D3:J5"/>
    <mergeCell ref="T3:X3"/>
    <mergeCell ref="O5:S15"/>
    <mergeCell ref="F6:J6"/>
    <mergeCell ref="T6:Z15"/>
    <mergeCell ref="C7:D7"/>
    <mergeCell ref="C9:D9"/>
    <mergeCell ref="C10:D10"/>
    <mergeCell ref="C12:D12"/>
  </mergeCells>
  <printOptions horizontalCentered="1"/>
  <pageMargins left="0.4" right="0.4" top="0.4" bottom="0.4" header="0.25" footer="0.25"/>
  <pageSetup paperSize="9" scale="62" fitToHeight="0" orientation="portrait" r:id="rId1"/>
  <headerFooter differentFirst="1">
    <oddFooter>&amp;CPage &amp;P of &amp;N</oddFoot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1E02-CC4E-4D32-9CA7-31B32F3C27B8}">
  <sheetPr>
    <tabColor theme="3" tint="0.249977111117893"/>
    <pageSetUpPr fitToPage="1"/>
  </sheetPr>
  <dimension ref="A1:AV103"/>
  <sheetViews>
    <sheetView showGridLines="0" topLeftCell="A10" zoomScale="90" zoomScaleNormal="90" workbookViewId="0">
      <selection activeCell="D20" sqref="D20"/>
    </sheetView>
  </sheetViews>
  <sheetFormatPr defaultColWidth="9.140625" defaultRowHeight="27.75" customHeight="1"/>
  <cols>
    <col min="1" max="1" width="0.28515625" style="2" customWidth="1"/>
    <col min="2" max="2" width="6" style="2" customWidth="1"/>
    <col min="3" max="3" width="17.85546875" style="2" customWidth="1"/>
    <col min="4" max="4" width="23.5703125" style="2" bestFit="1" customWidth="1"/>
    <col min="5" max="5" width="16.7109375" style="6" customWidth="1"/>
    <col min="6" max="6" width="18.42578125" style="6" customWidth="1"/>
    <col min="7" max="7" width="23.42578125" style="8" bestFit="1" customWidth="1"/>
    <col min="8" max="8" width="16" style="8" customWidth="1"/>
    <col min="9" max="9" width="15" style="2" customWidth="1"/>
    <col min="10" max="10" width="14.7109375" style="2" customWidth="1"/>
    <col min="11" max="11" width="23.42578125" style="9" bestFit="1" customWidth="1"/>
    <col min="12" max="12" width="15.140625" style="8" customWidth="1"/>
    <col min="13" max="13" width="12" style="2" customWidth="1"/>
    <col min="14" max="14" width="9.7109375" style="3" customWidth="1"/>
    <col min="15" max="15" width="11.42578125" style="9" customWidth="1"/>
    <col min="16" max="16" width="14" style="8" customWidth="1"/>
    <col min="17" max="17" width="12.140625" style="9" customWidth="1"/>
    <col min="18" max="18" width="13.7109375" style="8" customWidth="1"/>
    <col min="19" max="19" width="14" style="2" customWidth="1"/>
    <col min="20" max="20" width="14.140625" style="9" customWidth="1"/>
    <col min="21" max="21" width="9.28515625" style="8" customWidth="1"/>
    <col min="22" max="22" width="10.7109375" style="9" bestFit="1" customWidth="1"/>
    <col min="23" max="23" width="14.42578125" style="2" customWidth="1"/>
    <col min="24" max="24" width="10.5703125" style="2" customWidth="1"/>
    <col min="25" max="16384" width="9.140625" style="2"/>
  </cols>
  <sheetData>
    <row r="1" spans="1:48" s="46" customFormat="1" ht="5.25" customHeight="1">
      <c r="D1" s="49"/>
      <c r="E1" s="49"/>
      <c r="F1" s="49"/>
      <c r="G1" s="50"/>
      <c r="H1" s="50"/>
      <c r="I1" s="49"/>
      <c r="J1" s="49"/>
      <c r="K1" s="45"/>
      <c r="L1" s="50"/>
      <c r="O1" s="45"/>
      <c r="P1" s="50"/>
      <c r="Q1" s="45"/>
      <c r="R1" s="44"/>
      <c r="T1" s="45"/>
      <c r="U1" s="44"/>
      <c r="V1" s="45"/>
    </row>
    <row r="2" spans="1:48" s="4" customFormat="1" ht="102" customHeight="1">
      <c r="A2" s="7"/>
      <c r="B2" s="43"/>
      <c r="C2" s="43"/>
      <c r="D2" s="282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47"/>
      <c r="V2" s="48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s="1" customFormat="1" ht="33" customHeight="1">
      <c r="A3" s="12"/>
      <c r="B3" s="12"/>
      <c r="C3" s="52"/>
      <c r="D3" s="284" t="s">
        <v>7</v>
      </c>
      <c r="E3" s="284"/>
      <c r="F3" s="284"/>
      <c r="G3" s="284"/>
      <c r="H3" s="284"/>
      <c r="I3" s="284"/>
      <c r="J3" s="284"/>
      <c r="K3" s="13"/>
      <c r="L3" s="14"/>
      <c r="M3" s="12"/>
      <c r="N3" s="12"/>
      <c r="O3" s="15" t="s">
        <v>31</v>
      </c>
      <c r="P3" s="16"/>
      <c r="Q3" s="16"/>
      <c r="R3" s="16"/>
      <c r="S3" s="17"/>
      <c r="T3" s="285"/>
      <c r="U3" s="285"/>
      <c r="V3" s="285"/>
      <c r="W3" s="285"/>
      <c r="X3" s="285"/>
      <c r="Y3" s="18"/>
      <c r="Z3" s="19"/>
      <c r="AA3" s="10"/>
    </row>
    <row r="4" spans="1:48" s="1" customFormat="1" ht="18.75" customHeight="1">
      <c r="A4" s="12"/>
      <c r="B4" s="12"/>
      <c r="C4" s="52"/>
      <c r="D4" s="284"/>
      <c r="E4" s="284"/>
      <c r="F4" s="284"/>
      <c r="G4" s="284"/>
      <c r="H4" s="284"/>
      <c r="I4" s="284"/>
      <c r="J4" s="284"/>
      <c r="K4" s="12"/>
      <c r="L4" s="12"/>
      <c r="M4" s="12"/>
      <c r="N4" s="12"/>
      <c r="O4" s="12"/>
      <c r="P4" s="12"/>
      <c r="Q4" s="12"/>
      <c r="R4" s="12"/>
      <c r="S4" s="12"/>
      <c r="T4" s="18"/>
      <c r="U4" s="20"/>
      <c r="V4" s="18"/>
      <c r="W4" s="19"/>
      <c r="X4" s="12"/>
      <c r="Y4" s="18"/>
      <c r="Z4" s="19"/>
      <c r="AA4" s="10"/>
    </row>
    <row r="5" spans="1:48" s="1" customFormat="1" ht="3.75" customHeight="1">
      <c r="A5" s="12"/>
      <c r="B5" s="12"/>
      <c r="C5" s="52"/>
      <c r="D5" s="284"/>
      <c r="E5" s="284"/>
      <c r="F5" s="284"/>
      <c r="G5" s="284"/>
      <c r="H5" s="284"/>
      <c r="I5" s="284"/>
      <c r="J5" s="284"/>
      <c r="K5" s="12"/>
      <c r="L5" s="12"/>
      <c r="M5" s="12"/>
      <c r="N5" s="12"/>
      <c r="O5" s="286" t="s">
        <v>24</v>
      </c>
      <c r="P5" s="286"/>
      <c r="Q5" s="286"/>
      <c r="R5" s="286"/>
      <c r="S5" s="286"/>
      <c r="T5" s="18"/>
      <c r="U5" s="20"/>
      <c r="V5" s="18"/>
      <c r="W5" s="19"/>
      <c r="X5" s="12"/>
      <c r="Y5" s="18"/>
      <c r="Z5" s="19"/>
      <c r="AA5" s="10"/>
    </row>
    <row r="6" spans="1:48" s="1" customFormat="1" ht="46.5" customHeight="1">
      <c r="A6" s="12"/>
      <c r="B6" s="12"/>
      <c r="C6" s="52"/>
      <c r="D6" s="51"/>
      <c r="E6" s="51"/>
      <c r="F6" s="288"/>
      <c r="G6" s="288"/>
      <c r="H6" s="288"/>
      <c r="I6" s="288"/>
      <c r="J6" s="288"/>
      <c r="K6" s="12"/>
      <c r="L6" s="12"/>
      <c r="M6" s="12"/>
      <c r="N6" s="22"/>
      <c r="O6" s="286"/>
      <c r="P6" s="286"/>
      <c r="Q6" s="286"/>
      <c r="R6" s="286"/>
      <c r="S6" s="286"/>
      <c r="T6" s="289"/>
      <c r="U6" s="289"/>
      <c r="V6" s="289"/>
      <c r="W6" s="289"/>
      <c r="X6" s="289"/>
      <c r="Y6" s="289"/>
      <c r="Z6" s="289"/>
      <c r="AA6" s="10"/>
    </row>
    <row r="7" spans="1:48" s="1" customFormat="1" ht="18.75" customHeight="1">
      <c r="A7" s="12"/>
      <c r="B7" s="12"/>
      <c r="C7" s="290" t="s">
        <v>22</v>
      </c>
      <c r="D7" s="290"/>
      <c r="E7" s="51"/>
      <c r="F7" s="51"/>
      <c r="G7" s="53"/>
      <c r="H7" s="53"/>
      <c r="I7" s="51"/>
      <c r="J7" s="51"/>
      <c r="K7" s="12"/>
      <c r="L7" s="12"/>
      <c r="M7" s="12"/>
      <c r="N7" s="22"/>
      <c r="O7" s="286"/>
      <c r="P7" s="286"/>
      <c r="Q7" s="286"/>
      <c r="R7" s="286"/>
      <c r="S7" s="286"/>
      <c r="T7" s="289"/>
      <c r="U7" s="289"/>
      <c r="V7" s="289"/>
      <c r="W7" s="289"/>
      <c r="X7" s="289"/>
      <c r="Y7" s="289"/>
      <c r="Z7" s="289"/>
      <c r="AA7" s="10"/>
    </row>
    <row r="8" spans="1:48" s="1" customFormat="1" ht="3.75" customHeight="1">
      <c r="A8" s="12"/>
      <c r="B8" s="12"/>
      <c r="C8" s="37"/>
      <c r="D8" s="38"/>
      <c r="E8" s="51"/>
      <c r="F8" s="51"/>
      <c r="G8" s="53"/>
      <c r="H8" s="53"/>
      <c r="I8" s="51"/>
      <c r="J8" s="51"/>
      <c r="K8" s="12"/>
      <c r="L8" s="12"/>
      <c r="M8" s="12"/>
      <c r="N8" s="22"/>
      <c r="O8" s="286"/>
      <c r="P8" s="286"/>
      <c r="Q8" s="286"/>
      <c r="R8" s="286"/>
      <c r="S8" s="286"/>
      <c r="T8" s="289"/>
      <c r="U8" s="289"/>
      <c r="V8" s="289"/>
      <c r="W8" s="289"/>
      <c r="X8" s="289"/>
      <c r="Y8" s="289"/>
      <c r="Z8" s="289"/>
      <c r="AA8" s="10"/>
    </row>
    <row r="9" spans="1:48" s="1" customFormat="1" ht="33.75" customHeight="1">
      <c r="A9" s="12"/>
      <c r="B9" s="22">
        <v>3</v>
      </c>
      <c r="C9" s="291">
        <f>J31</f>
        <v>-348.29999999999995</v>
      </c>
      <c r="D9" s="291"/>
      <c r="E9" s="51"/>
      <c r="F9" s="51"/>
      <c r="G9" s="53"/>
      <c r="H9" s="53"/>
      <c r="I9" s="51"/>
      <c r="J9" s="51"/>
      <c r="K9" s="12"/>
      <c r="L9" s="12"/>
      <c r="M9" s="12"/>
      <c r="N9" s="12"/>
      <c r="O9" s="286"/>
      <c r="P9" s="286"/>
      <c r="Q9" s="286"/>
      <c r="R9" s="286"/>
      <c r="S9" s="286"/>
      <c r="T9" s="289"/>
      <c r="U9" s="289"/>
      <c r="V9" s="289"/>
      <c r="W9" s="289"/>
      <c r="X9" s="289"/>
      <c r="Y9" s="289"/>
      <c r="Z9" s="289"/>
      <c r="AA9" s="10"/>
    </row>
    <row r="10" spans="1:48" s="1" customFormat="1" ht="22.5" customHeight="1">
      <c r="A10" s="12"/>
      <c r="B10" s="22">
        <v>2</v>
      </c>
      <c r="C10" s="290" t="s">
        <v>23</v>
      </c>
      <c r="D10" s="290"/>
      <c r="E10" s="51"/>
      <c r="F10" s="51"/>
      <c r="G10" s="53"/>
      <c r="H10" s="53"/>
      <c r="I10" s="51"/>
      <c r="J10" s="51"/>
      <c r="K10" s="12"/>
      <c r="L10" s="12"/>
      <c r="M10" s="12"/>
      <c r="N10" s="12"/>
      <c r="O10" s="286"/>
      <c r="P10" s="286"/>
      <c r="Q10" s="286"/>
      <c r="R10" s="286"/>
      <c r="S10" s="286"/>
      <c r="T10" s="289"/>
      <c r="U10" s="289"/>
      <c r="V10" s="289"/>
      <c r="W10" s="289"/>
      <c r="X10" s="289"/>
      <c r="Y10" s="289"/>
      <c r="Z10" s="289"/>
      <c r="AA10" s="10"/>
    </row>
    <row r="11" spans="1:48" s="1" customFormat="1" ht="3.75" customHeight="1">
      <c r="A11" s="12"/>
      <c r="B11" s="22"/>
      <c r="C11" s="37"/>
      <c r="D11" s="38"/>
      <c r="E11" s="51"/>
      <c r="F11" s="51"/>
      <c r="G11" s="53"/>
      <c r="H11" s="53"/>
      <c r="I11" s="51"/>
      <c r="J11" s="51"/>
      <c r="K11" s="12"/>
      <c r="L11" s="12"/>
      <c r="M11" s="12"/>
      <c r="N11" s="12"/>
      <c r="O11" s="286"/>
      <c r="P11" s="286"/>
      <c r="Q11" s="286"/>
      <c r="R11" s="286"/>
      <c r="S11" s="286"/>
      <c r="T11" s="289"/>
      <c r="U11" s="289"/>
      <c r="V11" s="289"/>
      <c r="W11" s="289"/>
      <c r="X11" s="289"/>
      <c r="Y11" s="289"/>
      <c r="Z11" s="289"/>
      <c r="AA11" s="10"/>
    </row>
    <row r="12" spans="1:48" s="1" customFormat="1" ht="31.5" customHeight="1">
      <c r="A12" s="12"/>
      <c r="B12" s="22">
        <v>11</v>
      </c>
      <c r="C12" s="292">
        <f>L31</f>
        <v>-3.4829999999999993E-2</v>
      </c>
      <c r="D12" s="292"/>
      <c r="E12" s="51"/>
      <c r="F12" s="51"/>
      <c r="G12" s="53"/>
      <c r="H12" s="53"/>
      <c r="I12" s="51"/>
      <c r="J12" s="51"/>
      <c r="K12" s="12"/>
      <c r="L12" s="12"/>
      <c r="M12" s="12"/>
      <c r="N12" s="12"/>
      <c r="O12" s="286"/>
      <c r="P12" s="286"/>
      <c r="Q12" s="286"/>
      <c r="R12" s="286"/>
      <c r="S12" s="286"/>
      <c r="T12" s="289"/>
      <c r="U12" s="289"/>
      <c r="V12" s="289"/>
      <c r="W12" s="289"/>
      <c r="X12" s="289"/>
      <c r="Y12" s="289"/>
      <c r="Z12" s="289"/>
      <c r="AA12" s="10"/>
    </row>
    <row r="13" spans="1:48" s="1" customFormat="1" ht="18.75" customHeight="1">
      <c r="A13" s="12"/>
      <c r="B13" s="12"/>
      <c r="C13" s="293" t="s">
        <v>6</v>
      </c>
      <c r="D13" s="293"/>
      <c r="E13" s="51"/>
      <c r="F13" s="51"/>
      <c r="G13" s="53"/>
      <c r="H13" s="53"/>
      <c r="I13" s="51"/>
      <c r="J13" s="51"/>
      <c r="K13" s="294"/>
      <c r="L13" s="294"/>
      <c r="M13" s="12"/>
      <c r="N13" s="12"/>
      <c r="O13" s="286"/>
      <c r="P13" s="286"/>
      <c r="Q13" s="286"/>
      <c r="R13" s="286"/>
      <c r="S13" s="286"/>
      <c r="T13" s="289"/>
      <c r="U13" s="289"/>
      <c r="V13" s="289"/>
      <c r="W13" s="289"/>
      <c r="X13" s="289"/>
      <c r="Y13" s="289"/>
      <c r="Z13" s="289"/>
      <c r="AA13" s="10"/>
    </row>
    <row r="14" spans="1:48" s="1" customFormat="1" ht="3.75" customHeight="1">
      <c r="A14" s="12"/>
      <c r="B14" s="12"/>
      <c r="C14" s="37"/>
      <c r="D14" s="38"/>
      <c r="E14" s="51"/>
      <c r="F14" s="51"/>
      <c r="G14" s="53"/>
      <c r="H14" s="53"/>
      <c r="I14" s="51"/>
      <c r="J14" s="51"/>
      <c r="K14" s="23"/>
      <c r="L14" s="24"/>
      <c r="M14" s="12"/>
      <c r="N14" s="12"/>
      <c r="O14" s="286"/>
      <c r="P14" s="286"/>
      <c r="Q14" s="286"/>
      <c r="R14" s="286"/>
      <c r="S14" s="286"/>
      <c r="T14" s="289"/>
      <c r="U14" s="289"/>
      <c r="V14" s="289"/>
      <c r="W14" s="289"/>
      <c r="X14" s="289"/>
      <c r="Y14" s="289"/>
      <c r="Z14" s="289"/>
      <c r="AA14" s="10"/>
    </row>
    <row r="15" spans="1:48" s="1" customFormat="1" ht="57.95" customHeight="1" thickBot="1">
      <c r="A15" s="12"/>
      <c r="B15" s="12"/>
      <c r="C15" s="292">
        <f>L31</f>
        <v>-3.4829999999999993E-2</v>
      </c>
      <c r="D15" s="292"/>
      <c r="E15" s="51"/>
      <c r="F15" s="51"/>
      <c r="G15" s="53"/>
      <c r="H15" s="53"/>
      <c r="I15" s="51"/>
      <c r="J15" s="51"/>
      <c r="K15" s="12"/>
      <c r="L15" s="12"/>
      <c r="M15" s="12"/>
      <c r="N15" s="12"/>
      <c r="O15" s="287"/>
      <c r="P15" s="287"/>
      <c r="Q15" s="287"/>
      <c r="R15" s="287"/>
      <c r="S15" s="287"/>
      <c r="T15" s="289"/>
      <c r="U15" s="289"/>
      <c r="V15" s="289"/>
      <c r="W15" s="289"/>
      <c r="X15" s="289"/>
      <c r="Y15" s="289"/>
      <c r="Z15" s="289"/>
      <c r="AA15" s="10"/>
    </row>
    <row r="16" spans="1:48" s="1" customFormat="1" ht="23.25" customHeight="1" thickBot="1">
      <c r="A16" s="12"/>
      <c r="B16" s="12"/>
      <c r="C16" s="20"/>
      <c r="D16" s="35">
        <v>45797</v>
      </c>
      <c r="E16" s="33" t="s">
        <v>12</v>
      </c>
      <c r="F16" s="34"/>
      <c r="G16" s="142">
        <v>10000</v>
      </c>
      <c r="H16" s="20"/>
      <c r="I16" s="21"/>
      <c r="J16" s="21"/>
      <c r="K16" s="12"/>
      <c r="L16" s="12"/>
      <c r="M16" s="12"/>
      <c r="N16" s="32"/>
      <c r="O16" s="29"/>
      <c r="P16" s="20"/>
      <c r="Q16" s="29"/>
      <c r="R16" s="20"/>
      <c r="S16" s="21"/>
      <c r="T16" s="281"/>
      <c r="U16" s="281"/>
      <c r="V16" s="281"/>
      <c r="W16" s="12"/>
      <c r="X16" s="12"/>
      <c r="Y16" s="12"/>
      <c r="Z16" s="12"/>
      <c r="AA16" s="10"/>
    </row>
    <row r="17" spans="1:27" s="1" customFormat="1" ht="18.75" customHeight="1" thickBot="1">
      <c r="A17" s="25"/>
      <c r="B17" s="20"/>
      <c r="C17" s="20"/>
      <c r="D17" s="20"/>
      <c r="E17" s="20"/>
      <c r="F17" s="20"/>
      <c r="G17" s="20"/>
      <c r="H17" s="20"/>
      <c r="I17" s="21"/>
      <c r="J17" s="21"/>
      <c r="K17" s="12"/>
      <c r="L17" s="12"/>
      <c r="M17" s="12"/>
      <c r="N17" s="32"/>
      <c r="O17" s="29"/>
      <c r="P17" s="20"/>
      <c r="Q17" s="29"/>
      <c r="R17" s="20"/>
      <c r="S17" s="21"/>
      <c r="T17" s="12"/>
      <c r="U17" s="26"/>
      <c r="V17" s="27"/>
      <c r="W17" s="12"/>
      <c r="X17" s="12"/>
      <c r="Y17" s="12"/>
      <c r="Z17" s="12"/>
      <c r="AA17" s="10"/>
    </row>
    <row r="18" spans="1:27" ht="18.75" customHeight="1" thickBot="1">
      <c r="A18" s="20"/>
      <c r="B18" s="89"/>
      <c r="C18" s="90"/>
      <c r="D18" s="90" t="s">
        <v>17</v>
      </c>
      <c r="E18" s="90"/>
      <c r="F18" s="91"/>
      <c r="G18" s="91"/>
      <c r="H18" s="92" t="s">
        <v>27</v>
      </c>
      <c r="I18" s="131"/>
      <c r="J18" s="133"/>
      <c r="K18" s="93" t="s">
        <v>21</v>
      </c>
      <c r="L18" s="94"/>
      <c r="M18" s="54"/>
      <c r="N18" s="32"/>
      <c r="O18" s="36"/>
      <c r="P18" s="125">
        <v>760</v>
      </c>
      <c r="Q18" s="112"/>
      <c r="R18" s="67"/>
      <c r="S18" s="127">
        <f t="shared" ref="S18:S35" si="0">Q18*-R18</f>
        <v>0</v>
      </c>
      <c r="T18" s="39"/>
      <c r="U18" s="20"/>
      <c r="V18" s="55"/>
      <c r="W18" s="56" t="s">
        <v>8</v>
      </c>
      <c r="X18" s="57"/>
      <c r="Y18" s="12"/>
      <c r="Z18" s="12"/>
      <c r="AA18" s="11"/>
    </row>
    <row r="19" spans="1:27" ht="18" customHeight="1" thickBot="1">
      <c r="A19" s="30"/>
      <c r="B19" s="95" t="s">
        <v>3</v>
      </c>
      <c r="C19" s="95" t="s">
        <v>1</v>
      </c>
      <c r="D19" s="96" t="s">
        <v>2</v>
      </c>
      <c r="E19" s="96" t="s">
        <v>11</v>
      </c>
      <c r="F19" s="96" t="s">
        <v>5</v>
      </c>
      <c r="G19" s="96" t="s">
        <v>9</v>
      </c>
      <c r="H19" s="97" t="s">
        <v>4</v>
      </c>
      <c r="I19" s="132" t="s">
        <v>26</v>
      </c>
      <c r="J19" s="134" t="s">
        <v>18</v>
      </c>
      <c r="K19" s="98" t="s">
        <v>19</v>
      </c>
      <c r="L19" s="99" t="s">
        <v>20</v>
      </c>
      <c r="M19" s="54"/>
      <c r="N19" s="32"/>
      <c r="O19" s="36"/>
      <c r="P19" s="68">
        <v>820</v>
      </c>
      <c r="Q19" s="113"/>
      <c r="R19" s="69"/>
      <c r="S19" s="70">
        <f t="shared" si="0"/>
        <v>0</v>
      </c>
      <c r="T19" s="39"/>
      <c r="U19" s="20"/>
      <c r="V19" s="58" t="s">
        <v>1</v>
      </c>
      <c r="W19" s="59" t="s">
        <v>9</v>
      </c>
      <c r="X19" s="60" t="s">
        <v>10</v>
      </c>
      <c r="Y19" s="12"/>
      <c r="Z19" s="12"/>
      <c r="AA19" s="11"/>
    </row>
    <row r="20" spans="1:27" ht="18" customHeight="1" thickBot="1">
      <c r="A20" s="30"/>
      <c r="B20" s="212">
        <v>1</v>
      </c>
      <c r="C20" s="199">
        <v>46130</v>
      </c>
      <c r="D20" s="200" t="s">
        <v>67</v>
      </c>
      <c r="E20" s="201">
        <f>1</f>
        <v>1</v>
      </c>
      <c r="F20" s="210">
        <f>(1*177)/E20</f>
        <v>177</v>
      </c>
      <c r="G20" s="203">
        <f t="shared" ref="G20" si="1">-E20*F20</f>
        <v>-177</v>
      </c>
      <c r="H20" s="204">
        <v>162.5</v>
      </c>
      <c r="I20" s="205">
        <f t="shared" ref="I20" si="2">E20*H20</f>
        <v>162.5</v>
      </c>
      <c r="J20" s="206">
        <f t="shared" ref="J20" si="3">E20*(H20-F20)</f>
        <v>-14.5</v>
      </c>
      <c r="K20" s="207">
        <f t="shared" ref="K20" si="4">-J20/G20</f>
        <v>-8.1920903954802254E-2</v>
      </c>
      <c r="L20" s="208">
        <f t="shared" ref="L20" si="5">(J20)/10000</f>
        <v>-1.4499999999999999E-3</v>
      </c>
      <c r="M20" s="54"/>
      <c r="N20" s="32"/>
      <c r="O20" s="36"/>
      <c r="P20" s="129">
        <v>830</v>
      </c>
      <c r="Q20" s="114"/>
      <c r="R20" s="71"/>
      <c r="S20" s="130">
        <f t="shared" ref="S20" si="6">Q20*-R20</f>
        <v>0</v>
      </c>
      <c r="T20" s="39"/>
      <c r="U20" s="20"/>
      <c r="V20" s="109">
        <v>45919</v>
      </c>
      <c r="W20" s="110">
        <v>10000</v>
      </c>
      <c r="X20" s="111">
        <f>(W20-10000)/10000</f>
        <v>0</v>
      </c>
      <c r="Y20" s="12"/>
      <c r="Z20" s="12"/>
      <c r="AA20" s="11"/>
    </row>
    <row r="21" spans="1:27" ht="18" customHeight="1" thickBot="1">
      <c r="A21" s="30"/>
      <c r="B21" s="212">
        <v>2</v>
      </c>
      <c r="C21" s="199">
        <v>46131</v>
      </c>
      <c r="D21" s="200" t="s">
        <v>68</v>
      </c>
      <c r="E21" s="201">
        <f>1</f>
        <v>1</v>
      </c>
      <c r="F21" s="210">
        <f>(1*207.7)/E21</f>
        <v>207.7</v>
      </c>
      <c r="G21" s="203">
        <f t="shared" ref="G21" si="7">-E21*F21</f>
        <v>-207.7</v>
      </c>
      <c r="H21" s="204">
        <v>0</v>
      </c>
      <c r="I21" s="205">
        <f t="shared" ref="I21" si="8">E21*H21</f>
        <v>0</v>
      </c>
      <c r="J21" s="206">
        <f t="shared" ref="J21" si="9">E21*(H21-F21)</f>
        <v>-207.7</v>
      </c>
      <c r="K21" s="207">
        <f t="shared" ref="K21" si="10">-J21/G21</f>
        <v>-1</v>
      </c>
      <c r="L21" s="208">
        <f t="shared" ref="L21" si="11">(J21)/10000</f>
        <v>-2.077E-2</v>
      </c>
      <c r="M21" s="54"/>
      <c r="N21" s="32"/>
      <c r="O21" s="36"/>
      <c r="P21" s="129">
        <v>830</v>
      </c>
      <c r="Q21" s="114"/>
      <c r="R21" s="71"/>
      <c r="S21" s="130">
        <f t="shared" si="0"/>
        <v>0</v>
      </c>
      <c r="T21" s="39"/>
      <c r="U21" s="20"/>
      <c r="V21" s="109">
        <v>45919</v>
      </c>
      <c r="W21" s="110">
        <v>10000</v>
      </c>
      <c r="X21" s="111">
        <f>(W21-10000)/10000</f>
        <v>0</v>
      </c>
      <c r="Y21" s="12"/>
      <c r="Z21" s="12"/>
      <c r="AA21" s="11"/>
    </row>
    <row r="22" spans="1:27" ht="18" customHeight="1" thickBot="1">
      <c r="A22" s="30"/>
      <c r="B22" s="167">
        <v>3</v>
      </c>
      <c r="C22" s="249">
        <v>46131</v>
      </c>
      <c r="D22" s="171" t="s">
        <v>62</v>
      </c>
      <c r="E22" s="169">
        <v>1E-3</v>
      </c>
      <c r="F22" s="170">
        <v>0</v>
      </c>
      <c r="G22" s="173">
        <v>48.3</v>
      </c>
      <c r="H22" s="197">
        <v>0</v>
      </c>
      <c r="I22" s="176">
        <f t="shared" ref="I22" si="12">G22</f>
        <v>48.3</v>
      </c>
      <c r="J22" s="174">
        <f t="shared" ref="J22" si="13">I22</f>
        <v>48.3</v>
      </c>
      <c r="K22" s="100">
        <v>1</v>
      </c>
      <c r="L22" s="140">
        <f>(J22)/10000</f>
        <v>4.8300000000000001E-3</v>
      </c>
      <c r="M22" s="54"/>
      <c r="N22" s="32"/>
      <c r="O22" s="124">
        <f>O23-Q23-Q18</f>
        <v>0</v>
      </c>
      <c r="P22" s="72">
        <v>750</v>
      </c>
      <c r="Q22" s="115"/>
      <c r="R22" s="73"/>
      <c r="S22" s="74">
        <f t="shared" si="0"/>
        <v>0</v>
      </c>
      <c r="T22" s="122">
        <f>-(P23-P22)*O22*100+T23</f>
        <v>0</v>
      </c>
      <c r="U22" s="20"/>
      <c r="V22" s="61">
        <v>45942</v>
      </c>
      <c r="W22" s="62">
        <f>10478.4</f>
        <v>10478.4</v>
      </c>
      <c r="X22" s="213">
        <f>W22/10000-1</f>
        <v>4.7839999999999883E-2</v>
      </c>
      <c r="Y22" s="12"/>
      <c r="Z22" s="12"/>
      <c r="AA22" s="11"/>
    </row>
    <row r="23" spans="1:27" ht="18.75" customHeight="1" thickBot="1">
      <c r="A23" s="30"/>
      <c r="B23" s="212">
        <v>4</v>
      </c>
      <c r="C23" s="199">
        <v>46158</v>
      </c>
      <c r="D23" s="200" t="s">
        <v>69</v>
      </c>
      <c r="E23" s="201">
        <f>1.5</f>
        <v>1.5</v>
      </c>
      <c r="F23" s="210">
        <f>(1.5*92)/E23</f>
        <v>92</v>
      </c>
      <c r="G23" s="203">
        <f t="shared" ref="G23" si="14">-E23*F23</f>
        <v>-138</v>
      </c>
      <c r="H23" s="204">
        <v>47.1</v>
      </c>
      <c r="I23" s="205">
        <f t="shared" ref="I23" si="15">E23*H23</f>
        <v>70.650000000000006</v>
      </c>
      <c r="J23" s="206">
        <f t="shared" ref="J23" si="16">E23*(H23-F23)</f>
        <v>-67.349999999999994</v>
      </c>
      <c r="K23" s="207">
        <f t="shared" ref="K23" si="17">-J23/G23</f>
        <v>-0.48804347826086952</v>
      </c>
      <c r="L23" s="208">
        <f t="shared" ref="L23" si="18">(J23)/10000</f>
        <v>-6.7349999999999997E-3</v>
      </c>
      <c r="M23" s="21"/>
      <c r="N23" s="32"/>
      <c r="O23" s="118">
        <f t="shared" ref="O23:O31" si="19">O24-Q24</f>
        <v>0</v>
      </c>
      <c r="P23" s="76">
        <v>760</v>
      </c>
      <c r="Q23" s="116"/>
      <c r="R23" s="77"/>
      <c r="S23" s="74">
        <f t="shared" si="0"/>
        <v>0</v>
      </c>
      <c r="T23" s="75">
        <f>-(P24-P23)*O23*100+T24</f>
        <v>0</v>
      </c>
      <c r="U23" s="20"/>
      <c r="V23" s="63"/>
      <c r="W23" s="64"/>
      <c r="X23" s="65"/>
      <c r="Y23" s="21"/>
      <c r="Z23" s="12"/>
      <c r="AA23" s="11"/>
    </row>
    <row r="24" spans="1:27" ht="21.75" customHeight="1" thickBot="1">
      <c r="A24" s="30"/>
      <c r="B24" s="212">
        <v>5</v>
      </c>
      <c r="C24" s="199">
        <v>46158</v>
      </c>
      <c r="D24" s="200" t="s">
        <v>62</v>
      </c>
      <c r="E24" s="201">
        <v>1E-3</v>
      </c>
      <c r="F24" s="210">
        <v>0</v>
      </c>
      <c r="G24" s="203">
        <v>0</v>
      </c>
      <c r="H24" s="204">
        <v>0</v>
      </c>
      <c r="I24" s="205">
        <f t="shared" ref="I24" si="20">G24</f>
        <v>0</v>
      </c>
      <c r="J24" s="206">
        <f t="shared" ref="J24" si="21">I24</f>
        <v>0</v>
      </c>
      <c r="K24" s="207">
        <v>1</v>
      </c>
      <c r="L24" s="208">
        <f>(J24)/10000</f>
        <v>0</v>
      </c>
      <c r="M24" s="66"/>
      <c r="N24" s="32"/>
      <c r="O24" s="118">
        <f t="shared" si="19"/>
        <v>0</v>
      </c>
      <c r="P24" s="76">
        <v>770</v>
      </c>
      <c r="Q24" s="116"/>
      <c r="R24" s="77"/>
      <c r="S24" s="74">
        <f t="shared" si="0"/>
        <v>0</v>
      </c>
      <c r="T24" s="75">
        <f t="shared" ref="T24:T28" si="22">-(P25-P24)*O24*100+T25</f>
        <v>0</v>
      </c>
      <c r="U24" s="20"/>
      <c r="V24" s="29"/>
      <c r="W24" s="21"/>
      <c r="X24" s="21"/>
      <c r="Y24" s="21"/>
      <c r="Z24" s="12"/>
      <c r="AA24" s="11"/>
    </row>
    <row r="25" spans="1:27" ht="18.75" customHeight="1" thickBot="1">
      <c r="A25" s="30"/>
      <c r="B25" s="212">
        <v>6</v>
      </c>
      <c r="C25" s="199">
        <v>46160</v>
      </c>
      <c r="D25" s="200" t="s">
        <v>70</v>
      </c>
      <c r="E25" s="201">
        <f>1.5</f>
        <v>1.5</v>
      </c>
      <c r="F25" s="210">
        <f>(1.5*95)/E25</f>
        <v>95</v>
      </c>
      <c r="G25" s="203">
        <f t="shared" ref="G25" si="23">-E25*F25</f>
        <v>-142.5</v>
      </c>
      <c r="H25" s="204">
        <v>60.8</v>
      </c>
      <c r="I25" s="205">
        <f t="shared" ref="I25" si="24">E25*H25</f>
        <v>91.199999999999989</v>
      </c>
      <c r="J25" s="206">
        <f t="shared" ref="J25" si="25">E25*(H25-F25)</f>
        <v>-51.300000000000004</v>
      </c>
      <c r="K25" s="207">
        <f t="shared" ref="K25" si="26">-J25/G25</f>
        <v>-0.36000000000000004</v>
      </c>
      <c r="L25" s="208">
        <f t="shared" ref="L25" si="27">(J25)/10000</f>
        <v>-5.13E-3</v>
      </c>
      <c r="M25" s="21"/>
      <c r="N25" s="32"/>
      <c r="O25" s="119">
        <f t="shared" si="19"/>
        <v>0</v>
      </c>
      <c r="P25" s="126">
        <v>785</v>
      </c>
      <c r="Q25" s="116"/>
      <c r="R25" s="77"/>
      <c r="S25" s="128">
        <f t="shared" si="0"/>
        <v>0</v>
      </c>
      <c r="T25" s="75">
        <f t="shared" si="22"/>
        <v>0</v>
      </c>
      <c r="U25" s="20"/>
      <c r="V25" s="29"/>
      <c r="W25" s="21"/>
      <c r="X25" s="21"/>
      <c r="Y25" s="21"/>
      <c r="Z25" s="12"/>
      <c r="AA25" s="11"/>
    </row>
    <row r="26" spans="1:27" ht="18.75" customHeight="1" thickBot="1">
      <c r="A26" s="30"/>
      <c r="B26" s="167">
        <v>7</v>
      </c>
      <c r="C26" s="249">
        <v>46160</v>
      </c>
      <c r="D26" s="171" t="s">
        <v>62</v>
      </c>
      <c r="E26" s="169">
        <v>1E-3</v>
      </c>
      <c r="F26" s="170">
        <v>0</v>
      </c>
      <c r="G26" s="173">
        <v>8.5</v>
      </c>
      <c r="H26" s="197">
        <v>0</v>
      </c>
      <c r="I26" s="176">
        <f t="shared" ref="I26" si="28">G26</f>
        <v>8.5</v>
      </c>
      <c r="J26" s="174">
        <f t="shared" ref="J26" si="29">I26</f>
        <v>8.5</v>
      </c>
      <c r="K26" s="100">
        <v>1</v>
      </c>
      <c r="L26" s="140">
        <f>(J26)/10000</f>
        <v>8.4999999999999995E-4</v>
      </c>
      <c r="M26" s="21"/>
      <c r="N26" s="32"/>
      <c r="O26" s="119">
        <f t="shared" si="19"/>
        <v>0</v>
      </c>
      <c r="P26" s="76">
        <v>800</v>
      </c>
      <c r="Q26" s="116"/>
      <c r="R26" s="77"/>
      <c r="S26" s="74">
        <f t="shared" si="0"/>
        <v>0</v>
      </c>
      <c r="T26" s="75">
        <f t="shared" si="22"/>
        <v>0</v>
      </c>
      <c r="U26" s="20"/>
      <c r="V26" s="29"/>
      <c r="W26" s="21"/>
      <c r="X26" s="21"/>
      <c r="Y26" s="21"/>
      <c r="Z26" s="12"/>
      <c r="AA26" s="11"/>
    </row>
    <row r="27" spans="1:27" ht="20.25" customHeight="1" thickBot="1">
      <c r="A27" s="30"/>
      <c r="B27" s="216">
        <v>8</v>
      </c>
      <c r="C27" s="217">
        <v>46166</v>
      </c>
      <c r="D27" s="218" t="s">
        <v>73</v>
      </c>
      <c r="E27" s="219">
        <f>0.5+0.5+0.5</f>
        <v>1.5</v>
      </c>
      <c r="F27" s="272">
        <f>(0.5*270+0.5*265+0.5*260)/E27</f>
        <v>265</v>
      </c>
      <c r="G27" s="221">
        <f t="shared" ref="G27" si="30">-E27*F27</f>
        <v>-397.5</v>
      </c>
      <c r="H27" s="254">
        <v>210</v>
      </c>
      <c r="I27" s="177">
        <f t="shared" ref="I27" si="31">E27*H27</f>
        <v>315</v>
      </c>
      <c r="J27" s="175">
        <f t="shared" ref="J27" si="32">E27*(H27-F27)</f>
        <v>-82.5</v>
      </c>
      <c r="K27" s="141">
        <f t="shared" ref="K27" si="33">-J27/G27</f>
        <v>-0.20754716981132076</v>
      </c>
      <c r="L27" s="222">
        <f t="shared" ref="L27" si="34">(J27)/10000</f>
        <v>-8.2500000000000004E-3</v>
      </c>
      <c r="M27" s="21"/>
      <c r="N27" s="32"/>
      <c r="O27" s="119">
        <f>O28-Q28-Q19</f>
        <v>0</v>
      </c>
      <c r="P27" s="76">
        <v>810</v>
      </c>
      <c r="Q27" s="116"/>
      <c r="R27" s="77"/>
      <c r="S27" s="74">
        <f t="shared" si="0"/>
        <v>0</v>
      </c>
      <c r="T27" s="75">
        <f t="shared" si="22"/>
        <v>0</v>
      </c>
      <c r="U27" s="20"/>
      <c r="V27" s="29"/>
      <c r="W27" s="21"/>
      <c r="X27" s="21"/>
      <c r="Y27" s="21"/>
      <c r="Z27" s="12"/>
      <c r="AA27" s="11"/>
    </row>
    <row r="28" spans="1:27" s="21" customFormat="1" ht="21.75" customHeight="1" thickBot="1">
      <c r="A28" s="30"/>
      <c r="B28" s="167">
        <v>7</v>
      </c>
      <c r="C28" s="249">
        <v>46170</v>
      </c>
      <c r="D28" s="171" t="s">
        <v>62</v>
      </c>
      <c r="E28" s="169">
        <v>1E-3</v>
      </c>
      <c r="F28" s="170">
        <v>0</v>
      </c>
      <c r="G28" s="173">
        <v>0</v>
      </c>
      <c r="H28" s="197">
        <v>0</v>
      </c>
      <c r="I28" s="176">
        <f t="shared" ref="I28" si="35">G28</f>
        <v>0</v>
      </c>
      <c r="J28" s="174">
        <f t="shared" ref="J28" si="36">I28</f>
        <v>0</v>
      </c>
      <c r="K28" s="100">
        <v>1</v>
      </c>
      <c r="L28" s="140">
        <f>(J28)/10000</f>
        <v>0</v>
      </c>
      <c r="N28" s="32"/>
      <c r="O28" s="119">
        <f>O29-Q29-Q21</f>
        <v>0</v>
      </c>
      <c r="P28" s="136">
        <v>815</v>
      </c>
      <c r="Q28" s="116"/>
      <c r="R28" s="77"/>
      <c r="S28" s="137">
        <f t="shared" si="0"/>
        <v>0</v>
      </c>
      <c r="T28" s="75">
        <f t="shared" si="22"/>
        <v>0</v>
      </c>
      <c r="U28" s="20"/>
      <c r="V28" s="29"/>
      <c r="Z28" s="12"/>
    </row>
    <row r="29" spans="1:27" s="21" customFormat="1" ht="20.25" customHeight="1" thickBot="1">
      <c r="A29" s="30"/>
      <c r="B29" s="216">
        <v>8</v>
      </c>
      <c r="C29" s="217">
        <v>46170</v>
      </c>
      <c r="D29" s="218" t="s">
        <v>74</v>
      </c>
      <c r="E29" s="219">
        <f>1+0.5</f>
        <v>1.5</v>
      </c>
      <c r="F29" s="272">
        <f>(1*240+0.5*250)/E29</f>
        <v>243.33333333333334</v>
      </c>
      <c r="G29" s="221">
        <f t="shared" ref="G29" si="37">-E29*F29</f>
        <v>-365</v>
      </c>
      <c r="H29" s="254">
        <v>255.5</v>
      </c>
      <c r="I29" s="177">
        <f t="shared" ref="I29" si="38">E29*H29</f>
        <v>383.25</v>
      </c>
      <c r="J29" s="175">
        <f t="shared" ref="J29" si="39">E29*(H29-F29)</f>
        <v>18.249999999999986</v>
      </c>
      <c r="K29" s="141">
        <f t="shared" ref="K29" si="40">-J29/G29</f>
        <v>4.9999999999999961E-2</v>
      </c>
      <c r="L29" s="222">
        <f t="shared" ref="L29" si="41">(J29)/10000</f>
        <v>1.8249999999999985E-3</v>
      </c>
      <c r="N29" s="32"/>
      <c r="O29" s="119">
        <f t="shared" si="19"/>
        <v>0</v>
      </c>
      <c r="P29" s="79">
        <v>817</v>
      </c>
      <c r="Q29" s="116"/>
      <c r="R29" s="77"/>
      <c r="S29" s="120">
        <f t="shared" si="0"/>
        <v>0</v>
      </c>
      <c r="T29" s="121">
        <f>S37</f>
        <v>0</v>
      </c>
      <c r="U29" s="20"/>
      <c r="V29" s="29"/>
      <c r="Z29" s="12"/>
    </row>
    <row r="30" spans="1:27" s="21" customFormat="1" ht="21.75" customHeight="1" thickBot="1">
      <c r="A30" s="30"/>
      <c r="I30" s="138" t="s">
        <v>28</v>
      </c>
      <c r="J30" s="139">
        <v>0</v>
      </c>
      <c r="K30" s="143"/>
      <c r="L30" s="143"/>
      <c r="O30" s="119">
        <f t="shared" si="19"/>
        <v>0</v>
      </c>
      <c r="P30" s="76">
        <v>820</v>
      </c>
      <c r="Q30" s="116"/>
      <c r="R30" s="77"/>
      <c r="S30" s="74">
        <f t="shared" si="0"/>
        <v>0</v>
      </c>
      <c r="T30" s="78">
        <f t="shared" ref="T30:T33" si="42">(P30-P29)*O29*100+T29</f>
        <v>0</v>
      </c>
      <c r="U30" s="20"/>
      <c r="V30" s="29"/>
      <c r="Z30" s="12"/>
    </row>
    <row r="31" spans="1:27" s="21" customFormat="1" ht="21.75" customHeight="1" thickBot="1">
      <c r="A31" s="30"/>
      <c r="I31" s="144">
        <v>0</v>
      </c>
      <c r="J31" s="145">
        <f>SUM(J20:J29)</f>
        <v>-348.29999999999995</v>
      </c>
      <c r="K31" s="103">
        <f>SUM(K20:K29)</f>
        <v>1.9124884479730073</v>
      </c>
      <c r="L31" s="135">
        <f>J31/10000</f>
        <v>-3.4829999999999993E-2</v>
      </c>
      <c r="O31" s="119">
        <f t="shared" si="19"/>
        <v>0</v>
      </c>
      <c r="P31" s="76">
        <v>840</v>
      </c>
      <c r="Q31" s="116"/>
      <c r="R31" s="77"/>
      <c r="S31" s="74">
        <f t="shared" si="0"/>
        <v>0</v>
      </c>
      <c r="T31" s="78">
        <f t="shared" si="42"/>
        <v>0</v>
      </c>
      <c r="U31" s="20"/>
      <c r="V31" s="29"/>
      <c r="Z31" s="12"/>
    </row>
    <row r="32" spans="1:27" s="21" customFormat="1" ht="21" customHeight="1" thickBot="1">
      <c r="O32" s="119">
        <f>O33-Q33</f>
        <v>0</v>
      </c>
      <c r="P32" s="76">
        <v>860</v>
      </c>
      <c r="Q32" s="116"/>
      <c r="R32" s="77"/>
      <c r="S32" s="74">
        <f t="shared" si="0"/>
        <v>0</v>
      </c>
      <c r="T32" s="78">
        <f t="shared" si="42"/>
        <v>0</v>
      </c>
      <c r="U32" s="20"/>
      <c r="V32" s="29"/>
      <c r="Z32" s="12"/>
    </row>
    <row r="33" spans="2:22" s="21" customFormat="1" ht="20.25" customHeight="1" thickBot="1">
      <c r="C33" s="36"/>
      <c r="D33" s="36"/>
      <c r="E33" s="36"/>
      <c r="H33" s="36"/>
      <c r="O33" s="118">
        <f>O34-Q34</f>
        <v>0</v>
      </c>
      <c r="P33" s="126">
        <v>870</v>
      </c>
      <c r="Q33" s="116"/>
      <c r="R33" s="77"/>
      <c r="S33" s="128">
        <f t="shared" si="0"/>
        <v>0</v>
      </c>
      <c r="T33" s="78">
        <f t="shared" si="42"/>
        <v>0</v>
      </c>
      <c r="U33" s="20"/>
      <c r="V33" s="29"/>
    </row>
    <row r="34" spans="2:22" s="21" customFormat="1" ht="21.75" customHeight="1" thickBot="1">
      <c r="B34" s="36"/>
      <c r="G34" s="255"/>
      <c r="H34" s="256"/>
      <c r="I34" s="146"/>
      <c r="J34" s="146"/>
      <c r="O34" s="118">
        <f>O35-Q35</f>
        <v>0</v>
      </c>
      <c r="P34" s="126">
        <v>890</v>
      </c>
      <c r="Q34" s="116"/>
      <c r="R34" s="77"/>
      <c r="S34" s="128">
        <f t="shared" si="0"/>
        <v>0</v>
      </c>
      <c r="T34" s="78">
        <f>(P34-P33)*O33*100+T33</f>
        <v>0</v>
      </c>
      <c r="U34" s="20"/>
      <c r="V34" s="29"/>
    </row>
    <row r="35" spans="2:22" s="21" customFormat="1" ht="20.25" customHeight="1" thickBot="1">
      <c r="B35" s="36"/>
      <c r="C35" s="101" t="s">
        <v>13</v>
      </c>
      <c r="D35" s="102" t="e">
        <f>E35/G16</f>
        <v>#REF!</v>
      </c>
      <c r="E35" s="148" t="e">
        <f>-SUM(#REF!)+J30</f>
        <v>#REF!</v>
      </c>
      <c r="F35" s="36"/>
      <c r="G35" s="255"/>
      <c r="H35" s="256"/>
      <c r="I35" s="146"/>
      <c r="J35" s="178">
        <f>L44</f>
        <v>-348.29999999999995</v>
      </c>
      <c r="K35" s="273" t="s">
        <v>67</v>
      </c>
      <c r="L35" s="274">
        <f>J20</f>
        <v>-14.5</v>
      </c>
      <c r="O35" s="123">
        <f>SUM(Q22:Q36)+Q37</f>
        <v>0</v>
      </c>
      <c r="P35" s="81">
        <v>900</v>
      </c>
      <c r="Q35" s="117"/>
      <c r="R35" s="82"/>
      <c r="S35" s="74">
        <f t="shared" si="0"/>
        <v>0</v>
      </c>
      <c r="T35" s="80">
        <f>(P35-P34)*O34*100+T34</f>
        <v>0</v>
      </c>
      <c r="U35" s="20"/>
      <c r="V35" s="29"/>
    </row>
    <row r="36" spans="2:22" s="21" customFormat="1" ht="21" customHeight="1" thickBot="1">
      <c r="B36" s="36"/>
      <c r="C36" s="104" t="s">
        <v>14</v>
      </c>
      <c r="D36" s="105" t="e">
        <f>E36/G16</f>
        <v>#REF!</v>
      </c>
      <c r="E36" s="149" t="e">
        <f>E37-E35</f>
        <v>#REF!</v>
      </c>
      <c r="F36" s="36"/>
      <c r="G36" s="255"/>
      <c r="H36" s="256"/>
      <c r="I36" s="146"/>
      <c r="J36" s="146"/>
      <c r="K36" s="255" t="s">
        <v>68</v>
      </c>
      <c r="L36" s="241">
        <f>J21</f>
        <v>-207.7</v>
      </c>
      <c r="O36" s="84" t="s">
        <v>25</v>
      </c>
      <c r="P36" s="85"/>
      <c r="Q36" s="86"/>
      <c r="R36" s="86"/>
      <c r="S36" s="87"/>
      <c r="T36" s="83"/>
      <c r="U36" s="20"/>
      <c r="V36" s="29"/>
    </row>
    <row r="37" spans="2:22" s="21" customFormat="1" ht="20.25" customHeight="1" thickBot="1">
      <c r="B37" s="36"/>
      <c r="C37" s="106" t="s">
        <v>15</v>
      </c>
      <c r="D37" s="107" t="e">
        <f>D35+D36</f>
        <v>#REF!</v>
      </c>
      <c r="E37" s="150">
        <f>G16+J31</f>
        <v>9651.7000000000007</v>
      </c>
      <c r="F37" s="36"/>
      <c r="G37" s="255"/>
      <c r="H37" s="256"/>
      <c r="I37" s="146"/>
      <c r="J37" s="146"/>
      <c r="K37" s="273" t="s">
        <v>69</v>
      </c>
      <c r="L37" s="274">
        <f>J23</f>
        <v>-67.349999999999994</v>
      </c>
      <c r="O37" s="66"/>
      <c r="P37" s="66"/>
      <c r="Q37" s="88">
        <f>SUM(Q38:Q46)</f>
        <v>0</v>
      </c>
      <c r="R37" s="158">
        <f>0</f>
        <v>0</v>
      </c>
      <c r="S37" s="159">
        <f>SUM(S18:S36)</f>
        <v>0</v>
      </c>
      <c r="T37" s="39"/>
      <c r="U37" s="20"/>
      <c r="V37" s="29"/>
    </row>
    <row r="38" spans="2:22" s="21" customFormat="1" ht="21" customHeight="1" thickBot="1">
      <c r="B38" s="36"/>
      <c r="C38" s="36"/>
      <c r="D38" s="36"/>
      <c r="E38" s="36"/>
      <c r="F38" s="36"/>
      <c r="G38" s="257"/>
      <c r="H38" s="258"/>
      <c r="I38" s="146"/>
      <c r="J38" s="146"/>
      <c r="K38" s="255" t="s">
        <v>70</v>
      </c>
      <c r="L38" s="241">
        <f>J25</f>
        <v>-51.300000000000004</v>
      </c>
      <c r="O38" s="66"/>
      <c r="P38" s="195" t="s">
        <v>30</v>
      </c>
      <c r="Q38" s="196">
        <v>0</v>
      </c>
      <c r="R38" s="160"/>
      <c r="S38" s="161">
        <v>0</v>
      </c>
      <c r="T38" s="39"/>
      <c r="U38" s="20"/>
      <c r="V38" s="29"/>
    </row>
    <row r="39" spans="2:22" s="21" customFormat="1" ht="21.75" customHeight="1" thickBot="1">
      <c r="B39" s="36"/>
      <c r="F39" s="36"/>
      <c r="I39" s="147"/>
      <c r="J39" s="146"/>
      <c r="K39" s="255" t="s">
        <v>73</v>
      </c>
      <c r="L39" s="241">
        <f>J27</f>
        <v>-82.5</v>
      </c>
      <c r="U39" s="20"/>
      <c r="V39" s="29"/>
    </row>
    <row r="40" spans="2:22" s="21" customFormat="1" ht="20.25" customHeight="1" thickBot="1">
      <c r="B40" s="36"/>
      <c r="J40" s="146"/>
      <c r="K40" s="255" t="s">
        <v>74</v>
      </c>
      <c r="L40" s="241">
        <f>J29</f>
        <v>18.249999999999986</v>
      </c>
      <c r="U40" s="20"/>
      <c r="V40" s="29"/>
    </row>
    <row r="41" spans="2:22" s="21" customFormat="1" ht="22.5" customHeight="1" thickBot="1">
      <c r="B41" s="36"/>
      <c r="C41" s="108" t="s">
        <v>29</v>
      </c>
      <c r="D41" s="36"/>
      <c r="E41" s="36"/>
      <c r="J41" s="146"/>
      <c r="K41" s="236" t="s">
        <v>35</v>
      </c>
      <c r="L41" s="241">
        <f>J22+J24+J26+J28</f>
        <v>56.8</v>
      </c>
      <c r="U41" s="20"/>
      <c r="V41" s="29"/>
    </row>
    <row r="42" spans="2:22" s="21" customFormat="1" ht="22.5" customHeight="1" thickBot="1">
      <c r="B42" s="31"/>
      <c r="C42" s="40" t="s">
        <v>46</v>
      </c>
      <c r="D42" s="41" t="s">
        <v>21</v>
      </c>
      <c r="E42" s="42" t="s">
        <v>16</v>
      </c>
      <c r="K42" s="192" t="s">
        <v>30</v>
      </c>
      <c r="L42" s="235">
        <f>SUM(L35:L41)</f>
        <v>-348.29999999999995</v>
      </c>
      <c r="U42" s="20"/>
      <c r="V42" s="29"/>
    </row>
    <row r="43" spans="2:22" s="21" customFormat="1" ht="21.75" customHeight="1" thickBot="1">
      <c r="C43" s="151">
        <v>10000</v>
      </c>
      <c r="D43" s="152">
        <f>J31</f>
        <v>-348.29999999999995</v>
      </c>
      <c r="E43" s="153">
        <f>C43+D43</f>
        <v>9651.7000000000007</v>
      </c>
      <c r="G43" s="179"/>
      <c r="H43" s="194"/>
      <c r="K43" s="138" t="s">
        <v>28</v>
      </c>
      <c r="L43" s="156">
        <f>J30</f>
        <v>0</v>
      </c>
      <c r="U43" s="20"/>
      <c r="V43" s="29"/>
    </row>
    <row r="44" spans="2:22" s="21" customFormat="1" ht="18.75" customHeight="1" thickBot="1">
      <c r="G44" s="259"/>
      <c r="H44" s="258"/>
      <c r="L44" s="157">
        <f>L42</f>
        <v>-348.29999999999995</v>
      </c>
      <c r="U44" s="20"/>
      <c r="V44" s="29"/>
    </row>
    <row r="45" spans="2:22" s="21" customFormat="1" ht="18.75" customHeight="1">
      <c r="U45" s="20"/>
      <c r="V45" s="29"/>
    </row>
    <row r="46" spans="2:22" s="21" customFormat="1" ht="20.25" customHeight="1">
      <c r="U46" s="20"/>
      <c r="V46" s="29"/>
    </row>
    <row r="47" spans="2:22" s="21" customFormat="1" ht="23.25" customHeight="1">
      <c r="K47" s="9"/>
      <c r="L47" s="8"/>
      <c r="U47" s="20"/>
      <c r="V47" s="29"/>
    </row>
    <row r="48" spans="2:22" s="21" customFormat="1" ht="18.75" customHeight="1">
      <c r="K48" s="9"/>
      <c r="L48" s="8"/>
      <c r="U48" s="20"/>
      <c r="V48" s="29"/>
    </row>
    <row r="49" spans="11:22" s="21" customFormat="1" ht="21" customHeight="1">
      <c r="K49" s="9"/>
      <c r="L49" s="8"/>
      <c r="U49" s="20"/>
      <c r="V49" s="29"/>
    </row>
    <row r="50" spans="11:22" s="21" customFormat="1" ht="21.75" customHeight="1">
      <c r="K50" s="9"/>
      <c r="L50" s="8"/>
      <c r="U50" s="20"/>
      <c r="V50" s="29"/>
    </row>
    <row r="51" spans="11:22" s="21" customFormat="1" ht="20.25" customHeight="1">
      <c r="K51" s="9"/>
      <c r="L51" s="8"/>
      <c r="U51" s="20"/>
      <c r="V51" s="29"/>
    </row>
    <row r="52" spans="11:22" s="21" customFormat="1" ht="20.25" customHeight="1">
      <c r="K52" s="9"/>
      <c r="L52" s="8"/>
      <c r="U52" s="20"/>
      <c r="V52" s="29"/>
    </row>
    <row r="53" spans="11:22" s="21" customFormat="1" ht="19.5" customHeight="1">
      <c r="K53" s="9"/>
      <c r="L53" s="8"/>
      <c r="U53" s="20"/>
      <c r="V53" s="29"/>
    </row>
    <row r="54" spans="11:22" s="21" customFormat="1" ht="21.75" customHeight="1">
      <c r="K54" s="9"/>
      <c r="L54" s="8"/>
      <c r="U54" s="20"/>
      <c r="V54" s="29"/>
    </row>
    <row r="55" spans="11:22" s="21" customFormat="1" ht="22.5" customHeight="1">
      <c r="K55" s="9"/>
      <c r="L55" s="8"/>
      <c r="U55" s="20"/>
      <c r="V55" s="29"/>
    </row>
    <row r="56" spans="11:22" s="21" customFormat="1" ht="23.25" customHeight="1">
      <c r="K56" s="9"/>
      <c r="L56" s="8"/>
      <c r="U56" s="20"/>
      <c r="V56" s="29"/>
    </row>
    <row r="57" spans="11:22" s="21" customFormat="1" ht="24.75" customHeight="1">
      <c r="K57" s="9"/>
      <c r="L57" s="8"/>
      <c r="U57" s="20"/>
      <c r="V57" s="29"/>
    </row>
    <row r="58" spans="11:22" s="21" customFormat="1" ht="27.75" customHeight="1">
      <c r="K58" s="9"/>
      <c r="L58" s="8"/>
      <c r="U58" s="20"/>
      <c r="V58" s="29"/>
    </row>
    <row r="59" spans="11:22" s="21" customFormat="1" ht="27.75" customHeight="1">
      <c r="K59" s="9"/>
      <c r="L59" s="8"/>
      <c r="U59" s="20"/>
      <c r="V59" s="29"/>
    </row>
    <row r="60" spans="11:22" s="21" customFormat="1" ht="27.75" customHeight="1">
      <c r="K60" s="9"/>
      <c r="L60" s="8"/>
      <c r="U60" s="20"/>
      <c r="V60" s="29"/>
    </row>
    <row r="61" spans="11:22" s="21" customFormat="1" ht="27.75" customHeight="1">
      <c r="K61" s="9"/>
      <c r="L61" s="8"/>
      <c r="U61" s="20"/>
      <c r="V61" s="29"/>
    </row>
    <row r="62" spans="11:22" s="21" customFormat="1" ht="27.75" customHeight="1">
      <c r="K62" s="9"/>
      <c r="L62" s="8"/>
      <c r="P62" s="20"/>
      <c r="Q62" s="29"/>
      <c r="R62" s="20"/>
      <c r="T62" s="29"/>
      <c r="U62" s="20"/>
      <c r="V62" s="29"/>
    </row>
    <row r="63" spans="11:22" s="21" customFormat="1" ht="27.75" customHeight="1">
      <c r="K63" s="9"/>
      <c r="L63" s="8"/>
      <c r="P63" s="20"/>
      <c r="Q63" s="29"/>
      <c r="R63" s="20"/>
      <c r="T63" s="29"/>
      <c r="U63" s="20"/>
      <c r="V63" s="29"/>
    </row>
    <row r="64" spans="11:22" s="21" customFormat="1" ht="27.75" customHeight="1">
      <c r="K64" s="9"/>
      <c r="L64" s="8"/>
      <c r="M64" s="32"/>
      <c r="P64" s="20"/>
      <c r="Q64" s="29"/>
      <c r="R64" s="20"/>
      <c r="T64" s="29"/>
      <c r="U64" s="20"/>
      <c r="V64" s="29"/>
    </row>
    <row r="65" spans="2:22" s="21" customFormat="1" ht="27.75" customHeight="1">
      <c r="K65" s="9"/>
      <c r="L65" s="8"/>
      <c r="M65" s="32"/>
      <c r="P65" s="20"/>
      <c r="Q65" s="29"/>
      <c r="R65" s="20"/>
      <c r="T65" s="29"/>
      <c r="U65" s="20"/>
      <c r="V65" s="29"/>
    </row>
    <row r="66" spans="2:22" s="21" customFormat="1" ht="27.75" customHeight="1">
      <c r="B66" s="2"/>
      <c r="C66" s="2"/>
      <c r="D66" s="2"/>
      <c r="E66" s="6"/>
      <c r="F66" s="6"/>
      <c r="G66" s="8"/>
      <c r="H66" s="8"/>
      <c r="I66" s="2"/>
      <c r="J66" s="2"/>
      <c r="K66" s="9"/>
      <c r="L66" s="8"/>
      <c r="M66" s="32"/>
      <c r="P66" s="20"/>
      <c r="Q66" s="29"/>
      <c r="R66" s="20"/>
      <c r="T66" s="29"/>
      <c r="U66" s="20"/>
      <c r="V66" s="29"/>
    </row>
    <row r="67" spans="2:22" s="21" customFormat="1" ht="27.75" customHeight="1">
      <c r="B67" s="2"/>
      <c r="C67" s="2"/>
      <c r="D67" s="2"/>
      <c r="E67" s="6"/>
      <c r="F67" s="6"/>
      <c r="G67" s="8"/>
      <c r="H67" s="8"/>
      <c r="I67" s="2"/>
      <c r="J67" s="2"/>
      <c r="K67" s="9"/>
      <c r="L67" s="8"/>
      <c r="O67" s="29"/>
      <c r="P67" s="20"/>
      <c r="Q67" s="29"/>
      <c r="R67" s="20"/>
      <c r="T67" s="29"/>
      <c r="V67" s="29"/>
    </row>
    <row r="68" spans="2:22" s="21" customFormat="1" ht="27.75" customHeight="1">
      <c r="B68" s="2"/>
      <c r="C68" s="2"/>
      <c r="D68" s="2"/>
      <c r="E68" s="6"/>
      <c r="F68" s="6"/>
      <c r="G68" s="8"/>
      <c r="H68" s="8"/>
      <c r="I68" s="2"/>
      <c r="J68" s="2"/>
      <c r="K68" s="9"/>
      <c r="L68" s="8"/>
      <c r="O68" s="29"/>
      <c r="P68" s="20"/>
      <c r="Q68" s="29"/>
      <c r="R68" s="20"/>
      <c r="T68" s="29"/>
      <c r="V68" s="29"/>
    </row>
    <row r="69" spans="2:22" s="21" customFormat="1" ht="27.75" customHeight="1">
      <c r="B69" s="2"/>
      <c r="C69" s="2"/>
      <c r="D69" s="2"/>
      <c r="E69" s="6"/>
      <c r="F69" s="6"/>
      <c r="G69" s="8"/>
      <c r="H69" s="8"/>
      <c r="I69" s="2"/>
      <c r="J69" s="2"/>
      <c r="K69" s="9"/>
      <c r="L69" s="8"/>
      <c r="O69" s="29"/>
      <c r="P69" s="20"/>
      <c r="Q69" s="29"/>
      <c r="R69" s="20"/>
      <c r="T69" s="29"/>
      <c r="V69" s="29"/>
    </row>
    <row r="70" spans="2:22" s="21" customFormat="1" ht="27.75" customHeight="1">
      <c r="B70" s="2"/>
      <c r="C70" s="2"/>
      <c r="D70" s="2"/>
      <c r="E70" s="6"/>
      <c r="F70" s="6"/>
      <c r="G70" s="8"/>
      <c r="H70" s="8"/>
      <c r="I70" s="2"/>
      <c r="J70" s="2"/>
      <c r="K70" s="9"/>
      <c r="L70" s="8"/>
      <c r="O70" s="29"/>
      <c r="P70" s="20"/>
      <c r="Q70" s="29"/>
      <c r="R70" s="20"/>
      <c r="T70" s="29"/>
      <c r="V70" s="29"/>
    </row>
    <row r="71" spans="2:22" s="21" customFormat="1" ht="27.75" customHeight="1">
      <c r="B71" s="2"/>
      <c r="C71" s="2"/>
      <c r="D71" s="2"/>
      <c r="E71" s="6"/>
      <c r="F71" s="6"/>
      <c r="G71" s="8"/>
      <c r="H71" s="8"/>
      <c r="I71" s="2"/>
      <c r="J71" s="2"/>
      <c r="K71" s="9"/>
      <c r="L71" s="8"/>
      <c r="O71" s="29"/>
      <c r="P71" s="20"/>
      <c r="Q71" s="29"/>
      <c r="R71" s="20"/>
      <c r="T71" s="29"/>
      <c r="V71" s="29"/>
    </row>
    <row r="72" spans="2:22" s="21" customFormat="1" ht="27.75" customHeight="1">
      <c r="B72" s="2"/>
      <c r="C72" s="2"/>
      <c r="D72" s="2"/>
      <c r="E72" s="6"/>
      <c r="F72" s="6"/>
      <c r="G72" s="8"/>
      <c r="H72" s="8"/>
      <c r="I72" s="2"/>
      <c r="J72" s="2"/>
      <c r="K72" s="9"/>
      <c r="L72" s="8"/>
      <c r="O72" s="29"/>
      <c r="P72" s="20"/>
      <c r="Q72" s="29"/>
      <c r="R72" s="20"/>
      <c r="T72" s="29"/>
      <c r="V72" s="29"/>
    </row>
    <row r="73" spans="2:22" s="21" customFormat="1" ht="27.75" customHeight="1">
      <c r="B73" s="2"/>
      <c r="C73" s="2"/>
      <c r="D73" s="2"/>
      <c r="E73" s="6"/>
      <c r="F73" s="6"/>
      <c r="G73" s="8"/>
      <c r="H73" s="8"/>
      <c r="I73" s="2"/>
      <c r="J73" s="2"/>
      <c r="K73" s="9"/>
      <c r="L73" s="8"/>
      <c r="O73" s="29"/>
      <c r="P73" s="20"/>
      <c r="Q73" s="29"/>
      <c r="R73" s="20"/>
      <c r="T73" s="29"/>
      <c r="V73" s="29"/>
    </row>
    <row r="74" spans="2:22" s="21" customFormat="1" ht="27.75" customHeight="1">
      <c r="B74" s="2"/>
      <c r="C74" s="2"/>
      <c r="D74" s="2"/>
      <c r="E74" s="6"/>
      <c r="F74" s="6"/>
      <c r="G74" s="8"/>
      <c r="H74" s="8"/>
      <c r="I74" s="2"/>
      <c r="J74" s="2"/>
      <c r="K74" s="9"/>
      <c r="L74" s="8"/>
      <c r="O74" s="29"/>
      <c r="P74" s="20"/>
      <c r="Q74" s="29"/>
      <c r="R74" s="20"/>
      <c r="T74" s="29"/>
      <c r="V74" s="29"/>
    </row>
    <row r="75" spans="2:22" s="21" customFormat="1" ht="27.75" customHeight="1">
      <c r="B75" s="2"/>
      <c r="C75" s="2"/>
      <c r="D75" s="2"/>
      <c r="E75" s="6"/>
      <c r="F75" s="6"/>
      <c r="G75" s="8"/>
      <c r="H75" s="8"/>
      <c r="I75" s="2"/>
      <c r="J75" s="2"/>
      <c r="K75" s="9"/>
      <c r="L75" s="8"/>
      <c r="O75" s="29"/>
      <c r="P75" s="20"/>
      <c r="Q75" s="29"/>
      <c r="R75" s="20"/>
      <c r="T75" s="29"/>
      <c r="V75" s="29"/>
    </row>
    <row r="76" spans="2:22" s="21" customFormat="1" ht="27.75" customHeight="1">
      <c r="B76" s="2"/>
      <c r="C76" s="2"/>
      <c r="D76" s="2"/>
      <c r="E76" s="6"/>
      <c r="F76" s="6"/>
      <c r="G76" s="8"/>
      <c r="H76" s="8"/>
      <c r="I76" s="2"/>
      <c r="J76" s="2"/>
      <c r="K76" s="9"/>
      <c r="L76" s="8"/>
      <c r="O76" s="29"/>
      <c r="P76" s="20"/>
      <c r="Q76" s="29"/>
      <c r="R76" s="20"/>
      <c r="T76" s="29"/>
      <c r="V76" s="29"/>
    </row>
    <row r="77" spans="2:22" s="21" customFormat="1" ht="27.75" customHeight="1">
      <c r="B77" s="2"/>
      <c r="C77" s="2"/>
      <c r="D77" s="2"/>
      <c r="E77" s="6"/>
      <c r="F77" s="6"/>
      <c r="G77" s="8"/>
      <c r="H77" s="8"/>
      <c r="I77" s="2"/>
      <c r="J77" s="2"/>
      <c r="K77" s="9"/>
      <c r="L77" s="8"/>
      <c r="O77" s="29"/>
      <c r="P77" s="20"/>
      <c r="Q77" s="29"/>
      <c r="R77" s="20"/>
      <c r="T77" s="29"/>
      <c r="V77" s="29"/>
    </row>
    <row r="78" spans="2:22" s="21" customFormat="1" ht="27.75" customHeight="1">
      <c r="B78" s="2"/>
      <c r="C78" s="2"/>
      <c r="D78" s="2"/>
      <c r="E78" s="6"/>
      <c r="F78" s="6"/>
      <c r="G78" s="8"/>
      <c r="H78" s="8"/>
      <c r="I78" s="2"/>
      <c r="J78" s="2"/>
      <c r="K78" s="9"/>
      <c r="L78" s="8"/>
      <c r="O78" s="29"/>
      <c r="P78" s="20"/>
      <c r="Q78" s="29"/>
      <c r="R78" s="20"/>
      <c r="T78" s="29"/>
      <c r="V78" s="29"/>
    </row>
    <row r="79" spans="2:22" s="21" customFormat="1" ht="27.75" customHeight="1">
      <c r="B79" s="2"/>
      <c r="C79" s="2"/>
      <c r="D79" s="2"/>
      <c r="E79" s="6"/>
      <c r="F79" s="6"/>
      <c r="G79" s="8"/>
      <c r="H79" s="8"/>
      <c r="I79" s="2"/>
      <c r="J79" s="2"/>
      <c r="K79" s="9"/>
      <c r="L79" s="8"/>
      <c r="O79" s="29"/>
      <c r="P79" s="20"/>
      <c r="Q79" s="29"/>
      <c r="R79" s="20"/>
      <c r="T79" s="29"/>
      <c r="V79" s="29"/>
    </row>
    <row r="80" spans="2:22" s="21" customFormat="1" ht="27.75" customHeight="1">
      <c r="B80" s="2"/>
      <c r="C80" s="2"/>
      <c r="D80" s="2"/>
      <c r="E80" s="6"/>
      <c r="F80" s="6"/>
      <c r="G80" s="8"/>
      <c r="H80" s="8"/>
      <c r="I80" s="2"/>
      <c r="J80" s="2"/>
      <c r="K80" s="9"/>
      <c r="L80" s="8"/>
      <c r="N80" s="32"/>
      <c r="O80" s="29"/>
      <c r="P80" s="20"/>
      <c r="Q80" s="29"/>
      <c r="R80" s="20"/>
      <c r="T80" s="29"/>
      <c r="V80" s="29"/>
    </row>
    <row r="81" spans="2:38" s="21" customFormat="1" ht="27.75" customHeight="1">
      <c r="B81" s="2"/>
      <c r="C81" s="2"/>
      <c r="D81" s="2"/>
      <c r="E81" s="6"/>
      <c r="F81" s="6"/>
      <c r="G81" s="8"/>
      <c r="H81" s="8"/>
      <c r="I81" s="2"/>
      <c r="J81" s="2"/>
      <c r="K81" s="9"/>
      <c r="L81" s="8"/>
      <c r="N81" s="32"/>
      <c r="O81" s="29"/>
      <c r="P81" s="20"/>
      <c r="Q81" s="29"/>
      <c r="R81" s="20"/>
      <c r="T81" s="29"/>
      <c r="V81" s="29"/>
    </row>
    <row r="82" spans="2:38" s="21" customFormat="1" ht="27.75" customHeight="1">
      <c r="B82" s="2"/>
      <c r="C82" s="2"/>
      <c r="D82" s="2"/>
      <c r="E82" s="6"/>
      <c r="F82" s="6"/>
      <c r="G82" s="8"/>
      <c r="H82" s="8"/>
      <c r="I82" s="2"/>
      <c r="J82" s="2"/>
      <c r="K82" s="9"/>
      <c r="L82" s="8"/>
      <c r="N82" s="32"/>
      <c r="O82" s="29"/>
      <c r="P82" s="20"/>
      <c r="Q82" s="29"/>
      <c r="R82" s="20"/>
      <c r="T82" s="29"/>
      <c r="V82" s="29"/>
    </row>
    <row r="83" spans="2:38" s="21" customFormat="1" ht="27.75" customHeight="1">
      <c r="B83" s="2"/>
      <c r="C83" s="2"/>
      <c r="D83" s="2"/>
      <c r="E83" s="6"/>
      <c r="F83" s="6"/>
      <c r="G83" s="8"/>
      <c r="H83" s="8"/>
      <c r="I83" s="2"/>
      <c r="J83" s="2"/>
      <c r="K83" s="9"/>
      <c r="L83" s="8"/>
      <c r="O83" s="29"/>
      <c r="P83" s="20"/>
      <c r="Q83" s="29"/>
      <c r="R83" s="20"/>
      <c r="T83" s="29"/>
      <c r="V83" s="29"/>
    </row>
    <row r="84" spans="2:38" s="21" customFormat="1" ht="27.75" customHeight="1">
      <c r="B84" s="2"/>
      <c r="C84" s="2"/>
      <c r="D84" s="2"/>
      <c r="E84" s="6"/>
      <c r="F84" s="6"/>
      <c r="G84" s="8"/>
      <c r="H84" s="8"/>
      <c r="I84" s="2"/>
      <c r="J84" s="2"/>
      <c r="K84" s="9"/>
      <c r="L84" s="8"/>
      <c r="O84" s="29"/>
      <c r="P84" s="20"/>
      <c r="Q84" s="29"/>
      <c r="R84" s="20"/>
      <c r="T84" s="29"/>
      <c r="V84" s="29"/>
    </row>
    <row r="85" spans="2:38" s="21" customFormat="1" ht="27.75" customHeight="1">
      <c r="B85" s="2"/>
      <c r="C85" s="2"/>
      <c r="D85" s="2"/>
      <c r="E85" s="6"/>
      <c r="F85" s="6"/>
      <c r="G85" s="8"/>
      <c r="H85" s="8"/>
      <c r="I85" s="2"/>
      <c r="J85" s="2"/>
      <c r="K85" s="9"/>
      <c r="L85" s="8"/>
      <c r="N85" s="32"/>
      <c r="O85" s="29"/>
      <c r="P85" s="20"/>
      <c r="Q85" s="29"/>
      <c r="R85" s="20"/>
      <c r="T85" s="29"/>
      <c r="V85" s="29"/>
    </row>
    <row r="86" spans="2:38" s="21" customFormat="1" ht="27.75" customHeight="1">
      <c r="B86" s="2"/>
      <c r="C86" s="2"/>
      <c r="D86" s="2"/>
      <c r="E86" s="6"/>
      <c r="F86" s="6"/>
      <c r="G86" s="8"/>
      <c r="H86" s="8"/>
      <c r="I86" s="2"/>
      <c r="J86" s="2"/>
      <c r="K86" s="9"/>
      <c r="L86" s="8"/>
      <c r="N86" s="32"/>
      <c r="O86" s="29"/>
      <c r="P86" s="20"/>
      <c r="Q86" s="29"/>
      <c r="R86" s="20"/>
      <c r="T86" s="29"/>
      <c r="V86" s="29"/>
    </row>
    <row r="87" spans="2:38" s="21" customFormat="1" ht="27.75" customHeight="1">
      <c r="B87" s="2"/>
      <c r="C87" s="2"/>
      <c r="D87" s="2"/>
      <c r="E87" s="6"/>
      <c r="F87" s="6"/>
      <c r="G87" s="8"/>
      <c r="H87" s="8"/>
      <c r="I87" s="2"/>
      <c r="J87" s="2"/>
      <c r="K87" s="9"/>
      <c r="L87" s="8"/>
      <c r="O87" s="29"/>
      <c r="P87" s="20"/>
      <c r="Q87" s="29"/>
      <c r="R87" s="20"/>
      <c r="T87" s="29"/>
      <c r="V87" s="29"/>
    </row>
    <row r="88" spans="2:38" s="21" customFormat="1" ht="27.75" customHeight="1">
      <c r="B88" s="2"/>
      <c r="C88" s="2"/>
      <c r="D88" s="2"/>
      <c r="E88" s="6"/>
      <c r="F88" s="6"/>
      <c r="G88" s="8"/>
      <c r="H88" s="8"/>
      <c r="I88" s="2"/>
      <c r="J88" s="2"/>
      <c r="K88" s="9"/>
      <c r="L88" s="8"/>
      <c r="O88" s="29"/>
      <c r="P88" s="20"/>
      <c r="Q88" s="29"/>
      <c r="R88" s="20"/>
      <c r="T88" s="29"/>
      <c r="V88" s="29"/>
    </row>
    <row r="89" spans="2:38" s="21" customFormat="1" ht="27.75" customHeight="1">
      <c r="B89" s="2"/>
      <c r="C89" s="2"/>
      <c r="D89" s="2"/>
      <c r="E89" s="6"/>
      <c r="F89" s="6"/>
      <c r="G89" s="8"/>
      <c r="H89" s="8"/>
      <c r="I89" s="2"/>
      <c r="J89" s="2"/>
      <c r="K89" s="9"/>
      <c r="L89" s="8"/>
      <c r="N89" s="32"/>
      <c r="O89" s="29"/>
      <c r="P89" s="20"/>
      <c r="Q89" s="29"/>
      <c r="R89" s="20"/>
      <c r="T89" s="29"/>
      <c r="V89" s="29"/>
    </row>
    <row r="90" spans="2:38" s="21" customFormat="1" ht="27.75" customHeight="1">
      <c r="B90" s="2"/>
      <c r="C90" s="2"/>
      <c r="D90" s="2"/>
      <c r="E90" s="6"/>
      <c r="F90" s="6"/>
      <c r="G90" s="8"/>
      <c r="H90" s="8"/>
      <c r="I90" s="2"/>
      <c r="J90" s="2"/>
      <c r="K90" s="9"/>
      <c r="L90" s="8"/>
      <c r="N90" s="32"/>
      <c r="O90" s="29"/>
      <c r="P90" s="20"/>
      <c r="Q90" s="29"/>
      <c r="R90" s="20"/>
      <c r="T90" s="29"/>
      <c r="V90" s="29"/>
    </row>
    <row r="91" spans="2:38" s="21" customFormat="1" ht="27.75" customHeight="1">
      <c r="B91" s="2"/>
      <c r="C91" s="2"/>
      <c r="D91" s="2"/>
      <c r="E91" s="6"/>
      <c r="F91" s="6"/>
      <c r="G91" s="8"/>
      <c r="H91" s="8"/>
      <c r="I91" s="2"/>
      <c r="J91" s="2"/>
      <c r="K91" s="9"/>
      <c r="L91" s="8"/>
      <c r="N91" s="32"/>
      <c r="O91" s="29"/>
      <c r="P91" s="20"/>
      <c r="Q91" s="29"/>
      <c r="R91" s="20"/>
      <c r="T91" s="29"/>
      <c r="V91" s="29"/>
    </row>
    <row r="92" spans="2:38" ht="27.75" customHeight="1">
      <c r="N92" s="32"/>
      <c r="O92" s="29"/>
      <c r="P92" s="20"/>
      <c r="Q92" s="29"/>
      <c r="R92" s="20"/>
      <c r="S92" s="21"/>
      <c r="T92" s="29"/>
      <c r="V92" s="29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2:38" ht="27.75" customHeight="1">
      <c r="N93" s="32"/>
      <c r="O93" s="29"/>
      <c r="P93" s="20"/>
      <c r="Q93" s="29"/>
      <c r="R93" s="20"/>
      <c r="S93" s="21"/>
      <c r="T93" s="29"/>
      <c r="V93" s="29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2:38" ht="27.75" customHeight="1">
      <c r="N94" s="32"/>
      <c r="O94" s="29"/>
      <c r="P94" s="20"/>
      <c r="Q94" s="29"/>
      <c r="R94" s="20"/>
      <c r="S94" s="21"/>
      <c r="T94" s="29"/>
      <c r="V94" s="29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2:38" ht="27.75" customHeight="1">
      <c r="N95" s="32"/>
      <c r="O95" s="29"/>
      <c r="P95" s="20"/>
      <c r="Q95" s="29"/>
      <c r="R95" s="20"/>
      <c r="S95" s="21"/>
      <c r="T95" s="29"/>
      <c r="V95" s="29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2:38" ht="27.75" customHeight="1">
      <c r="N96" s="32"/>
      <c r="O96" s="29"/>
      <c r="P96" s="20"/>
      <c r="Q96" s="29"/>
      <c r="R96" s="20"/>
      <c r="S96" s="21"/>
      <c r="T96" s="29"/>
      <c r="V96" s="29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 ht="27.75" customHeight="1">
      <c r="N97" s="32"/>
      <c r="O97" s="29"/>
      <c r="P97" s="20"/>
      <c r="Q97" s="29"/>
      <c r="R97" s="20"/>
      <c r="S97" s="21"/>
      <c r="T97" s="29"/>
      <c r="V97" s="29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pans="1:38" ht="27.75" customHeight="1">
      <c r="N98" s="32"/>
      <c r="O98" s="29"/>
      <c r="P98" s="20"/>
      <c r="Q98" s="29"/>
      <c r="R98" s="20"/>
      <c r="S98" s="21"/>
      <c r="T98" s="29"/>
      <c r="V98" s="29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pans="1:38" ht="27.75" customHeight="1">
      <c r="N99" s="32"/>
      <c r="O99" s="29"/>
      <c r="P99" s="20"/>
      <c r="Q99" s="29"/>
      <c r="R99" s="20"/>
      <c r="S99" s="21"/>
      <c r="T99" s="29"/>
      <c r="V99" s="29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spans="1:38" ht="27.75" customHeight="1">
      <c r="N100" s="32"/>
      <c r="O100" s="29"/>
      <c r="P100" s="20"/>
      <c r="Q100" s="29"/>
      <c r="R100" s="20"/>
      <c r="S100" s="21"/>
      <c r="T100" s="29"/>
      <c r="V100" s="29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pans="1:38" ht="27.75" customHeight="1">
      <c r="A101" s="32"/>
      <c r="N101" s="32"/>
      <c r="O101" s="29"/>
      <c r="P101" s="20"/>
      <c r="Q101" s="29"/>
      <c r="R101" s="20"/>
      <c r="S101" s="21"/>
      <c r="T101" s="29"/>
      <c r="V101" s="29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pans="1:38" ht="27.75" customHeight="1">
      <c r="N102" s="32"/>
      <c r="V102" s="29"/>
      <c r="W102" s="21"/>
      <c r="X102" s="21"/>
      <c r="Y102" s="21"/>
    </row>
    <row r="103" spans="1:38" ht="27.75" customHeight="1">
      <c r="N103" s="32"/>
    </row>
  </sheetData>
  <mergeCells count="14">
    <mergeCell ref="C13:D13"/>
    <mergeCell ref="K13:L13"/>
    <mergeCell ref="C15:D15"/>
    <mergeCell ref="T16:V16"/>
    <mergeCell ref="D2:T2"/>
    <mergeCell ref="D3:J5"/>
    <mergeCell ref="T3:X3"/>
    <mergeCell ref="O5:S15"/>
    <mergeCell ref="F6:J6"/>
    <mergeCell ref="T6:Z15"/>
    <mergeCell ref="C7:D7"/>
    <mergeCell ref="C9:D9"/>
    <mergeCell ref="C10:D10"/>
    <mergeCell ref="C12:D12"/>
  </mergeCells>
  <printOptions horizontalCentered="1"/>
  <pageMargins left="0.4" right="0.4" top="0.4" bottom="0.4" header="0.25" footer="0.25"/>
  <pageSetup paperSize="9" scale="62" fitToHeight="0" orientation="portrait" r:id="rId1"/>
  <headerFooter differentFirst="1">
    <oddFooter>&amp;CPage &amp;P of &amp;N</oddFooter>
  </headerFooter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F56F-AECE-4256-B7FC-D3814848693C}">
  <sheetPr>
    <tabColor theme="3" tint="0.249977111117893"/>
    <pageSetUpPr fitToPage="1"/>
  </sheetPr>
  <dimension ref="A1:AV99"/>
  <sheetViews>
    <sheetView showGridLines="0" tabSelected="1" topLeftCell="A13" zoomScale="90" zoomScaleNormal="90" workbookViewId="0">
      <selection activeCell="L30" sqref="L30"/>
    </sheetView>
  </sheetViews>
  <sheetFormatPr defaultColWidth="9.140625" defaultRowHeight="27.75" customHeight="1"/>
  <cols>
    <col min="1" max="1" width="0.28515625" style="2" customWidth="1"/>
    <col min="2" max="2" width="6" style="2" customWidth="1"/>
    <col min="3" max="3" width="17.85546875" style="2" customWidth="1"/>
    <col min="4" max="4" width="27.28515625" style="2" customWidth="1"/>
    <col min="5" max="5" width="16.7109375" style="6" customWidth="1"/>
    <col min="6" max="6" width="18.42578125" style="6" customWidth="1"/>
    <col min="7" max="7" width="23.42578125" style="8" bestFit="1" customWidth="1"/>
    <col min="8" max="8" width="16" style="8" customWidth="1"/>
    <col min="9" max="9" width="15" style="2" customWidth="1"/>
    <col min="10" max="10" width="14.7109375" style="2" customWidth="1"/>
    <col min="11" max="11" width="23.42578125" style="9" bestFit="1" customWidth="1"/>
    <col min="12" max="12" width="15.140625" style="8" customWidth="1"/>
    <col min="13" max="13" width="12" style="2" customWidth="1"/>
    <col min="14" max="14" width="9.7109375" style="3" customWidth="1"/>
    <col min="15" max="15" width="11.42578125" style="9" customWidth="1"/>
    <col min="16" max="16" width="14" style="8" customWidth="1"/>
    <col min="17" max="17" width="12.140625" style="9" customWidth="1"/>
    <col min="18" max="18" width="13.7109375" style="8" customWidth="1"/>
    <col min="19" max="19" width="14" style="2" customWidth="1"/>
    <col min="20" max="20" width="14.140625" style="9" customWidth="1"/>
    <col min="21" max="21" width="9.28515625" style="8" customWidth="1"/>
    <col min="22" max="22" width="10.7109375" style="9" bestFit="1" customWidth="1"/>
    <col min="23" max="23" width="14.42578125" style="2" customWidth="1"/>
    <col min="24" max="24" width="10.5703125" style="2" customWidth="1"/>
    <col min="25" max="16384" width="9.140625" style="2"/>
  </cols>
  <sheetData>
    <row r="1" spans="1:48" s="46" customFormat="1" ht="5.25" customHeight="1">
      <c r="D1" s="49"/>
      <c r="E1" s="49"/>
      <c r="F1" s="49"/>
      <c r="G1" s="50"/>
      <c r="H1" s="50"/>
      <c r="I1" s="49"/>
      <c r="J1" s="49"/>
      <c r="K1" s="45"/>
      <c r="L1" s="50"/>
      <c r="O1" s="45"/>
      <c r="P1" s="50"/>
      <c r="Q1" s="45"/>
      <c r="R1" s="44"/>
      <c r="T1" s="45"/>
      <c r="U1" s="44"/>
      <c r="V1" s="45"/>
    </row>
    <row r="2" spans="1:48" s="4" customFormat="1" ht="102" customHeight="1">
      <c r="A2" s="7"/>
      <c r="B2" s="43"/>
      <c r="C2" s="43"/>
      <c r="D2" s="282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47"/>
      <c r="V2" s="48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s="1" customFormat="1" ht="33" customHeight="1">
      <c r="A3" s="12"/>
      <c r="B3" s="12"/>
      <c r="C3" s="52"/>
      <c r="D3" s="284" t="s">
        <v>7</v>
      </c>
      <c r="E3" s="284"/>
      <c r="F3" s="284"/>
      <c r="G3" s="284"/>
      <c r="H3" s="284"/>
      <c r="I3" s="284"/>
      <c r="J3" s="284"/>
      <c r="K3" s="13"/>
      <c r="L3" s="14"/>
      <c r="M3" s="12"/>
      <c r="N3" s="12"/>
      <c r="O3" s="15" t="s">
        <v>31</v>
      </c>
      <c r="P3" s="16"/>
      <c r="Q3" s="16"/>
      <c r="R3" s="16"/>
      <c r="S3" s="17"/>
      <c r="T3" s="285"/>
      <c r="U3" s="285"/>
      <c r="V3" s="285"/>
      <c r="W3" s="285"/>
      <c r="X3" s="285"/>
      <c r="Y3" s="18"/>
      <c r="Z3" s="19"/>
      <c r="AA3" s="10"/>
    </row>
    <row r="4" spans="1:48" s="1" customFormat="1" ht="18.75" customHeight="1">
      <c r="A4" s="12"/>
      <c r="B4" s="12"/>
      <c r="C4" s="52"/>
      <c r="D4" s="284"/>
      <c r="E4" s="284"/>
      <c r="F4" s="284"/>
      <c r="G4" s="284"/>
      <c r="H4" s="284"/>
      <c r="I4" s="284"/>
      <c r="J4" s="284"/>
      <c r="K4" s="12"/>
      <c r="L4" s="12"/>
      <c r="M4" s="12"/>
      <c r="N4" s="12"/>
      <c r="O4" s="12"/>
      <c r="P4" s="12"/>
      <c r="Q4" s="12"/>
      <c r="R4" s="12"/>
      <c r="S4" s="12"/>
      <c r="T4" s="18"/>
      <c r="U4" s="20"/>
      <c r="V4" s="18"/>
      <c r="W4" s="19"/>
      <c r="X4" s="12"/>
      <c r="Y4" s="18"/>
      <c r="Z4" s="19"/>
      <c r="AA4" s="10"/>
    </row>
    <row r="5" spans="1:48" s="1" customFormat="1" ht="3.75" customHeight="1">
      <c r="A5" s="12"/>
      <c r="B5" s="12"/>
      <c r="C5" s="52"/>
      <c r="D5" s="284"/>
      <c r="E5" s="284"/>
      <c r="F5" s="284"/>
      <c r="G5" s="284"/>
      <c r="H5" s="284"/>
      <c r="I5" s="284"/>
      <c r="J5" s="284"/>
      <c r="K5" s="12"/>
      <c r="L5" s="12"/>
      <c r="M5" s="12"/>
      <c r="N5" s="12"/>
      <c r="O5" s="286" t="s">
        <v>24</v>
      </c>
      <c r="P5" s="286"/>
      <c r="Q5" s="286"/>
      <c r="R5" s="286"/>
      <c r="S5" s="286"/>
      <c r="T5" s="18"/>
      <c r="U5" s="20"/>
      <c r="V5" s="18"/>
      <c r="W5" s="19"/>
      <c r="X5" s="12"/>
      <c r="Y5" s="18"/>
      <c r="Z5" s="19"/>
      <c r="AA5" s="10"/>
    </row>
    <row r="6" spans="1:48" s="1" customFormat="1" ht="46.5" customHeight="1">
      <c r="A6" s="12"/>
      <c r="B6" s="12"/>
      <c r="C6" s="52"/>
      <c r="D6" s="51"/>
      <c r="E6" s="51"/>
      <c r="F6" s="288"/>
      <c r="G6" s="288"/>
      <c r="H6" s="288"/>
      <c r="I6" s="288"/>
      <c r="J6" s="288"/>
      <c r="K6" s="12"/>
      <c r="L6" s="12"/>
      <c r="M6" s="12"/>
      <c r="N6" s="22"/>
      <c r="O6" s="286"/>
      <c r="P6" s="286"/>
      <c r="Q6" s="286"/>
      <c r="R6" s="286"/>
      <c r="S6" s="286"/>
      <c r="T6" s="289"/>
      <c r="U6" s="289"/>
      <c r="V6" s="289"/>
      <c r="W6" s="289"/>
      <c r="X6" s="289"/>
      <c r="Y6" s="289"/>
      <c r="Z6" s="289"/>
      <c r="AA6" s="10"/>
    </row>
    <row r="7" spans="1:48" s="1" customFormat="1" ht="18.75" customHeight="1">
      <c r="A7" s="12"/>
      <c r="B7" s="12"/>
      <c r="C7" s="290" t="s">
        <v>22</v>
      </c>
      <c r="D7" s="290"/>
      <c r="E7" s="51"/>
      <c r="F7" s="51"/>
      <c r="G7" s="53"/>
      <c r="H7" s="53"/>
      <c r="I7" s="51"/>
      <c r="J7" s="51"/>
      <c r="K7" s="12"/>
      <c r="L7" s="12"/>
      <c r="M7" s="12"/>
      <c r="N7" s="22"/>
      <c r="O7" s="286"/>
      <c r="P7" s="286"/>
      <c r="Q7" s="286"/>
      <c r="R7" s="286"/>
      <c r="S7" s="286"/>
      <c r="T7" s="289"/>
      <c r="U7" s="289"/>
      <c r="V7" s="289"/>
      <c r="W7" s="289"/>
      <c r="X7" s="289"/>
      <c r="Y7" s="289"/>
      <c r="Z7" s="289"/>
      <c r="AA7" s="10"/>
    </row>
    <row r="8" spans="1:48" s="1" customFormat="1" ht="3.75" customHeight="1">
      <c r="A8" s="12"/>
      <c r="B8" s="12"/>
      <c r="C8" s="37"/>
      <c r="D8" s="38"/>
      <c r="E8" s="51"/>
      <c r="F8" s="51"/>
      <c r="G8" s="53"/>
      <c r="H8" s="53"/>
      <c r="I8" s="51"/>
      <c r="J8" s="51"/>
      <c r="K8" s="12"/>
      <c r="L8" s="12"/>
      <c r="M8" s="12"/>
      <c r="N8" s="22"/>
      <c r="O8" s="286"/>
      <c r="P8" s="286"/>
      <c r="Q8" s="286"/>
      <c r="R8" s="286"/>
      <c r="S8" s="286"/>
      <c r="T8" s="289"/>
      <c r="U8" s="289"/>
      <c r="V8" s="289"/>
      <c r="W8" s="289"/>
      <c r="X8" s="289"/>
      <c r="Y8" s="289"/>
      <c r="Z8" s="289"/>
      <c r="AA8" s="10"/>
    </row>
    <row r="9" spans="1:48" s="1" customFormat="1" ht="33.75" customHeight="1">
      <c r="A9" s="12"/>
      <c r="B9" s="22">
        <v>3</v>
      </c>
      <c r="C9" s="291">
        <f>J24</f>
        <v>-14</v>
      </c>
      <c r="D9" s="291"/>
      <c r="E9" s="51"/>
      <c r="F9" s="51"/>
      <c r="G9" s="53"/>
      <c r="H9" s="53"/>
      <c r="I9" s="51"/>
      <c r="J9" s="51"/>
      <c r="K9" s="12"/>
      <c r="L9" s="12"/>
      <c r="M9" s="12"/>
      <c r="N9" s="12"/>
      <c r="O9" s="286"/>
      <c r="P9" s="286"/>
      <c r="Q9" s="286"/>
      <c r="R9" s="286"/>
      <c r="S9" s="286"/>
      <c r="T9" s="289"/>
      <c r="U9" s="289"/>
      <c r="V9" s="289"/>
      <c r="W9" s="289"/>
      <c r="X9" s="289"/>
      <c r="Y9" s="289"/>
      <c r="Z9" s="289"/>
      <c r="AA9" s="10"/>
    </row>
    <row r="10" spans="1:48" s="1" customFormat="1" ht="22.5" customHeight="1">
      <c r="A10" s="12"/>
      <c r="B10" s="22">
        <v>2</v>
      </c>
      <c r="C10" s="290" t="s">
        <v>23</v>
      </c>
      <c r="D10" s="290"/>
      <c r="E10" s="51"/>
      <c r="F10" s="51"/>
      <c r="G10" s="53"/>
      <c r="H10" s="53"/>
      <c r="I10" s="51"/>
      <c r="J10" s="51"/>
      <c r="K10" s="12"/>
      <c r="L10" s="12"/>
      <c r="M10" s="12"/>
      <c r="N10" s="12"/>
      <c r="O10" s="286"/>
      <c r="P10" s="286"/>
      <c r="Q10" s="286"/>
      <c r="R10" s="286"/>
      <c r="S10" s="286"/>
      <c r="T10" s="289"/>
      <c r="U10" s="289"/>
      <c r="V10" s="289"/>
      <c r="W10" s="289"/>
      <c r="X10" s="289"/>
      <c r="Y10" s="289"/>
      <c r="Z10" s="289"/>
      <c r="AA10" s="10"/>
    </row>
    <row r="11" spans="1:48" s="1" customFormat="1" ht="3.75" customHeight="1">
      <c r="A11" s="12"/>
      <c r="B11" s="22"/>
      <c r="C11" s="37"/>
      <c r="D11" s="38"/>
      <c r="E11" s="51"/>
      <c r="F11" s="51"/>
      <c r="G11" s="53"/>
      <c r="H11" s="53"/>
      <c r="I11" s="51"/>
      <c r="J11" s="51"/>
      <c r="K11" s="12"/>
      <c r="L11" s="12"/>
      <c r="M11" s="12"/>
      <c r="N11" s="12"/>
      <c r="O11" s="286"/>
      <c r="P11" s="286"/>
      <c r="Q11" s="286"/>
      <c r="R11" s="286"/>
      <c r="S11" s="286"/>
      <c r="T11" s="289"/>
      <c r="U11" s="289"/>
      <c r="V11" s="289"/>
      <c r="W11" s="289"/>
      <c r="X11" s="289"/>
      <c r="Y11" s="289"/>
      <c r="Z11" s="289"/>
      <c r="AA11" s="10"/>
    </row>
    <row r="12" spans="1:48" s="1" customFormat="1" ht="31.5" customHeight="1">
      <c r="A12" s="12"/>
      <c r="B12" s="22">
        <v>11</v>
      </c>
      <c r="C12" s="292">
        <f>L24</f>
        <v>-1.4E-3</v>
      </c>
      <c r="D12" s="292"/>
      <c r="E12" s="51"/>
      <c r="F12" s="51"/>
      <c r="G12" s="53"/>
      <c r="H12" s="53"/>
      <c r="I12" s="51"/>
      <c r="J12" s="51"/>
      <c r="K12" s="12"/>
      <c r="L12" s="12"/>
      <c r="M12" s="12"/>
      <c r="N12" s="12"/>
      <c r="O12" s="286"/>
      <c r="P12" s="286"/>
      <c r="Q12" s="286"/>
      <c r="R12" s="286"/>
      <c r="S12" s="286"/>
      <c r="T12" s="289"/>
      <c r="U12" s="289"/>
      <c r="V12" s="289"/>
      <c r="W12" s="289"/>
      <c r="X12" s="289"/>
      <c r="Y12" s="289"/>
      <c r="Z12" s="289"/>
      <c r="AA12" s="10"/>
    </row>
    <row r="13" spans="1:48" s="1" customFormat="1" ht="18.75" customHeight="1">
      <c r="A13" s="12"/>
      <c r="B13" s="12"/>
      <c r="C13" s="293" t="s">
        <v>6</v>
      </c>
      <c r="D13" s="293"/>
      <c r="E13" s="51"/>
      <c r="F13" s="51"/>
      <c r="G13" s="53"/>
      <c r="H13" s="53"/>
      <c r="I13" s="51"/>
      <c r="J13" s="51"/>
      <c r="K13" s="294"/>
      <c r="L13" s="294"/>
      <c r="M13" s="12"/>
      <c r="N13" s="12"/>
      <c r="O13" s="286"/>
      <c r="P13" s="286"/>
      <c r="Q13" s="286"/>
      <c r="R13" s="286"/>
      <c r="S13" s="286"/>
      <c r="T13" s="289"/>
      <c r="U13" s="289"/>
      <c r="V13" s="289"/>
      <c r="W13" s="289"/>
      <c r="X13" s="289"/>
      <c r="Y13" s="289"/>
      <c r="Z13" s="289"/>
      <c r="AA13" s="10"/>
    </row>
    <row r="14" spans="1:48" s="1" customFormat="1" ht="3.75" customHeight="1">
      <c r="A14" s="12"/>
      <c r="B14" s="12"/>
      <c r="C14" s="37"/>
      <c r="D14" s="38"/>
      <c r="E14" s="51"/>
      <c r="F14" s="51"/>
      <c r="G14" s="53"/>
      <c r="H14" s="53"/>
      <c r="I14" s="51"/>
      <c r="J14" s="51"/>
      <c r="K14" s="23"/>
      <c r="L14" s="24"/>
      <c r="M14" s="12"/>
      <c r="N14" s="12"/>
      <c r="O14" s="286"/>
      <c r="P14" s="286"/>
      <c r="Q14" s="286"/>
      <c r="R14" s="286"/>
      <c r="S14" s="286"/>
      <c r="T14" s="289"/>
      <c r="U14" s="289"/>
      <c r="V14" s="289"/>
      <c r="W14" s="289"/>
      <c r="X14" s="289"/>
      <c r="Y14" s="289"/>
      <c r="Z14" s="289"/>
      <c r="AA14" s="10"/>
    </row>
    <row r="15" spans="1:48" s="1" customFormat="1" ht="57.95" customHeight="1" thickBot="1">
      <c r="A15" s="12"/>
      <c r="B15" s="12"/>
      <c r="C15" s="292">
        <f>L24</f>
        <v>-1.4E-3</v>
      </c>
      <c r="D15" s="292"/>
      <c r="E15" s="51"/>
      <c r="F15" s="51"/>
      <c r="G15" s="53"/>
      <c r="H15" s="53"/>
      <c r="I15" s="51"/>
      <c r="J15" s="51"/>
      <c r="K15" s="12"/>
      <c r="L15" s="12"/>
      <c r="M15" s="12"/>
      <c r="N15" s="12"/>
      <c r="O15" s="287"/>
      <c r="P15" s="287"/>
      <c r="Q15" s="287"/>
      <c r="R15" s="287"/>
      <c r="S15" s="287"/>
      <c r="T15" s="289"/>
      <c r="U15" s="289"/>
      <c r="V15" s="289"/>
      <c r="W15" s="289"/>
      <c r="X15" s="289"/>
      <c r="Y15" s="289"/>
      <c r="Z15" s="289"/>
      <c r="AA15" s="10"/>
    </row>
    <row r="16" spans="1:48" s="1" customFormat="1" ht="23.25" customHeight="1" thickBot="1">
      <c r="A16" s="12"/>
      <c r="B16" s="12"/>
      <c r="C16" s="20"/>
      <c r="D16" s="35">
        <v>46162</v>
      </c>
      <c r="E16" s="33" t="s">
        <v>12</v>
      </c>
      <c r="F16" s="34"/>
      <c r="G16" s="142">
        <v>2000</v>
      </c>
      <c r="H16" s="20"/>
      <c r="I16" s="21"/>
      <c r="J16" s="21"/>
      <c r="K16" s="12"/>
      <c r="L16" s="12"/>
      <c r="M16" s="12"/>
      <c r="N16" s="32"/>
      <c r="O16" s="29"/>
      <c r="P16" s="20"/>
      <c r="Q16" s="29"/>
      <c r="R16" s="20"/>
      <c r="S16" s="21"/>
      <c r="T16" s="281"/>
      <c r="U16" s="281"/>
      <c r="V16" s="281"/>
      <c r="W16" s="12"/>
      <c r="X16" s="12"/>
      <c r="Y16" s="12"/>
      <c r="Z16" s="12"/>
      <c r="AA16" s="10"/>
    </row>
    <row r="17" spans="1:27" s="1" customFormat="1" ht="18.75" customHeight="1" thickBot="1">
      <c r="A17" s="25"/>
      <c r="B17" s="20"/>
      <c r="C17" s="20"/>
      <c r="D17" s="20"/>
      <c r="E17" s="20"/>
      <c r="F17" s="20"/>
      <c r="G17" s="20"/>
      <c r="H17" s="20"/>
      <c r="I17" s="21"/>
      <c r="J17" s="21"/>
      <c r="K17" s="12"/>
      <c r="L17" s="12"/>
      <c r="M17" s="12"/>
      <c r="N17" s="32"/>
      <c r="O17" s="29"/>
      <c r="P17" s="20"/>
      <c r="Q17" s="29"/>
      <c r="R17" s="20"/>
      <c r="S17" s="21"/>
      <c r="T17" s="12"/>
      <c r="U17" s="26"/>
      <c r="V17" s="27"/>
      <c r="W17" s="12"/>
      <c r="X17" s="12"/>
      <c r="Y17" s="12"/>
      <c r="Z17" s="12"/>
      <c r="AA17" s="10"/>
    </row>
    <row r="18" spans="1:27" ht="18.75" customHeight="1" thickBot="1">
      <c r="A18" s="20"/>
      <c r="B18" s="89"/>
      <c r="C18" s="90"/>
      <c r="D18" s="90" t="s">
        <v>17</v>
      </c>
      <c r="E18" s="90"/>
      <c r="F18" s="91"/>
      <c r="G18" s="91"/>
      <c r="H18" s="92" t="s">
        <v>27</v>
      </c>
      <c r="I18" s="131"/>
      <c r="J18" s="133"/>
      <c r="K18" s="93" t="s">
        <v>21</v>
      </c>
      <c r="L18" s="94"/>
      <c r="M18" s="54"/>
      <c r="N18" s="32"/>
      <c r="O18" s="36"/>
      <c r="P18" s="125">
        <v>760</v>
      </c>
      <c r="Q18" s="112"/>
      <c r="R18" s="67"/>
      <c r="S18" s="127">
        <f t="shared" ref="S18:S31" si="0">Q18*-R18</f>
        <v>0</v>
      </c>
      <c r="T18" s="39"/>
      <c r="U18" s="20"/>
      <c r="V18" s="55"/>
      <c r="W18" s="56" t="s">
        <v>8</v>
      </c>
      <c r="X18" s="57"/>
      <c r="Y18" s="12"/>
      <c r="Z18" s="12"/>
      <c r="AA18" s="11"/>
    </row>
    <row r="19" spans="1:27" ht="18" customHeight="1" thickBot="1">
      <c r="A19" s="30"/>
      <c r="B19" s="95" t="s">
        <v>3</v>
      </c>
      <c r="C19" s="95" t="s">
        <v>1</v>
      </c>
      <c r="D19" s="96" t="s">
        <v>2</v>
      </c>
      <c r="E19" s="96" t="s">
        <v>11</v>
      </c>
      <c r="F19" s="96" t="s">
        <v>5</v>
      </c>
      <c r="G19" s="96" t="s">
        <v>9</v>
      </c>
      <c r="H19" s="97" t="s">
        <v>4</v>
      </c>
      <c r="I19" s="132" t="s">
        <v>26</v>
      </c>
      <c r="J19" s="134" t="s">
        <v>18</v>
      </c>
      <c r="K19" s="98" t="s">
        <v>19</v>
      </c>
      <c r="L19" s="99" t="s">
        <v>20</v>
      </c>
      <c r="M19" s="54"/>
      <c r="N19" s="32"/>
      <c r="O19" s="36"/>
      <c r="P19" s="68">
        <v>820</v>
      </c>
      <c r="Q19" s="113"/>
      <c r="R19" s="69"/>
      <c r="S19" s="70">
        <f t="shared" si="0"/>
        <v>0</v>
      </c>
      <c r="T19" s="39"/>
      <c r="U19" s="20"/>
      <c r="V19" s="58" t="s">
        <v>1</v>
      </c>
      <c r="W19" s="59" t="s">
        <v>9</v>
      </c>
      <c r="X19" s="60" t="s">
        <v>10</v>
      </c>
      <c r="Y19" s="12"/>
      <c r="Z19" s="12"/>
      <c r="AA19" s="11"/>
    </row>
    <row r="20" spans="1:27" ht="18" customHeight="1" thickBot="1">
      <c r="A20" s="30"/>
      <c r="B20" s="216">
        <v>1</v>
      </c>
      <c r="C20" s="217">
        <v>46179</v>
      </c>
      <c r="D20" s="218" t="s">
        <v>75</v>
      </c>
      <c r="E20" s="219">
        <f>2</f>
        <v>2</v>
      </c>
      <c r="F20" s="272">
        <f>(2*211)/E20</f>
        <v>211</v>
      </c>
      <c r="G20" s="221">
        <f t="shared" ref="G20:G21" si="1">-E20*F20</f>
        <v>-422</v>
      </c>
      <c r="H20" s="254">
        <v>199</v>
      </c>
      <c r="I20" s="177">
        <f t="shared" ref="I20:I21" si="2">E20*H20</f>
        <v>398</v>
      </c>
      <c r="J20" s="175">
        <f t="shared" ref="J20:J21" si="3">E20*(H20-F20)</f>
        <v>-24</v>
      </c>
      <c r="K20" s="141">
        <f t="shared" ref="K20:K21" si="4">-J20/G20</f>
        <v>-5.6872037914691941E-2</v>
      </c>
      <c r="L20" s="222">
        <f t="shared" ref="L20:L21" si="5">(J20)/10000</f>
        <v>-2.3999999999999998E-3</v>
      </c>
      <c r="M20" s="54"/>
      <c r="N20" s="32"/>
      <c r="O20" s="36"/>
      <c r="P20" s="129">
        <v>830</v>
      </c>
      <c r="Q20" s="114"/>
      <c r="R20" s="71"/>
      <c r="S20" s="130">
        <f t="shared" si="0"/>
        <v>0</v>
      </c>
      <c r="T20" s="39"/>
      <c r="U20" s="20"/>
      <c r="V20" s="109">
        <v>45919</v>
      </c>
      <c r="W20" s="110">
        <v>10000</v>
      </c>
      <c r="X20" s="111">
        <f>(W20-10000)/10000</f>
        <v>0</v>
      </c>
      <c r="Y20" s="12"/>
      <c r="Z20" s="12"/>
      <c r="AA20" s="11"/>
    </row>
    <row r="21" spans="1:27" ht="18" customHeight="1" thickBot="1">
      <c r="A21" s="30"/>
      <c r="B21" s="216">
        <v>2</v>
      </c>
      <c r="C21" s="217">
        <v>46131</v>
      </c>
      <c r="D21" s="218" t="s">
        <v>76</v>
      </c>
      <c r="E21" s="219">
        <f>1</f>
        <v>1</v>
      </c>
      <c r="F21" s="272">
        <f>(1*207)/E21</f>
        <v>207</v>
      </c>
      <c r="G21" s="221">
        <f t="shared" si="1"/>
        <v>-207</v>
      </c>
      <c r="H21" s="254">
        <v>217</v>
      </c>
      <c r="I21" s="177">
        <f t="shared" si="2"/>
        <v>217</v>
      </c>
      <c r="J21" s="175">
        <f t="shared" si="3"/>
        <v>10</v>
      </c>
      <c r="K21" s="141">
        <f t="shared" si="4"/>
        <v>4.8309178743961352E-2</v>
      </c>
      <c r="L21" s="222">
        <f t="shared" si="5"/>
        <v>1E-3</v>
      </c>
      <c r="M21" s="54"/>
      <c r="N21" s="32"/>
      <c r="O21" s="36"/>
      <c r="P21" s="129">
        <v>830</v>
      </c>
      <c r="Q21" s="114"/>
      <c r="R21" s="71"/>
      <c r="S21" s="130">
        <f t="shared" si="0"/>
        <v>0</v>
      </c>
      <c r="T21" s="39"/>
      <c r="U21" s="20"/>
      <c r="V21" s="109">
        <v>45919</v>
      </c>
      <c r="W21" s="110">
        <v>10000</v>
      </c>
      <c r="X21" s="111">
        <f>(W21-10000)/10000</f>
        <v>0</v>
      </c>
      <c r="Y21" s="12"/>
      <c r="Z21" s="12"/>
      <c r="AA21" s="11"/>
    </row>
    <row r="22" spans="1:27" ht="18" customHeight="1" thickBot="1">
      <c r="A22" s="30"/>
      <c r="B22" s="167">
        <v>3</v>
      </c>
      <c r="C22" s="249">
        <v>46131</v>
      </c>
      <c r="D22" s="171" t="s">
        <v>61</v>
      </c>
      <c r="E22" s="169">
        <v>1E-3</v>
      </c>
      <c r="F22" s="170">
        <v>0</v>
      </c>
      <c r="G22" s="173">
        <v>0</v>
      </c>
      <c r="H22" s="197">
        <v>0</v>
      </c>
      <c r="I22" s="176">
        <f t="shared" ref="I22" si="6">G22</f>
        <v>0</v>
      </c>
      <c r="J22" s="174">
        <f t="shared" ref="J22" si="7">I22</f>
        <v>0</v>
      </c>
      <c r="K22" s="100">
        <v>1</v>
      </c>
      <c r="L22" s="140">
        <f>(J22)/10000</f>
        <v>0</v>
      </c>
      <c r="M22" s="54"/>
      <c r="N22" s="32"/>
      <c r="O22" s="124" t="e">
        <f>#REF!-#REF!-Q18</f>
        <v>#REF!</v>
      </c>
      <c r="P22" s="72">
        <v>750</v>
      </c>
      <c r="Q22" s="115"/>
      <c r="R22" s="73"/>
      <c r="S22" s="74">
        <f t="shared" si="0"/>
        <v>0</v>
      </c>
      <c r="T22" s="122" t="e">
        <f>-(#REF!-P22)*O22*100+#REF!</f>
        <v>#REF!</v>
      </c>
      <c r="U22" s="20"/>
      <c r="V22" s="61">
        <v>45942</v>
      </c>
      <c r="W22" s="62">
        <f>10478.4</f>
        <v>10478.4</v>
      </c>
      <c r="X22" s="213">
        <f>W22/10000-1</f>
        <v>4.7839999999999883E-2</v>
      </c>
      <c r="Y22" s="12"/>
      <c r="Z22" s="12"/>
      <c r="AA22" s="11"/>
    </row>
    <row r="23" spans="1:27" ht="20.25" customHeight="1" thickBot="1">
      <c r="A23" s="30"/>
      <c r="B23" s="21"/>
      <c r="C23" s="21"/>
      <c r="D23" s="21"/>
      <c r="E23" s="21"/>
      <c r="F23" s="21"/>
      <c r="G23" s="21"/>
      <c r="H23" s="21"/>
      <c r="I23" s="138" t="s">
        <v>28</v>
      </c>
      <c r="J23" s="139">
        <v>0</v>
      </c>
      <c r="K23" s="143"/>
      <c r="L23" s="143"/>
      <c r="M23" s="21"/>
      <c r="N23" s="32"/>
      <c r="O23" s="119">
        <f>O24-Q24-Q19</f>
        <v>0</v>
      </c>
      <c r="P23" s="76">
        <v>810</v>
      </c>
      <c r="Q23" s="116"/>
      <c r="R23" s="77"/>
      <c r="S23" s="74">
        <f t="shared" si="0"/>
        <v>0</v>
      </c>
      <c r="T23" s="75">
        <f t="shared" ref="T23:T24" si="8">-(P24-P23)*O23*100+T24</f>
        <v>0</v>
      </c>
      <c r="U23" s="20"/>
      <c r="V23" s="29"/>
      <c r="W23" s="21"/>
      <c r="X23" s="21"/>
      <c r="Y23" s="21"/>
      <c r="Z23" s="12"/>
      <c r="AA23" s="11"/>
    </row>
    <row r="24" spans="1:27" s="21" customFormat="1" ht="21.75" customHeight="1" thickBot="1">
      <c r="A24" s="30"/>
      <c r="I24" s="144">
        <v>0</v>
      </c>
      <c r="J24" s="145">
        <f>SUM(J20:J22)</f>
        <v>-14</v>
      </c>
      <c r="K24" s="103">
        <f>SUM(K20:K22)</f>
        <v>0.99143714082926937</v>
      </c>
      <c r="L24" s="135">
        <f>J24/10000</f>
        <v>-1.4E-3</v>
      </c>
      <c r="N24" s="32"/>
      <c r="O24" s="119">
        <f>O25-Q25-Q21</f>
        <v>0</v>
      </c>
      <c r="P24" s="136">
        <v>815</v>
      </c>
      <c r="Q24" s="116"/>
      <c r="R24" s="77"/>
      <c r="S24" s="137">
        <f t="shared" si="0"/>
        <v>0</v>
      </c>
      <c r="T24" s="75">
        <f t="shared" si="8"/>
        <v>0</v>
      </c>
      <c r="U24" s="20"/>
      <c r="V24" s="29"/>
      <c r="Z24" s="12"/>
    </row>
    <row r="25" spans="1:27" s="21" customFormat="1" ht="20.25" customHeight="1" thickBot="1">
      <c r="A25" s="30"/>
      <c r="N25" s="32"/>
      <c r="O25" s="119">
        <f t="shared" ref="O25:O27" si="9">O26-Q26</f>
        <v>0</v>
      </c>
      <c r="P25" s="79">
        <v>817</v>
      </c>
      <c r="Q25" s="116"/>
      <c r="R25" s="77"/>
      <c r="S25" s="120">
        <f t="shared" si="0"/>
        <v>0</v>
      </c>
      <c r="T25" s="121">
        <f>S33</f>
        <v>0</v>
      </c>
      <c r="U25" s="20"/>
      <c r="V25" s="29"/>
      <c r="Z25" s="12"/>
    </row>
    <row r="26" spans="1:27" s="21" customFormat="1" ht="21.75" customHeight="1" thickBot="1">
      <c r="A26" s="30"/>
      <c r="C26" s="36"/>
      <c r="D26" s="36"/>
      <c r="E26" s="36"/>
      <c r="H26" s="36"/>
      <c r="O26" s="119">
        <f t="shared" si="9"/>
        <v>0</v>
      </c>
      <c r="P26" s="76">
        <v>820</v>
      </c>
      <c r="Q26" s="116"/>
      <c r="R26" s="77"/>
      <c r="S26" s="74">
        <f t="shared" si="0"/>
        <v>0</v>
      </c>
      <c r="T26" s="78">
        <f t="shared" ref="T26:T29" si="10">(P26-P25)*O25*100+T25</f>
        <v>0</v>
      </c>
      <c r="U26" s="20"/>
      <c r="V26" s="29"/>
      <c r="Z26" s="12"/>
    </row>
    <row r="27" spans="1:27" s="21" customFormat="1" ht="21.75" customHeight="1" thickBot="1">
      <c r="A27" s="30"/>
      <c r="B27" s="36"/>
      <c r="G27" s="255"/>
      <c r="H27" s="256"/>
      <c r="I27" s="146"/>
      <c r="J27" s="146"/>
      <c r="O27" s="119">
        <f t="shared" si="9"/>
        <v>0</v>
      </c>
      <c r="P27" s="76">
        <v>840</v>
      </c>
      <c r="Q27" s="116"/>
      <c r="R27" s="77"/>
      <c r="S27" s="74">
        <f t="shared" si="0"/>
        <v>0</v>
      </c>
      <c r="T27" s="78">
        <f t="shared" si="10"/>
        <v>0</v>
      </c>
      <c r="U27" s="20"/>
      <c r="V27" s="29"/>
      <c r="Z27" s="12"/>
    </row>
    <row r="28" spans="1:27" s="21" customFormat="1" ht="21" customHeight="1" thickBot="1">
      <c r="B28" s="36"/>
      <c r="C28" s="101" t="s">
        <v>13</v>
      </c>
      <c r="D28" s="102">
        <f>E28/G16</f>
        <v>0.3145</v>
      </c>
      <c r="E28" s="148">
        <f>-SUM(G20:G22)+J23</f>
        <v>629</v>
      </c>
      <c r="F28" s="36"/>
      <c r="G28" s="255"/>
      <c r="H28" s="256"/>
      <c r="I28" s="146"/>
      <c r="J28" s="178">
        <f>L33</f>
        <v>-14</v>
      </c>
      <c r="K28" s="273" t="s">
        <v>67</v>
      </c>
      <c r="L28" s="274">
        <f>J20</f>
        <v>-24</v>
      </c>
      <c r="O28" s="119">
        <f>O29-Q29</f>
        <v>0</v>
      </c>
      <c r="P28" s="76">
        <v>860</v>
      </c>
      <c r="Q28" s="116"/>
      <c r="R28" s="77"/>
      <c r="S28" s="74">
        <f t="shared" si="0"/>
        <v>0</v>
      </c>
      <c r="T28" s="78">
        <f t="shared" si="10"/>
        <v>0</v>
      </c>
      <c r="U28" s="20"/>
      <c r="V28" s="29"/>
      <c r="Z28" s="12"/>
    </row>
    <row r="29" spans="1:27" s="21" customFormat="1" ht="20.25" customHeight="1" thickBot="1">
      <c r="B29" s="36"/>
      <c r="C29" s="104" t="s">
        <v>14</v>
      </c>
      <c r="D29" s="105">
        <f>E29/G16</f>
        <v>0.67849999999999999</v>
      </c>
      <c r="E29" s="149">
        <f>E30-E28</f>
        <v>1357</v>
      </c>
      <c r="F29" s="36"/>
      <c r="G29" s="255"/>
      <c r="H29" s="256"/>
      <c r="I29" s="146"/>
      <c r="J29" s="146"/>
      <c r="K29" s="255" t="s">
        <v>68</v>
      </c>
      <c r="L29" s="241">
        <f>J21</f>
        <v>10</v>
      </c>
      <c r="O29" s="118">
        <f>O30-Q30</f>
        <v>0</v>
      </c>
      <c r="P29" s="126">
        <v>870</v>
      </c>
      <c r="Q29" s="116"/>
      <c r="R29" s="77"/>
      <c r="S29" s="128">
        <f t="shared" si="0"/>
        <v>0</v>
      </c>
      <c r="T29" s="78">
        <f t="shared" si="10"/>
        <v>0</v>
      </c>
      <c r="U29" s="20"/>
      <c r="V29" s="29"/>
    </row>
    <row r="30" spans="1:27" s="21" customFormat="1" ht="21.75" customHeight="1" thickBot="1">
      <c r="B30" s="36"/>
      <c r="C30" s="106" t="s">
        <v>15</v>
      </c>
      <c r="D30" s="107">
        <f>D28+D29</f>
        <v>0.99299999999999999</v>
      </c>
      <c r="E30" s="150">
        <f>G16+J24</f>
        <v>1986</v>
      </c>
      <c r="F30" s="36"/>
      <c r="G30" s="255"/>
      <c r="H30" s="256"/>
      <c r="I30" s="146"/>
      <c r="J30" s="146"/>
      <c r="K30" s="236" t="s">
        <v>35</v>
      </c>
      <c r="L30" s="241">
        <f>J22</f>
        <v>0</v>
      </c>
      <c r="O30" s="118">
        <f>O31-Q31</f>
        <v>0</v>
      </c>
      <c r="P30" s="126">
        <v>890</v>
      </c>
      <c r="Q30" s="116"/>
      <c r="R30" s="77"/>
      <c r="S30" s="128">
        <f t="shared" si="0"/>
        <v>0</v>
      </c>
      <c r="T30" s="78">
        <f>(P30-P29)*O29*100+T29</f>
        <v>0</v>
      </c>
      <c r="U30" s="20"/>
      <c r="V30" s="29"/>
    </row>
    <row r="31" spans="1:27" s="21" customFormat="1" ht="20.25" customHeight="1" thickBot="1">
      <c r="B31" s="36"/>
      <c r="C31" s="36"/>
      <c r="D31" s="36"/>
      <c r="E31" s="36"/>
      <c r="F31" s="36"/>
      <c r="G31" s="257"/>
      <c r="H31" s="258"/>
      <c r="I31" s="146"/>
      <c r="J31" s="146"/>
      <c r="K31" s="192" t="s">
        <v>30</v>
      </c>
      <c r="L31" s="235">
        <f>SUM(L28:L30)</f>
        <v>-14</v>
      </c>
      <c r="O31" s="123">
        <f>SUM(Q22:Q32)+Q33</f>
        <v>0</v>
      </c>
      <c r="P31" s="81">
        <v>900</v>
      </c>
      <c r="Q31" s="117"/>
      <c r="R31" s="82"/>
      <c r="S31" s="74">
        <f t="shared" si="0"/>
        <v>0</v>
      </c>
      <c r="T31" s="80">
        <f>(P31-P30)*O30*100+T30</f>
        <v>0</v>
      </c>
      <c r="U31" s="20"/>
      <c r="V31" s="29"/>
    </row>
    <row r="32" spans="1:27" s="21" customFormat="1" ht="21" customHeight="1" thickBot="1">
      <c r="B32" s="36"/>
      <c r="F32" s="36"/>
      <c r="I32" s="147"/>
      <c r="J32" s="146"/>
      <c r="K32" s="138" t="s">
        <v>28</v>
      </c>
      <c r="L32" s="156">
        <f>J23</f>
        <v>0</v>
      </c>
      <c r="O32" s="84" t="s">
        <v>25</v>
      </c>
      <c r="P32" s="85"/>
      <c r="Q32" s="86"/>
      <c r="R32" s="86"/>
      <c r="S32" s="87"/>
      <c r="T32" s="83"/>
      <c r="U32" s="20"/>
      <c r="V32" s="29"/>
    </row>
    <row r="33" spans="2:22" s="21" customFormat="1" ht="20.25" customHeight="1" thickBot="1">
      <c r="B33" s="36"/>
      <c r="J33" s="146"/>
      <c r="L33" s="157">
        <f>L31</f>
        <v>-14</v>
      </c>
      <c r="O33" s="66"/>
      <c r="P33" s="66"/>
      <c r="Q33" s="88">
        <f>SUM(Q34:Q42)</f>
        <v>0</v>
      </c>
      <c r="R33" s="158">
        <f>0</f>
        <v>0</v>
      </c>
      <c r="S33" s="159">
        <f>SUM(S18:S32)</f>
        <v>0</v>
      </c>
      <c r="T33" s="39"/>
      <c r="U33" s="20"/>
      <c r="V33" s="29"/>
    </row>
    <row r="34" spans="2:22" s="21" customFormat="1" ht="21" customHeight="1" thickBot="1">
      <c r="B34" s="36"/>
      <c r="C34" s="108" t="s">
        <v>29</v>
      </c>
      <c r="D34" s="36"/>
      <c r="E34" s="36"/>
      <c r="J34" s="146"/>
      <c r="O34" s="66"/>
      <c r="P34" s="195" t="s">
        <v>30</v>
      </c>
      <c r="Q34" s="196">
        <v>0</v>
      </c>
      <c r="R34" s="160"/>
      <c r="S34" s="161">
        <v>0</v>
      </c>
      <c r="T34" s="39"/>
      <c r="U34" s="20"/>
      <c r="V34" s="29"/>
    </row>
    <row r="35" spans="2:22" s="21" customFormat="1" ht="21.75" customHeight="1" thickBot="1">
      <c r="B35" s="31"/>
      <c r="C35" s="40" t="s">
        <v>46</v>
      </c>
      <c r="D35" s="41" t="s">
        <v>21</v>
      </c>
      <c r="E35" s="42" t="s">
        <v>16</v>
      </c>
      <c r="U35" s="20"/>
      <c r="V35" s="29"/>
    </row>
    <row r="36" spans="2:22" s="21" customFormat="1" ht="20.25" customHeight="1" thickBot="1">
      <c r="C36" s="151">
        <v>2000</v>
      </c>
      <c r="D36" s="152">
        <f>J24</f>
        <v>-14</v>
      </c>
      <c r="E36" s="153">
        <f>C36+D36</f>
        <v>1986</v>
      </c>
      <c r="G36" s="179"/>
      <c r="H36" s="194"/>
      <c r="U36" s="20"/>
      <c r="V36" s="29"/>
    </row>
    <row r="37" spans="2:22" s="21" customFormat="1" ht="22.5" customHeight="1" thickBot="1">
      <c r="G37" s="259"/>
      <c r="H37" s="258"/>
      <c r="U37" s="20"/>
      <c r="V37" s="29"/>
    </row>
    <row r="38" spans="2:22" s="21" customFormat="1" ht="22.5" customHeight="1">
      <c r="U38" s="20"/>
      <c r="V38" s="29"/>
    </row>
    <row r="39" spans="2:22" s="21" customFormat="1" ht="21.75" customHeight="1">
      <c r="U39" s="20"/>
      <c r="V39" s="29"/>
    </row>
    <row r="40" spans="2:22" s="21" customFormat="1" ht="18.75" customHeight="1">
      <c r="U40" s="20"/>
      <c r="V40" s="29"/>
    </row>
    <row r="41" spans="2:22" s="21" customFormat="1" ht="18.75" customHeight="1">
      <c r="K41" s="9"/>
      <c r="L41" s="8"/>
      <c r="U41" s="20"/>
      <c r="V41" s="29"/>
    </row>
    <row r="42" spans="2:22" s="21" customFormat="1" ht="20.25" customHeight="1">
      <c r="K42" s="9"/>
      <c r="L42" s="8"/>
      <c r="U42" s="20"/>
      <c r="V42" s="29"/>
    </row>
    <row r="43" spans="2:22" s="21" customFormat="1" ht="23.25" customHeight="1">
      <c r="K43" s="9"/>
      <c r="L43" s="8"/>
      <c r="U43" s="20"/>
      <c r="V43" s="29"/>
    </row>
    <row r="44" spans="2:22" s="21" customFormat="1" ht="18.75" customHeight="1">
      <c r="K44" s="9"/>
      <c r="L44" s="8"/>
      <c r="U44" s="20"/>
      <c r="V44" s="29"/>
    </row>
    <row r="45" spans="2:22" s="21" customFormat="1" ht="21" customHeight="1">
      <c r="K45" s="9"/>
      <c r="L45" s="8"/>
      <c r="U45" s="20"/>
      <c r="V45" s="29"/>
    </row>
    <row r="46" spans="2:22" s="21" customFormat="1" ht="21.75" customHeight="1">
      <c r="K46" s="9"/>
      <c r="L46" s="8"/>
      <c r="U46" s="20"/>
      <c r="V46" s="29"/>
    </row>
    <row r="47" spans="2:22" s="21" customFormat="1" ht="20.25" customHeight="1">
      <c r="K47" s="9"/>
      <c r="L47" s="8"/>
      <c r="U47" s="20"/>
      <c r="V47" s="29"/>
    </row>
    <row r="48" spans="2:22" s="21" customFormat="1" ht="20.25" customHeight="1">
      <c r="K48" s="9"/>
      <c r="L48" s="8"/>
      <c r="U48" s="20"/>
      <c r="V48" s="29"/>
    </row>
    <row r="49" spans="2:22" s="21" customFormat="1" ht="19.5" customHeight="1">
      <c r="K49" s="9"/>
      <c r="L49" s="8"/>
      <c r="U49" s="20"/>
      <c r="V49" s="29"/>
    </row>
    <row r="50" spans="2:22" s="21" customFormat="1" ht="21.75" customHeight="1">
      <c r="K50" s="9"/>
      <c r="L50" s="8"/>
      <c r="U50" s="20"/>
      <c r="V50" s="29"/>
    </row>
    <row r="51" spans="2:22" s="21" customFormat="1" ht="22.5" customHeight="1">
      <c r="K51" s="9"/>
      <c r="L51" s="8"/>
      <c r="U51" s="20"/>
      <c r="V51" s="29"/>
    </row>
    <row r="52" spans="2:22" s="21" customFormat="1" ht="23.25" customHeight="1">
      <c r="K52" s="9"/>
      <c r="L52" s="8"/>
      <c r="U52" s="20"/>
      <c r="V52" s="29"/>
    </row>
    <row r="53" spans="2:22" s="21" customFormat="1" ht="24.75" customHeight="1">
      <c r="K53" s="9"/>
      <c r="L53" s="8"/>
      <c r="U53" s="20"/>
      <c r="V53" s="29"/>
    </row>
    <row r="54" spans="2:22" s="21" customFormat="1" ht="27.75" customHeight="1">
      <c r="K54" s="9"/>
      <c r="L54" s="8"/>
      <c r="U54" s="20"/>
      <c r="V54" s="29"/>
    </row>
    <row r="55" spans="2:22" s="21" customFormat="1" ht="27.75" customHeight="1">
      <c r="K55" s="9"/>
      <c r="L55" s="8"/>
      <c r="U55" s="20"/>
      <c r="V55" s="29"/>
    </row>
    <row r="56" spans="2:22" s="21" customFormat="1" ht="27.75" customHeight="1">
      <c r="K56" s="9"/>
      <c r="L56" s="8"/>
      <c r="U56" s="20"/>
      <c r="V56" s="29"/>
    </row>
    <row r="57" spans="2:22" s="21" customFormat="1" ht="27.75" customHeight="1">
      <c r="K57" s="9"/>
      <c r="L57" s="8"/>
      <c r="U57" s="20"/>
      <c r="V57" s="29"/>
    </row>
    <row r="58" spans="2:22" s="21" customFormat="1" ht="27.75" customHeight="1">
      <c r="K58" s="9"/>
      <c r="L58" s="8"/>
      <c r="P58" s="20"/>
      <c r="Q58" s="29"/>
      <c r="R58" s="20"/>
      <c r="T58" s="29"/>
      <c r="U58" s="20"/>
      <c r="V58" s="29"/>
    </row>
    <row r="59" spans="2:22" s="21" customFormat="1" ht="27.75" customHeight="1">
      <c r="K59" s="9"/>
      <c r="L59" s="8"/>
      <c r="P59" s="20"/>
      <c r="Q59" s="29"/>
      <c r="R59" s="20"/>
      <c r="T59" s="29"/>
      <c r="U59" s="20"/>
      <c r="V59" s="29"/>
    </row>
    <row r="60" spans="2:22" s="21" customFormat="1" ht="27.75" customHeight="1">
      <c r="K60" s="9"/>
      <c r="L60" s="8"/>
      <c r="M60" s="32"/>
      <c r="P60" s="20"/>
      <c r="Q60" s="29"/>
      <c r="R60" s="20"/>
      <c r="T60" s="29"/>
      <c r="U60" s="20"/>
      <c r="V60" s="29"/>
    </row>
    <row r="61" spans="2:22" s="21" customFormat="1" ht="27.75" customHeight="1">
      <c r="K61" s="9"/>
      <c r="L61" s="8"/>
      <c r="M61" s="32"/>
      <c r="P61" s="20"/>
      <c r="Q61" s="29"/>
      <c r="R61" s="20"/>
      <c r="T61" s="29"/>
      <c r="U61" s="20"/>
      <c r="V61" s="29"/>
    </row>
    <row r="62" spans="2:22" s="21" customFormat="1" ht="27.75" customHeight="1">
      <c r="B62" s="2"/>
      <c r="C62" s="2"/>
      <c r="D62" s="2"/>
      <c r="E62" s="6"/>
      <c r="F62" s="6"/>
      <c r="G62" s="8"/>
      <c r="H62" s="8"/>
      <c r="I62" s="2"/>
      <c r="J62" s="2"/>
      <c r="K62" s="9"/>
      <c r="L62" s="8"/>
      <c r="M62" s="32"/>
      <c r="P62" s="20"/>
      <c r="Q62" s="29"/>
      <c r="R62" s="20"/>
      <c r="T62" s="29"/>
      <c r="U62" s="20"/>
      <c r="V62" s="29"/>
    </row>
    <row r="63" spans="2:22" s="21" customFormat="1" ht="27.75" customHeight="1">
      <c r="B63" s="2"/>
      <c r="C63" s="2"/>
      <c r="D63" s="2"/>
      <c r="E63" s="6"/>
      <c r="F63" s="6"/>
      <c r="G63" s="8"/>
      <c r="H63" s="8"/>
      <c r="I63" s="2"/>
      <c r="J63" s="2"/>
      <c r="K63" s="9"/>
      <c r="L63" s="8"/>
      <c r="O63" s="29"/>
      <c r="P63" s="20"/>
      <c r="Q63" s="29"/>
      <c r="R63" s="20"/>
      <c r="T63" s="29"/>
      <c r="V63" s="29"/>
    </row>
    <row r="64" spans="2:22" s="21" customFormat="1" ht="27.75" customHeight="1">
      <c r="B64" s="2"/>
      <c r="C64" s="2"/>
      <c r="D64" s="2"/>
      <c r="E64" s="6"/>
      <c r="F64" s="6"/>
      <c r="G64" s="8"/>
      <c r="H64" s="8"/>
      <c r="I64" s="2"/>
      <c r="J64" s="2"/>
      <c r="K64" s="9"/>
      <c r="L64" s="8"/>
      <c r="O64" s="29"/>
      <c r="P64" s="20"/>
      <c r="Q64" s="29"/>
      <c r="R64" s="20"/>
      <c r="T64" s="29"/>
      <c r="V64" s="29"/>
    </row>
    <row r="65" spans="2:22" s="21" customFormat="1" ht="27.75" customHeight="1">
      <c r="B65" s="2"/>
      <c r="C65" s="2"/>
      <c r="D65" s="2"/>
      <c r="E65" s="6"/>
      <c r="F65" s="6"/>
      <c r="G65" s="8"/>
      <c r="H65" s="8"/>
      <c r="I65" s="2"/>
      <c r="J65" s="2"/>
      <c r="K65" s="9"/>
      <c r="L65" s="8"/>
      <c r="O65" s="29"/>
      <c r="P65" s="20"/>
      <c r="Q65" s="29"/>
      <c r="R65" s="20"/>
      <c r="T65" s="29"/>
      <c r="V65" s="29"/>
    </row>
    <row r="66" spans="2:22" s="21" customFormat="1" ht="27.75" customHeight="1">
      <c r="B66" s="2"/>
      <c r="C66" s="2"/>
      <c r="D66" s="2"/>
      <c r="E66" s="6"/>
      <c r="F66" s="6"/>
      <c r="G66" s="8"/>
      <c r="H66" s="8"/>
      <c r="I66" s="2"/>
      <c r="J66" s="2"/>
      <c r="K66" s="9"/>
      <c r="L66" s="8"/>
      <c r="O66" s="29"/>
      <c r="P66" s="20"/>
      <c r="Q66" s="29"/>
      <c r="R66" s="20"/>
      <c r="T66" s="29"/>
      <c r="V66" s="29"/>
    </row>
    <row r="67" spans="2:22" s="21" customFormat="1" ht="27.75" customHeight="1">
      <c r="B67" s="2"/>
      <c r="C67" s="2"/>
      <c r="D67" s="2"/>
      <c r="E67" s="6"/>
      <c r="F67" s="6"/>
      <c r="G67" s="8"/>
      <c r="H67" s="8"/>
      <c r="I67" s="2"/>
      <c r="J67" s="2"/>
      <c r="K67" s="9"/>
      <c r="L67" s="8"/>
      <c r="O67" s="29"/>
      <c r="P67" s="20"/>
      <c r="Q67" s="29"/>
      <c r="R67" s="20"/>
      <c r="T67" s="29"/>
      <c r="V67" s="29"/>
    </row>
    <row r="68" spans="2:22" s="21" customFormat="1" ht="27.75" customHeight="1">
      <c r="B68" s="2"/>
      <c r="C68" s="2"/>
      <c r="D68" s="2"/>
      <c r="E68" s="6"/>
      <c r="F68" s="6"/>
      <c r="G68" s="8"/>
      <c r="H68" s="8"/>
      <c r="I68" s="2"/>
      <c r="J68" s="2"/>
      <c r="K68" s="9"/>
      <c r="L68" s="8"/>
      <c r="O68" s="29"/>
      <c r="P68" s="20"/>
      <c r="Q68" s="29"/>
      <c r="R68" s="20"/>
      <c r="T68" s="29"/>
      <c r="V68" s="29"/>
    </row>
    <row r="69" spans="2:22" s="21" customFormat="1" ht="27.75" customHeight="1">
      <c r="B69" s="2"/>
      <c r="C69" s="2"/>
      <c r="D69" s="2"/>
      <c r="E69" s="6"/>
      <c r="F69" s="6"/>
      <c r="G69" s="8"/>
      <c r="H69" s="8"/>
      <c r="I69" s="2"/>
      <c r="J69" s="2"/>
      <c r="K69" s="9"/>
      <c r="L69" s="8"/>
      <c r="O69" s="29"/>
      <c r="P69" s="20"/>
      <c r="Q69" s="29"/>
      <c r="R69" s="20"/>
      <c r="T69" s="29"/>
      <c r="V69" s="29"/>
    </row>
    <row r="70" spans="2:22" s="21" customFormat="1" ht="27.75" customHeight="1">
      <c r="B70" s="2"/>
      <c r="C70" s="2"/>
      <c r="D70" s="2"/>
      <c r="E70" s="6"/>
      <c r="F70" s="6"/>
      <c r="G70" s="8"/>
      <c r="H70" s="8"/>
      <c r="I70" s="2"/>
      <c r="J70" s="2"/>
      <c r="K70" s="9"/>
      <c r="L70" s="8"/>
      <c r="O70" s="29"/>
      <c r="P70" s="20"/>
      <c r="Q70" s="29"/>
      <c r="R70" s="20"/>
      <c r="T70" s="29"/>
      <c r="V70" s="29"/>
    </row>
    <row r="71" spans="2:22" s="21" customFormat="1" ht="27.75" customHeight="1">
      <c r="B71" s="2"/>
      <c r="C71" s="2"/>
      <c r="D71" s="2"/>
      <c r="E71" s="6"/>
      <c r="F71" s="6"/>
      <c r="G71" s="8"/>
      <c r="H71" s="8"/>
      <c r="I71" s="2"/>
      <c r="J71" s="2"/>
      <c r="K71" s="9"/>
      <c r="L71" s="8"/>
      <c r="O71" s="29"/>
      <c r="P71" s="20"/>
      <c r="Q71" s="29"/>
      <c r="R71" s="20"/>
      <c r="T71" s="29"/>
      <c r="V71" s="29"/>
    </row>
    <row r="72" spans="2:22" s="21" customFormat="1" ht="27.75" customHeight="1">
      <c r="B72" s="2"/>
      <c r="C72" s="2"/>
      <c r="D72" s="2"/>
      <c r="E72" s="6"/>
      <c r="F72" s="6"/>
      <c r="G72" s="8"/>
      <c r="H72" s="8"/>
      <c r="I72" s="2"/>
      <c r="J72" s="2"/>
      <c r="K72" s="9"/>
      <c r="L72" s="8"/>
      <c r="O72" s="29"/>
      <c r="P72" s="20"/>
      <c r="Q72" s="29"/>
      <c r="R72" s="20"/>
      <c r="T72" s="29"/>
      <c r="V72" s="29"/>
    </row>
    <row r="73" spans="2:22" s="21" customFormat="1" ht="27.75" customHeight="1">
      <c r="B73" s="2"/>
      <c r="C73" s="2"/>
      <c r="D73" s="2"/>
      <c r="E73" s="6"/>
      <c r="F73" s="6"/>
      <c r="G73" s="8"/>
      <c r="H73" s="8"/>
      <c r="I73" s="2"/>
      <c r="J73" s="2"/>
      <c r="K73" s="9"/>
      <c r="L73" s="8"/>
      <c r="O73" s="29"/>
      <c r="P73" s="20"/>
      <c r="Q73" s="29"/>
      <c r="R73" s="20"/>
      <c r="T73" s="29"/>
      <c r="V73" s="29"/>
    </row>
    <row r="74" spans="2:22" s="21" customFormat="1" ht="27.75" customHeight="1">
      <c r="B74" s="2"/>
      <c r="C74" s="2"/>
      <c r="D74" s="2"/>
      <c r="E74" s="6"/>
      <c r="F74" s="6"/>
      <c r="G74" s="8"/>
      <c r="H74" s="8"/>
      <c r="I74" s="2"/>
      <c r="J74" s="2"/>
      <c r="K74" s="9"/>
      <c r="L74" s="8"/>
      <c r="O74" s="29"/>
      <c r="P74" s="20"/>
      <c r="Q74" s="29"/>
      <c r="R74" s="20"/>
      <c r="T74" s="29"/>
      <c r="V74" s="29"/>
    </row>
    <row r="75" spans="2:22" s="21" customFormat="1" ht="27.75" customHeight="1">
      <c r="B75" s="2"/>
      <c r="C75" s="2"/>
      <c r="D75" s="2"/>
      <c r="E75" s="6"/>
      <c r="F75" s="6"/>
      <c r="G75" s="8"/>
      <c r="H75" s="8"/>
      <c r="I75" s="2"/>
      <c r="J75" s="2"/>
      <c r="K75" s="9"/>
      <c r="L75" s="8"/>
      <c r="O75" s="29"/>
      <c r="P75" s="20"/>
      <c r="Q75" s="29"/>
      <c r="R75" s="20"/>
      <c r="T75" s="29"/>
      <c r="V75" s="29"/>
    </row>
    <row r="76" spans="2:22" s="21" customFormat="1" ht="27.75" customHeight="1">
      <c r="B76" s="2"/>
      <c r="C76" s="2"/>
      <c r="D76" s="2"/>
      <c r="E76" s="6"/>
      <c r="F76" s="6"/>
      <c r="G76" s="8"/>
      <c r="H76" s="8"/>
      <c r="I76" s="2"/>
      <c r="J76" s="2"/>
      <c r="K76" s="9"/>
      <c r="L76" s="8"/>
      <c r="N76" s="32"/>
      <c r="O76" s="29"/>
      <c r="P76" s="20"/>
      <c r="Q76" s="29"/>
      <c r="R76" s="20"/>
      <c r="T76" s="29"/>
      <c r="V76" s="29"/>
    </row>
    <row r="77" spans="2:22" s="21" customFormat="1" ht="27.75" customHeight="1">
      <c r="B77" s="2"/>
      <c r="C77" s="2"/>
      <c r="D77" s="2"/>
      <c r="E77" s="6"/>
      <c r="F77" s="6"/>
      <c r="G77" s="8"/>
      <c r="H77" s="8"/>
      <c r="I77" s="2"/>
      <c r="J77" s="2"/>
      <c r="K77" s="9"/>
      <c r="L77" s="8"/>
      <c r="N77" s="32"/>
      <c r="O77" s="29"/>
      <c r="P77" s="20"/>
      <c r="Q77" s="29"/>
      <c r="R77" s="20"/>
      <c r="T77" s="29"/>
      <c r="V77" s="29"/>
    </row>
    <row r="78" spans="2:22" s="21" customFormat="1" ht="27.75" customHeight="1">
      <c r="B78" s="2"/>
      <c r="C78" s="2"/>
      <c r="D78" s="2"/>
      <c r="E78" s="6"/>
      <c r="F78" s="6"/>
      <c r="G78" s="8"/>
      <c r="H78" s="8"/>
      <c r="I78" s="2"/>
      <c r="J78" s="2"/>
      <c r="K78" s="9"/>
      <c r="L78" s="8"/>
      <c r="N78" s="32"/>
      <c r="O78" s="29"/>
      <c r="P78" s="20"/>
      <c r="Q78" s="29"/>
      <c r="R78" s="20"/>
      <c r="T78" s="29"/>
      <c r="V78" s="29"/>
    </row>
    <row r="79" spans="2:22" s="21" customFormat="1" ht="27.75" customHeight="1">
      <c r="B79" s="2"/>
      <c r="C79" s="2"/>
      <c r="D79" s="2"/>
      <c r="E79" s="6"/>
      <c r="F79" s="6"/>
      <c r="G79" s="8"/>
      <c r="H79" s="8"/>
      <c r="I79" s="2"/>
      <c r="J79" s="2"/>
      <c r="K79" s="9"/>
      <c r="L79" s="8"/>
      <c r="O79" s="29"/>
      <c r="P79" s="20"/>
      <c r="Q79" s="29"/>
      <c r="R79" s="20"/>
      <c r="T79" s="29"/>
      <c r="V79" s="29"/>
    </row>
    <row r="80" spans="2:22" s="21" customFormat="1" ht="27.75" customHeight="1">
      <c r="B80" s="2"/>
      <c r="C80" s="2"/>
      <c r="D80" s="2"/>
      <c r="E80" s="6"/>
      <c r="F80" s="6"/>
      <c r="G80" s="8"/>
      <c r="H80" s="8"/>
      <c r="I80" s="2"/>
      <c r="J80" s="2"/>
      <c r="K80" s="9"/>
      <c r="L80" s="8"/>
      <c r="O80" s="29"/>
      <c r="P80" s="20"/>
      <c r="Q80" s="29"/>
      <c r="R80" s="20"/>
      <c r="T80" s="29"/>
      <c r="V80" s="29"/>
    </row>
    <row r="81" spans="2:38" s="21" customFormat="1" ht="27.75" customHeight="1">
      <c r="B81" s="2"/>
      <c r="C81" s="2"/>
      <c r="D81" s="2"/>
      <c r="E81" s="6"/>
      <c r="F81" s="6"/>
      <c r="G81" s="8"/>
      <c r="H81" s="8"/>
      <c r="I81" s="2"/>
      <c r="J81" s="2"/>
      <c r="K81" s="9"/>
      <c r="L81" s="8"/>
      <c r="N81" s="32"/>
      <c r="O81" s="29"/>
      <c r="P81" s="20"/>
      <c r="Q81" s="29"/>
      <c r="R81" s="20"/>
      <c r="T81" s="29"/>
      <c r="V81" s="29"/>
    </row>
    <row r="82" spans="2:38" s="21" customFormat="1" ht="27.75" customHeight="1">
      <c r="B82" s="2"/>
      <c r="C82" s="2"/>
      <c r="D82" s="2"/>
      <c r="E82" s="6"/>
      <c r="F82" s="6"/>
      <c r="G82" s="8"/>
      <c r="H82" s="8"/>
      <c r="I82" s="2"/>
      <c r="J82" s="2"/>
      <c r="K82" s="9"/>
      <c r="L82" s="8"/>
      <c r="N82" s="32"/>
      <c r="O82" s="29"/>
      <c r="P82" s="20"/>
      <c r="Q82" s="29"/>
      <c r="R82" s="20"/>
      <c r="T82" s="29"/>
      <c r="V82" s="29"/>
    </row>
    <row r="83" spans="2:38" s="21" customFormat="1" ht="27.75" customHeight="1">
      <c r="B83" s="2"/>
      <c r="C83" s="2"/>
      <c r="D83" s="2"/>
      <c r="E83" s="6"/>
      <c r="F83" s="6"/>
      <c r="G83" s="8"/>
      <c r="H83" s="8"/>
      <c r="I83" s="2"/>
      <c r="J83" s="2"/>
      <c r="K83" s="9"/>
      <c r="L83" s="8"/>
      <c r="O83" s="29"/>
      <c r="P83" s="20"/>
      <c r="Q83" s="29"/>
      <c r="R83" s="20"/>
      <c r="T83" s="29"/>
      <c r="V83" s="29"/>
    </row>
    <row r="84" spans="2:38" s="21" customFormat="1" ht="27.75" customHeight="1">
      <c r="B84" s="2"/>
      <c r="C84" s="2"/>
      <c r="D84" s="2"/>
      <c r="E84" s="6"/>
      <c r="F84" s="6"/>
      <c r="G84" s="8"/>
      <c r="H84" s="8"/>
      <c r="I84" s="2"/>
      <c r="J84" s="2"/>
      <c r="K84" s="9"/>
      <c r="L84" s="8"/>
      <c r="O84" s="29"/>
      <c r="P84" s="20"/>
      <c r="Q84" s="29"/>
      <c r="R84" s="20"/>
      <c r="T84" s="29"/>
      <c r="V84" s="29"/>
    </row>
    <row r="85" spans="2:38" s="21" customFormat="1" ht="27.75" customHeight="1">
      <c r="B85" s="2"/>
      <c r="C85" s="2"/>
      <c r="D85" s="2"/>
      <c r="E85" s="6"/>
      <c r="F85" s="6"/>
      <c r="G85" s="8"/>
      <c r="H85" s="8"/>
      <c r="I85" s="2"/>
      <c r="J85" s="2"/>
      <c r="K85" s="9"/>
      <c r="L85" s="8"/>
      <c r="N85" s="32"/>
      <c r="O85" s="29"/>
      <c r="P85" s="20"/>
      <c r="Q85" s="29"/>
      <c r="R85" s="20"/>
      <c r="T85" s="29"/>
      <c r="V85" s="29"/>
    </row>
    <row r="86" spans="2:38" s="21" customFormat="1" ht="27.75" customHeight="1">
      <c r="B86" s="2"/>
      <c r="C86" s="2"/>
      <c r="D86" s="2"/>
      <c r="E86" s="6"/>
      <c r="F86" s="6"/>
      <c r="G86" s="8"/>
      <c r="H86" s="8"/>
      <c r="I86" s="2"/>
      <c r="J86" s="2"/>
      <c r="K86" s="9"/>
      <c r="L86" s="8"/>
      <c r="N86" s="32"/>
      <c r="O86" s="29"/>
      <c r="P86" s="20"/>
      <c r="Q86" s="29"/>
      <c r="R86" s="20"/>
      <c r="T86" s="29"/>
      <c r="V86" s="29"/>
    </row>
    <row r="87" spans="2:38" s="21" customFormat="1" ht="27.75" customHeight="1">
      <c r="B87" s="2"/>
      <c r="C87" s="2"/>
      <c r="D87" s="2"/>
      <c r="E87" s="6"/>
      <c r="F87" s="6"/>
      <c r="G87" s="8"/>
      <c r="H87" s="8"/>
      <c r="I87" s="2"/>
      <c r="J87" s="2"/>
      <c r="K87" s="9"/>
      <c r="L87" s="8"/>
      <c r="N87" s="32"/>
      <c r="O87" s="29"/>
      <c r="P87" s="20"/>
      <c r="Q87" s="29"/>
      <c r="R87" s="20"/>
      <c r="T87" s="29"/>
      <c r="V87" s="29"/>
    </row>
    <row r="88" spans="2:38" ht="27.75" customHeight="1">
      <c r="N88" s="32"/>
      <c r="O88" s="29"/>
      <c r="P88" s="20"/>
      <c r="Q88" s="29"/>
      <c r="R88" s="20"/>
      <c r="S88" s="21"/>
      <c r="T88" s="29"/>
      <c r="V88" s="29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pans="2:38" ht="27.75" customHeight="1">
      <c r="N89" s="32"/>
      <c r="O89" s="29"/>
      <c r="P89" s="20"/>
      <c r="Q89" s="29"/>
      <c r="R89" s="20"/>
      <c r="S89" s="21"/>
      <c r="T89" s="29"/>
      <c r="V89" s="29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pans="2:38" ht="27.75" customHeight="1">
      <c r="N90" s="32"/>
      <c r="O90" s="29"/>
      <c r="P90" s="20"/>
      <c r="Q90" s="29"/>
      <c r="R90" s="20"/>
      <c r="S90" s="21"/>
      <c r="T90" s="29"/>
      <c r="V90" s="29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2:38" ht="27.75" customHeight="1">
      <c r="N91" s="32"/>
      <c r="O91" s="29"/>
      <c r="P91" s="20"/>
      <c r="Q91" s="29"/>
      <c r="R91" s="20"/>
      <c r="S91" s="21"/>
      <c r="T91" s="29"/>
      <c r="V91" s="29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2:38" ht="27.75" customHeight="1">
      <c r="N92" s="32"/>
      <c r="O92" s="29"/>
      <c r="P92" s="20"/>
      <c r="Q92" s="29"/>
      <c r="R92" s="20"/>
      <c r="S92" s="21"/>
      <c r="T92" s="29"/>
      <c r="V92" s="29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2:38" ht="27.75" customHeight="1">
      <c r="N93" s="32"/>
      <c r="O93" s="29"/>
      <c r="P93" s="20"/>
      <c r="Q93" s="29"/>
      <c r="R93" s="20"/>
      <c r="S93" s="21"/>
      <c r="T93" s="29"/>
      <c r="V93" s="29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spans="2:38" ht="27.75" customHeight="1">
      <c r="N94" s="32"/>
      <c r="O94" s="29"/>
      <c r="P94" s="20"/>
      <c r="Q94" s="29"/>
      <c r="R94" s="20"/>
      <c r="S94" s="21"/>
      <c r="T94" s="29"/>
      <c r="V94" s="29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2:38" ht="27.75" customHeight="1">
      <c r="N95" s="32"/>
      <c r="O95" s="29"/>
      <c r="P95" s="20"/>
      <c r="Q95" s="29"/>
      <c r="R95" s="20"/>
      <c r="S95" s="21"/>
      <c r="T95" s="29"/>
      <c r="V95" s="29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spans="2:38" ht="27.75" customHeight="1">
      <c r="N96" s="32"/>
      <c r="O96" s="29"/>
      <c r="P96" s="20"/>
      <c r="Q96" s="29"/>
      <c r="R96" s="20"/>
      <c r="S96" s="21"/>
      <c r="T96" s="29"/>
      <c r="V96" s="29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 ht="27.75" customHeight="1">
      <c r="A97" s="32"/>
      <c r="N97" s="32"/>
      <c r="O97" s="29"/>
      <c r="P97" s="20"/>
      <c r="Q97" s="29"/>
      <c r="R97" s="20"/>
      <c r="S97" s="21"/>
      <c r="T97" s="29"/>
      <c r="V97" s="29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spans="1:38" ht="27.75" customHeight="1">
      <c r="N98" s="32"/>
      <c r="V98" s="29"/>
      <c r="W98" s="21"/>
      <c r="X98" s="21"/>
      <c r="Y98" s="21"/>
    </row>
    <row r="99" spans="1:38" ht="27.75" customHeight="1">
      <c r="N99" s="32"/>
    </row>
  </sheetData>
  <mergeCells count="14">
    <mergeCell ref="C13:D13"/>
    <mergeCell ref="K13:L13"/>
    <mergeCell ref="C15:D15"/>
    <mergeCell ref="T16:V16"/>
    <mergeCell ref="D2:T2"/>
    <mergeCell ref="D3:J5"/>
    <mergeCell ref="T3:X3"/>
    <mergeCell ref="O5:S15"/>
    <mergeCell ref="F6:J6"/>
    <mergeCell ref="T6:Z15"/>
    <mergeCell ref="C7:D7"/>
    <mergeCell ref="C9:D9"/>
    <mergeCell ref="C10:D10"/>
    <mergeCell ref="C12:D12"/>
  </mergeCells>
  <printOptions horizontalCentered="1"/>
  <pageMargins left="0.4" right="0.4" top="0.4" bottom="0.4" header="0.25" footer="0.25"/>
  <pageSetup paperSize="9" scale="62" fitToHeight="0" orientation="portrait" r:id="rId1"/>
  <headerFooter differentFirst="1">
    <oddFooter>&amp;CPage &amp;P of &amp;N</oddFooter>
  </headerFooter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1" tint="0.249977111117893"/>
  </sheetPr>
  <dimension ref="B2:B6"/>
  <sheetViews>
    <sheetView zoomScale="125" zoomScaleNormal="125" workbookViewId="0"/>
  </sheetViews>
  <sheetFormatPr defaultColWidth="8.85546875" defaultRowHeight="13.5"/>
  <cols>
    <col min="1" max="1" width="1.7109375" customWidth="1"/>
  </cols>
  <sheetData>
    <row r="2" spans="2:2">
      <c r="B2" t="s">
        <v>0</v>
      </c>
    </row>
    <row r="4" spans="2:2">
      <c r="B4" s="5" t="e">
        <f>MIN(1-B5,1)</f>
        <v>#REF!</v>
      </c>
    </row>
    <row r="5" spans="2:2">
      <c r="B5" s="5" t="e">
        <f>MIN(ОбщиеРасходыЗаМесяц/ОбщиеДоходыЗаМесяц,1)</f>
        <v>#REF!</v>
      </c>
    </row>
    <row r="6" spans="2:2">
      <c r="B6" t="e">
        <f>(ОбщиеРасходыЗаМесяц/ОбщиеДоходыЗаМесяц)&gt;1</f>
        <v>#REF!</v>
      </c>
    </row>
  </sheetData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24</vt:i4>
      </vt:variant>
    </vt:vector>
  </HeadingPairs>
  <TitlesOfParts>
    <vt:vector size="31" baseType="lpstr">
      <vt:lpstr>Срочный Рынок</vt:lpstr>
      <vt:lpstr>Мои сделки</vt:lpstr>
      <vt:lpstr>Шаблон</vt:lpstr>
      <vt:lpstr>2026-02-26</vt:lpstr>
      <vt:lpstr>2026-04-18</vt:lpstr>
      <vt:lpstr>2026-06-06</vt:lpstr>
      <vt:lpstr>Данные диаграммы</vt:lpstr>
      <vt:lpstr>'2026-02-26'!Заголовки_для_печати</vt:lpstr>
      <vt:lpstr>'2026-04-18'!Заголовки_для_печати</vt:lpstr>
      <vt:lpstr>'2026-06-06'!Заголовки_для_печати</vt:lpstr>
      <vt:lpstr>'Мои сделки'!Заголовки_для_печати</vt:lpstr>
      <vt:lpstr>'Срочный Рынок'!Заголовки_для_печати</vt:lpstr>
      <vt:lpstr>Шаблон!Заголовки_для_печати</vt:lpstr>
      <vt:lpstr>'2026-02-26'!ОбщиеДоходыЗаМесяц</vt:lpstr>
      <vt:lpstr>'2026-04-18'!ОбщиеДоходыЗаМесяц</vt:lpstr>
      <vt:lpstr>'2026-06-06'!ОбщиеДоходыЗаМесяц</vt:lpstr>
      <vt:lpstr>'Мои сделки'!ОбщиеДоходыЗаМесяц</vt:lpstr>
      <vt:lpstr>'Срочный Рынок'!ОбщиеДоходыЗаМесяц</vt:lpstr>
      <vt:lpstr>Шаблон!ОбщиеДоходыЗаМесяц</vt:lpstr>
      <vt:lpstr>'2026-02-26'!ОбщиеРасходыЗаМесяц</vt:lpstr>
      <vt:lpstr>'2026-04-18'!ОбщиеРасходыЗаМесяц</vt:lpstr>
      <vt:lpstr>'2026-06-06'!ОбщиеРасходыЗаМесяц</vt:lpstr>
      <vt:lpstr>'Мои сделки'!ОбщиеРасходыЗаМесяц</vt:lpstr>
      <vt:lpstr>'Срочный Рынок'!ОбщиеРасходыЗаМесяц</vt:lpstr>
      <vt:lpstr>Шаблон!ОбщиеРасходыЗаМесяц</vt:lpstr>
      <vt:lpstr>'2026-02-26'!ОбщиеСбереженияЗаМесяц</vt:lpstr>
      <vt:lpstr>'2026-04-18'!ОбщиеСбереженияЗаМесяц</vt:lpstr>
      <vt:lpstr>'2026-06-06'!ОбщиеСбереженияЗаМесяц</vt:lpstr>
      <vt:lpstr>'Мои сделки'!ОбщиеСбереженияЗаМесяц</vt:lpstr>
      <vt:lpstr>'Срочный Рынок'!ОбщиеСбереженияЗаМесяц</vt:lpstr>
      <vt:lpstr>Шаблон!ОбщиеСбереженияЗаМесяц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Меньшов Анатолий</cp:lastModifiedBy>
  <dcterms:created xsi:type="dcterms:W3CDTF">2014-09-09T12:15:28Z</dcterms:created>
  <dcterms:modified xsi:type="dcterms:W3CDTF">2026-06-06T13:06:25Z</dcterms:modified>
</cp:coreProperties>
</file>