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nemsadze\Desktop\"/>
    </mc:Choice>
  </mc:AlternateContent>
  <xr:revisionPtr revIDLastSave="0" documentId="13_ncr:1_{86E76E8F-FB75-4FB0-9AAF-C2D7EC43E804}" xr6:coauthVersionLast="47" xr6:coauthVersionMax="47" xr10:uidLastSave="{00000000-0000-0000-0000-000000000000}"/>
  <bookViews>
    <workbookView xWindow="-108" yWindow="-108" windowWidth="23256" windowHeight="12576" activeTab="1" xr2:uid="{52CE0B9C-FCCD-4256-9BE6-0E2798AB0E13}"/>
  </bookViews>
  <sheets>
    <sheet name="თარიღები" sheetId="2" r:id="rId1"/>
    <sheet name="ფორმულები_Cou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5" i="4"/>
  <c r="B6" i="4"/>
  <c r="B7" i="4"/>
  <c r="B8" i="4"/>
  <c r="B9" i="4"/>
  <c r="B10" i="4"/>
  <c r="B12" i="4"/>
  <c r="C25" i="4"/>
  <c r="C26" i="4"/>
  <c r="C27" i="4"/>
  <c r="B7" i="2" l="1"/>
  <c r="B8" i="2"/>
  <c r="B11" i="2"/>
  <c r="B23" i="2" s="1"/>
  <c r="C11" i="2"/>
  <c r="C22" i="2" s="1"/>
  <c r="B13" i="2"/>
  <c r="B4" i="2" s="1"/>
  <c r="C13" i="2"/>
  <c r="C8" i="2" s="1"/>
  <c r="B15" i="2"/>
  <c r="B16" i="2"/>
  <c r="B17" i="2"/>
  <c r="C17" i="2"/>
  <c r="B18" i="2"/>
  <c r="C18" i="2"/>
  <c r="B25" i="2"/>
  <c r="C25" i="2"/>
  <c r="A27" i="2"/>
  <c r="B28" i="2" s="1"/>
  <c r="C34" i="2"/>
  <c r="B20" i="2" l="1"/>
  <c r="C21" i="2"/>
  <c r="B22" i="2"/>
  <c r="B12" i="2"/>
  <c r="C15" i="2"/>
  <c r="C10" i="2"/>
  <c r="C19" i="2"/>
  <c r="B19" i="2"/>
  <c r="C14" i="2"/>
  <c r="C26" i="2"/>
  <c r="C30" i="2"/>
  <c r="B26" i="2"/>
  <c r="B30" i="2"/>
  <c r="B31" i="2"/>
  <c r="C29" i="2"/>
  <c r="B21" i="2"/>
  <c r="B29" i="2"/>
  <c r="C23" i="2"/>
  <c r="C24" i="2" s="1"/>
  <c r="C7" i="2"/>
  <c r="C28" i="2"/>
  <c r="C31" i="2"/>
  <c r="C27" i="2"/>
  <c r="B6" i="2"/>
  <c r="B27" i="2"/>
  <c r="B14" i="2"/>
  <c r="B10" i="2"/>
  <c r="C5" i="2"/>
  <c r="C9" i="2"/>
  <c r="C4" i="2"/>
  <c r="B9" i="2"/>
  <c r="C20" i="2"/>
  <c r="C16" i="2"/>
  <c r="C12" i="2"/>
  <c r="B2" i="2" l="1"/>
  <c r="B24" i="2"/>
  <c r="C2" i="2"/>
</calcChain>
</file>

<file path=xl/sharedStrings.xml><?xml version="1.0" encoding="utf-8"?>
<sst xmlns="http://schemas.openxmlformats.org/spreadsheetml/2006/main" count="892" uniqueCount="137">
  <si>
    <t>ვის ბოლო დღე</t>
  </si>
  <si>
    <t>eomonth</t>
  </si>
  <si>
    <t>თვეების დამატება გამოკლება</t>
  </si>
  <si>
    <t>edate</t>
  </si>
  <si>
    <t>yd</t>
  </si>
  <si>
    <t>დღეებშ შორის განსხვავება, იგნორირებულია წლები</t>
  </si>
  <si>
    <t>ym</t>
  </si>
  <si>
    <t>თვეებს შორის განსხვავება</t>
  </si>
  <si>
    <t>md</t>
  </si>
  <si>
    <t>განსხვავება დღეებს შორის</t>
  </si>
  <si>
    <t>d</t>
  </si>
  <si>
    <t>დღეები</t>
  </si>
  <si>
    <t>m</t>
  </si>
  <si>
    <t>თვეები</t>
  </si>
  <si>
    <t>y</t>
  </si>
  <si>
    <t>წლები</t>
  </si>
  <si>
    <t>DATEDIF</t>
  </si>
  <si>
    <t>ექსელის ფორმატში ჩაწერილი დრო გადაყავს რიცხვად საათები განისაზღვრება 0-იდან 1-მდე ინტერვალში</t>
  </si>
  <si>
    <t>TIMEVALUE</t>
  </si>
  <si>
    <t>აწყობს დროს საათის წუთის და წამის მითითებით</t>
  </si>
  <si>
    <t>TIME</t>
  </si>
  <si>
    <t>მოცემული დროიდან გვაძლევს წამს</t>
  </si>
  <si>
    <t>SECOND</t>
  </si>
  <si>
    <t>მოცემული დროიდან გვაძლევს წუთს</t>
  </si>
  <si>
    <t>MINUTE</t>
  </si>
  <si>
    <t>მოცემული დროიდან გვაძლევს საათს</t>
  </si>
  <si>
    <t>HOUR</t>
  </si>
  <si>
    <t>გვითვლის რამდენი წელია გავლიდი საწყისა და საბოლოო თარირებს შორის</t>
  </si>
  <si>
    <t>YEARFRACE</t>
  </si>
  <si>
    <t>მოცემული თარიღიდან გვაძლევს წელს</t>
  </si>
  <si>
    <t>YEAR</t>
  </si>
  <si>
    <t>გვიჩვენებს კონკრეტული თარიღიდან როდის გავიდა მითითებული დღეები არდადაგების გათვალისწინებით, საერთაშორისო ფორმულაა და მაგალითად 11-ს თუ ჩაწერთ ჩაითვლება რომ შაბათი სამუშაოა</t>
  </si>
  <si>
    <t>WORKDAY.INTL</t>
  </si>
  <si>
    <t>გვიჩვენებს კონკრეტული თარიღიდან როდის გავიდა მითითებული დღეები არდადაგების გათვალისწინებით</t>
  </si>
  <si>
    <t>WORKDAY</t>
  </si>
  <si>
    <t>ამ ფორმულაში კი ითვლება მერამდენე კვირაა წელიწადის იმის გათვალისწინებით რომ პირველ კვირად იწყებს ათვლას წლის პირველი ორშაბათიდან</t>
  </si>
  <si>
    <t>ISOWEEKNUM</t>
  </si>
  <si>
    <t>ითვლის მერამდენე კვირაა წელიწადში მოცემული თარიღი, იმის გათვალისწინებით რომ კვირის პირველი დღე ითვლება ორშაბათი, და სხვა ნებისმიერი დღით დაწყებული წელიწადი პირველ კვირად ითვლება რომც არ იყოს სრული</t>
  </si>
  <si>
    <t>WEEKNUM</t>
  </si>
  <si>
    <t>გვაძლევს თუ მერამდენე დღეა კვირის, 2-იანს ვიყენებთ მაშინ როცა პირველ დღედ ითვლება ორშაბათი.</t>
  </si>
  <si>
    <t>WEEKDAY</t>
  </si>
  <si>
    <t>უარგუმენტო ფუნქცია სვავს მიმდინარე თარიღს</t>
  </si>
  <si>
    <t>TODAY</t>
  </si>
  <si>
    <t>ითვლის საწყისა და საბოლოო თარიღებში არდადაების გათვალისწინებით სამუშაო დღეების რაოდენობას, საერთაშორისო ფორმულაა და მაგალითად 11-ს თუ ჩაწერთ ჩაითვლება რომ შაბათი სამუშაოა</t>
  </si>
  <si>
    <t>NETWORKDAYS.INTL</t>
  </si>
  <si>
    <t>უარგუმენტო ფუნქცია სვავს მიმდინარე თარიღსა და დროს</t>
  </si>
  <si>
    <t>NOW</t>
  </si>
  <si>
    <t>ითვლის საწყისა და საბოლოო თარიღებში არდადაების გათვალისწინებით სამუშაო დღეების რაოდენობას, შაბათი და კვირა არ არის სამუშაო დღე</t>
  </si>
  <si>
    <t>NETWORKDAYS</t>
  </si>
  <si>
    <t>თარიღიდან იღებს თვეს</t>
  </si>
  <si>
    <t>MONTH</t>
  </si>
  <si>
    <t>ფუნქცია გვაძლევს მითითებული თარიღიდან +/- თვეების ბოლო დღეს</t>
  </si>
  <si>
    <t>EOMONTH</t>
  </si>
  <si>
    <t>ფუნქცია გვაძლევს მითითებული თარიღიდან +/- თვეების თარიღს</t>
  </si>
  <si>
    <t>EDATE</t>
  </si>
  <si>
    <t>DAYS</t>
  </si>
  <si>
    <t>ითვლის ორ თარიღს შორის დღეების რაოდენობას ისე რომ ერთი თვე ანგარიშდება როგორც 30 დღე</t>
  </si>
  <si>
    <t>DAY360</t>
  </si>
  <si>
    <t>თარიღიდან იღებს დღეს</t>
  </si>
  <si>
    <t>DAY</t>
  </si>
  <si>
    <t>არდადაგები</t>
  </si>
  <si>
    <t>ექსელის ფორმატში ჩაწერილი თარიღი გადაყვას კალენდრის რიცხვით ნომრად</t>
  </si>
  <si>
    <t>"6/11/1983"</t>
  </si>
  <si>
    <t>DATEVALUE</t>
  </si>
  <si>
    <t>რიცხვი, თვე და წელი და გვაძლევს სრულ თარიღს</t>
  </si>
  <si>
    <t>DATE</t>
  </si>
  <si>
    <t>დაწყების თარიღი</t>
  </si>
  <si>
    <t>1=1/1/1900</t>
  </si>
  <si>
    <t>DATE &amp; TIME</t>
  </si>
  <si>
    <t>მაღაზია 1</t>
  </si>
  <si>
    <t>ზუგდიდი</t>
  </si>
  <si>
    <t>სამეგრელო</t>
  </si>
  <si>
    <t>ბაკურიანი</t>
  </si>
  <si>
    <t>მაღაზია 4</t>
  </si>
  <si>
    <t>სიღნაღი</t>
  </si>
  <si>
    <t>კახეთი</t>
  </si>
  <si>
    <t>წყაროები</t>
  </si>
  <si>
    <t>მაღაზია 2</t>
  </si>
  <si>
    <t>ონი</t>
  </si>
  <si>
    <t>რაჭა</t>
  </si>
  <si>
    <t>ლიკანი</t>
  </si>
  <si>
    <t>მაღაზია 5</t>
  </si>
  <si>
    <t>ლანჩხუთი</t>
  </si>
  <si>
    <t>გურია</t>
  </si>
  <si>
    <t>გურჯაანი</t>
  </si>
  <si>
    <t>ბორჯომი</t>
  </si>
  <si>
    <t>ბათუმი</t>
  </si>
  <si>
    <t>აჭარა</t>
  </si>
  <si>
    <t>სენაკი</t>
  </si>
  <si>
    <t>რუსთავი</t>
  </si>
  <si>
    <t>ქართლი</t>
  </si>
  <si>
    <t xml:space="preserve">თელავი </t>
  </si>
  <si>
    <t>ფოთი</t>
  </si>
  <si>
    <t>მაღაზია 10</t>
  </si>
  <si>
    <t>სამტრედია</t>
  </si>
  <si>
    <t>იმერეთი</t>
  </si>
  <si>
    <t>მესტია</t>
  </si>
  <si>
    <t>სვანეთი</t>
  </si>
  <si>
    <t>თბილისი</t>
  </si>
  <si>
    <t>ქუთაისი</t>
  </si>
  <si>
    <t>ოზურგეთი</t>
  </si>
  <si>
    <t>გორი</t>
  </si>
  <si>
    <t>მაღაზია 3</t>
  </si>
  <si>
    <t>მაღაზია 9</t>
  </si>
  <si>
    <t>მაღაზია 8</t>
  </si>
  <si>
    <t>მაღაზია 7</t>
  </si>
  <si>
    <t>მაღაზია 6</t>
  </si>
  <si>
    <r>
      <t xml:space="preserve">ფორმულებით </t>
    </r>
    <r>
      <rPr>
        <b/>
        <sz val="11"/>
        <color theme="1"/>
        <rFont val="Calibri"/>
        <family val="2"/>
      </rPr>
      <t>↑</t>
    </r>
  </si>
  <si>
    <t>ითვლის რამდენია კახეთიში ბაკურიანების გაყიდვები 500-ზე მეტი</t>
  </si>
  <si>
    <t>Countifs</t>
  </si>
  <si>
    <t>ითვლის რამდენი იწყება 3 ნებისმიერ სიმბოლოზე და მთავრდება "ია"-ზე</t>
  </si>
  <si>
    <t>???ია</t>
  </si>
  <si>
    <t>ითვლის რამდენს ურევია ასო ი</t>
  </si>
  <si>
    <t>*ი*</t>
  </si>
  <si>
    <t>ითვლის 500-ის ტოლს</t>
  </si>
  <si>
    <t>ითვლის მეტს A8-ში ჩაწერილ რიცხვზე</t>
  </si>
  <si>
    <t>&gt;A8</t>
  </si>
  <si>
    <t>ითვლის მეტს 25-ზე</t>
  </si>
  <si>
    <t>&gt;25</t>
  </si>
  <si>
    <t>დათვალოს რამდენჯერ შეხვდა სიტყვა ბაკურიანი</t>
  </si>
  <si>
    <t>Countif</t>
  </si>
  <si>
    <t>თვლის ცარიელი უჯრების რაოდენობა</t>
  </si>
  <si>
    <t>Countblank</t>
  </si>
  <si>
    <t>დათვალოშ შევსებული უჯრების რაოდენობა</t>
  </si>
  <si>
    <t>Counta</t>
  </si>
  <si>
    <t>თარიღი</t>
  </si>
  <si>
    <t>მოგება</t>
  </si>
  <si>
    <t>თვით ღიებულება</t>
  </si>
  <si>
    <t>შემოსვალი</t>
  </si>
  <si>
    <t>fasi</t>
  </si>
  <si>
    <t>რაოდენობა</t>
  </si>
  <si>
    <t>მაღაზია</t>
  </si>
  <si>
    <t>ქალაქი</t>
  </si>
  <si>
    <t>რეგიონი</t>
  </si>
  <si>
    <t>პროდუქცია</t>
  </si>
  <si>
    <t>დათვალოს რიცხვებით შევსებული უჯრების რაოდენბა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</si>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</sst>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3" borderId="0" xfId="0" applyFill="1"/>
    <xf numFmtId="18" fontId="0" fillId="0" borderId="0" xfId="0" applyNumberFormat="1"/>
    <xf numFmtId="14" fontId="0" fillId="0" borderId="0" xfId="0" applyNumberFormat="1" applyAlignment="1">
      <alignment wrapText="1"/>
    </xf>
    <xf numFmtId="22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184150</xdr:colOff>
      <xdr:row>0</xdr:row>
      <xdr:rowOff>0</xdr:rowOff>
    </xdr:from>
    <xdr:ext cx="4084674" cy="1802287"/>
    <xdr:pic>
      <xdr:nvPicPr>
        <xdr:cNvPr id="2" name="Picture 1">
          <a:extLst>
            <a:ext uri="{FF2B5EF4-FFF2-40B4-BE49-F238E27FC236}">
              <a16:creationId xmlns:a16="http://schemas.microsoft.com/office/drawing/2014/main" id="{F72DC308-8C98-4194-A4C3-FBB12D621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0550" y="0"/>
          <a:ext cx="4084674" cy="1802287"/>
        </a:xfrm>
        <a:prstGeom prst="rect">
          <a:avLst/>
        </a:prstGeom>
      </xdr:spPr>
    </xdr:pic>
    <xdr:clientData/>
  </xdr:oneCellAnchor>
  <xdr:oneCellAnchor>
    <xdr:from>
      <xdr:col>6</xdr:col>
      <xdr:colOff>196850</xdr:colOff>
      <xdr:row>20</xdr:row>
      <xdr:rowOff>157566</xdr:rowOff>
    </xdr:from>
    <xdr:ext cx="3876671" cy="2857413"/>
    <xdr:pic>
      <xdr:nvPicPr>
        <xdr:cNvPr id="3" name="Picture 2">
          <a:extLst>
            <a:ext uri="{FF2B5EF4-FFF2-40B4-BE49-F238E27FC236}">
              <a16:creationId xmlns:a16="http://schemas.microsoft.com/office/drawing/2014/main" id="{52404505-3571-48B2-9C47-DDEFF91F0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4450" y="3815166"/>
          <a:ext cx="3876671" cy="2857413"/>
        </a:xfrm>
        <a:prstGeom prst="rect">
          <a:avLst/>
        </a:prstGeom>
      </xdr:spPr>
    </xdr:pic>
    <xdr:clientData/>
  </xdr:oneCellAnchor>
  <xdr:oneCellAnchor>
    <xdr:from>
      <xdr:col>3</xdr:col>
      <xdr:colOff>2355850</xdr:colOff>
      <xdr:row>36</xdr:row>
      <xdr:rowOff>25400</xdr:rowOff>
    </xdr:from>
    <xdr:ext cx="4700677" cy="1605420"/>
    <xdr:pic>
      <xdr:nvPicPr>
        <xdr:cNvPr id="4" name="Picture 3">
          <a:extLst>
            <a:ext uri="{FF2B5EF4-FFF2-40B4-BE49-F238E27FC236}">
              <a16:creationId xmlns:a16="http://schemas.microsoft.com/office/drawing/2014/main" id="{A4DFE8E8-6816-4501-95AA-BCDF0C1C0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9670" y="6609080"/>
          <a:ext cx="4700677" cy="1605420"/>
        </a:xfrm>
        <a:prstGeom prst="rect">
          <a:avLst/>
        </a:prstGeom>
      </xdr:spPr>
    </xdr:pic>
    <xdr:clientData/>
  </xdr:oneCellAnchor>
  <xdr:oneCellAnchor>
    <xdr:from>
      <xdr:col>0</xdr:col>
      <xdr:colOff>603251</xdr:colOff>
      <xdr:row>39</xdr:row>
      <xdr:rowOff>165100</xdr:rowOff>
    </xdr:from>
    <xdr:ext cx="4784258" cy="3689882"/>
    <xdr:pic>
      <xdr:nvPicPr>
        <xdr:cNvPr id="5" name="Picture 4">
          <a:extLst>
            <a:ext uri="{FF2B5EF4-FFF2-40B4-BE49-F238E27FC236}">
              <a16:creationId xmlns:a16="http://schemas.microsoft.com/office/drawing/2014/main" id="{52D9978C-195B-4DAF-A281-1CC00E769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251" y="7297420"/>
          <a:ext cx="4784258" cy="36898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06E-3A91-44D4-B8EF-9C7D3C022055}">
  <dimension ref="A1:P37"/>
  <sheetViews>
    <sheetView topLeftCell="A8" zoomScaleNormal="100" workbookViewId="0">
      <selection activeCell="H15" sqref="H15"/>
    </sheetView>
  </sheetViews>
  <sheetFormatPr defaultRowHeight="14.4" x14ac:dyDescent="0.3"/>
  <cols>
    <col min="1" max="1" width="19.33203125" customWidth="1"/>
    <col min="2" max="2" width="16.109375" customWidth="1"/>
    <col min="3" max="3" width="17" bestFit="1" customWidth="1"/>
    <col min="4" max="4" width="51.5546875" customWidth="1"/>
    <col min="5" max="5" width="3.5546875" customWidth="1"/>
    <col min="6" max="6" width="1.88671875" customWidth="1"/>
    <col min="7" max="7" width="13.44140625" bestFit="1" customWidth="1"/>
    <col min="9" max="9" width="10.6640625" bestFit="1" customWidth="1"/>
    <col min="16" max="16" width="9.6640625" bestFit="1" customWidth="1"/>
  </cols>
  <sheetData>
    <row r="1" spans="1:16" x14ac:dyDescent="0.3">
      <c r="A1" t="s">
        <v>68</v>
      </c>
      <c r="C1" t="s">
        <v>67</v>
      </c>
      <c r="G1" t="s">
        <v>66</v>
      </c>
    </row>
    <row r="2" spans="1:16" x14ac:dyDescent="0.3">
      <c r="A2" s="9" t="s">
        <v>65</v>
      </c>
      <c r="B2" s="1">
        <f ca="1">DATE(B19,B9,B4)</f>
        <v>45238</v>
      </c>
      <c r="C2" s="1">
        <f ca="1">DATE(C19,C9,C4)</f>
        <v>45238</v>
      </c>
      <c r="D2" s="8" t="s">
        <v>64</v>
      </c>
      <c r="G2" s="1">
        <v>40905</v>
      </c>
    </row>
    <row r="3" spans="1:16" ht="28.8" x14ac:dyDescent="0.3">
      <c r="A3" s="9" t="s">
        <v>63</v>
      </c>
      <c r="B3" s="1"/>
      <c r="C3" s="1" t="s">
        <v>62</v>
      </c>
      <c r="D3" s="8" t="s">
        <v>61</v>
      </c>
      <c r="G3" t="s">
        <v>60</v>
      </c>
    </row>
    <row r="4" spans="1:16" x14ac:dyDescent="0.3">
      <c r="A4" s="9" t="s">
        <v>59</v>
      </c>
      <c r="B4">
        <f ca="1">DAY(B13)</f>
        <v>8</v>
      </c>
      <c r="C4">
        <f ca="1">DAY(C13)</f>
        <v>8</v>
      </c>
      <c r="D4" s="8" t="s">
        <v>58</v>
      </c>
      <c r="G4" s="1">
        <v>44562</v>
      </c>
    </row>
    <row r="5" spans="1:16" ht="28.8" x14ac:dyDescent="0.3">
      <c r="A5" t="s">
        <v>57</v>
      </c>
      <c r="C5">
        <f ca="1">DAYS360(G2,C13)</f>
        <v>4270</v>
      </c>
      <c r="D5" s="8" t="s">
        <v>56</v>
      </c>
      <c r="G5" s="1">
        <v>44563</v>
      </c>
    </row>
    <row r="6" spans="1:16" x14ac:dyDescent="0.3">
      <c r="A6" s="9" t="s">
        <v>55</v>
      </c>
      <c r="B6">
        <f ca="1" xml:space="preserve"> _xlfn.DAYS(B13,G2)</f>
        <v>4333</v>
      </c>
      <c r="D6" s="8"/>
      <c r="G6" s="1"/>
    </row>
    <row r="7" spans="1:16" ht="28.8" x14ac:dyDescent="0.3">
      <c r="A7" s="9" t="s">
        <v>54</v>
      </c>
      <c r="B7" s="1">
        <f>EDATE(G2,10)</f>
        <v>41210</v>
      </c>
      <c r="C7" s="1">
        <f ca="1">EDATE(C13,-25)</f>
        <v>44477</v>
      </c>
      <c r="D7" s="8" t="s">
        <v>53</v>
      </c>
      <c r="G7" s="1">
        <v>44568</v>
      </c>
    </row>
    <row r="8" spans="1:16" ht="28.8" x14ac:dyDescent="0.3">
      <c r="A8" s="9" t="s">
        <v>52</v>
      </c>
      <c r="B8" s="1">
        <f>EOMONTH(G2,0)</f>
        <v>40908</v>
      </c>
      <c r="C8" s="1">
        <f ca="1">EOMONTH(C13,-2)</f>
        <v>45199</v>
      </c>
      <c r="D8" s="8" t="s">
        <v>51</v>
      </c>
      <c r="G8" s="1">
        <v>44690</v>
      </c>
    </row>
    <row r="9" spans="1:16" x14ac:dyDescent="0.3">
      <c r="A9" s="9" t="s">
        <v>50</v>
      </c>
      <c r="B9">
        <f ca="1">MONTH(B13)</f>
        <v>11</v>
      </c>
      <c r="C9">
        <f ca="1">MONTH(C13)</f>
        <v>11</v>
      </c>
      <c r="D9" s="8" t="s">
        <v>49</v>
      </c>
      <c r="G9" s="1">
        <v>44693</v>
      </c>
    </row>
    <row r="10" spans="1:16" ht="43.2" x14ac:dyDescent="0.3">
      <c r="A10" s="9" t="s">
        <v>48</v>
      </c>
      <c r="B10">
        <f ca="1">NETWORKDAYS(G2,B13,G4:G12)</f>
        <v>3091</v>
      </c>
      <c r="C10">
        <f ca="1">NETWORKDAYS(G2,C13,G4:G13)</f>
        <v>3091</v>
      </c>
      <c r="D10" s="8" t="s">
        <v>47</v>
      </c>
      <c r="G10" s="1">
        <v>44707</v>
      </c>
      <c r="I10" s="1">
        <v>31000</v>
      </c>
    </row>
    <row r="11" spans="1:16" ht="28.8" x14ac:dyDescent="0.3">
      <c r="A11" s="9" t="s">
        <v>46</v>
      </c>
      <c r="B11" s="12">
        <f ca="1">NOW()</f>
        <v>45238.452320138887</v>
      </c>
      <c r="C11" s="12">
        <f ca="1">NOW()</f>
        <v>45238.452320138887</v>
      </c>
      <c r="D11" s="8" t="s">
        <v>45</v>
      </c>
      <c r="G11" s="1">
        <v>44801</v>
      </c>
    </row>
    <row r="12" spans="1:16" ht="72" x14ac:dyDescent="0.3">
      <c r="A12" s="9" t="s">
        <v>44</v>
      </c>
      <c r="B12">
        <f ca="1">NETWORKDAYS.INTL(G2,B13,"0100100",G4:G12)</f>
        <v>3090</v>
      </c>
      <c r="C12">
        <f ca="1">NETWORKDAYS.INTL(G2,C13,11,G4:G12)</f>
        <v>3709</v>
      </c>
      <c r="D12" s="8" t="s">
        <v>43</v>
      </c>
      <c r="G12" s="1">
        <v>44796</v>
      </c>
    </row>
    <row r="13" spans="1:16" x14ac:dyDescent="0.3">
      <c r="A13" s="9" t="s">
        <v>42</v>
      </c>
      <c r="B13" s="1">
        <f ca="1">TODAY()</f>
        <v>45238</v>
      </c>
      <c r="C13" s="1">
        <f ca="1">TODAY()</f>
        <v>45238</v>
      </c>
      <c r="D13" s="8" t="s">
        <v>41</v>
      </c>
    </row>
    <row r="14" spans="1:16" ht="28.8" x14ac:dyDescent="0.3">
      <c r="A14" s="9" t="s">
        <v>40</v>
      </c>
      <c r="B14">
        <f ca="1">WEEKDAY(B13,2)</f>
        <v>3</v>
      </c>
      <c r="C14">
        <f ca="1">WEEKDAY(C13,2)</f>
        <v>3</v>
      </c>
      <c r="D14" s="8" t="s">
        <v>39</v>
      </c>
      <c r="M14" s="1">
        <v>1</v>
      </c>
      <c r="P14">
        <v>45202</v>
      </c>
    </row>
    <row r="15" spans="1:16" ht="72" x14ac:dyDescent="0.3">
      <c r="A15" s="9" t="s">
        <v>38</v>
      </c>
      <c r="B15">
        <f>WEEKNUM(G2)</f>
        <v>53</v>
      </c>
      <c r="C15">
        <f ca="1">WEEKNUM(C13,2)</f>
        <v>46</v>
      </c>
      <c r="D15" s="8" t="s">
        <v>37</v>
      </c>
    </row>
    <row r="16" spans="1:16" ht="43.2" x14ac:dyDescent="0.3">
      <c r="A16" s="9" t="s">
        <v>36</v>
      </c>
      <c r="B16">
        <f>_xlfn.ISOWEEKNUM(G2)</f>
        <v>52</v>
      </c>
      <c r="C16">
        <f ca="1">_xlfn.ISOWEEKNUM(C13)</f>
        <v>45</v>
      </c>
      <c r="D16" s="8" t="s">
        <v>35</v>
      </c>
    </row>
    <row r="17" spans="1:5" ht="28.8" x14ac:dyDescent="0.3">
      <c r="A17" s="9" t="s">
        <v>34</v>
      </c>
      <c r="B17" s="1">
        <f>WORKDAY(G2,150,G4:G12)</f>
        <v>41115</v>
      </c>
      <c r="C17" s="1">
        <f>WORKDAY(G2,400,G4:G12)</f>
        <v>41465</v>
      </c>
      <c r="D17" s="8" t="s">
        <v>33</v>
      </c>
    </row>
    <row r="18" spans="1:5" ht="72" x14ac:dyDescent="0.3">
      <c r="A18" s="9" t="s">
        <v>32</v>
      </c>
      <c r="B18" s="1">
        <f>WORKDAY.INTL(G2,150,"0100100",G4:G12)</f>
        <v>41115</v>
      </c>
      <c r="C18" s="1">
        <f>WORKDAY.INTL(G2,400,11,G4:G12)</f>
        <v>41372</v>
      </c>
      <c r="D18" s="8" t="s">
        <v>31</v>
      </c>
    </row>
    <row r="19" spans="1:5" x14ac:dyDescent="0.3">
      <c r="A19" s="9" t="s">
        <v>30</v>
      </c>
      <c r="B19">
        <f ca="1">YEAR(B13)</f>
        <v>2023</v>
      </c>
      <c r="C19">
        <f ca="1">YEAR(C13)</f>
        <v>2023</v>
      </c>
      <c r="D19" s="8" t="s">
        <v>29</v>
      </c>
    </row>
    <row r="20" spans="1:5" ht="28.8" x14ac:dyDescent="0.3">
      <c r="A20" s="9" t="s">
        <v>28</v>
      </c>
      <c r="B20">
        <f ca="1">YEARFRAC(G2,B13)</f>
        <v>11.861111111111111</v>
      </c>
      <c r="C20">
        <f ca="1">YEARFRAC(G2,C13)</f>
        <v>11.861111111111111</v>
      </c>
      <c r="D20" s="11" t="s">
        <v>27</v>
      </c>
    </row>
    <row r="21" spans="1:5" x14ac:dyDescent="0.3">
      <c r="A21" s="9" t="s">
        <v>26</v>
      </c>
      <c r="B21">
        <f ca="1">HOUR(B11)</f>
        <v>10</v>
      </c>
      <c r="C21">
        <f ca="1">HOUR(C11)</f>
        <v>10</v>
      </c>
      <c r="D21" s="8" t="s">
        <v>25</v>
      </c>
    </row>
    <row r="22" spans="1:5" x14ac:dyDescent="0.3">
      <c r="A22" s="9" t="s">
        <v>24</v>
      </c>
      <c r="B22">
        <f ca="1">MINUTE(B11)</f>
        <v>51</v>
      </c>
      <c r="C22">
        <f ca="1">MINUTE(C11)</f>
        <v>51</v>
      </c>
      <c r="D22" s="8" t="s">
        <v>23</v>
      </c>
    </row>
    <row r="23" spans="1:5" x14ac:dyDescent="0.3">
      <c r="A23" s="9" t="s">
        <v>22</v>
      </c>
      <c r="B23">
        <f ca="1">SECOND(B11)</f>
        <v>20</v>
      </c>
      <c r="C23">
        <f ca="1">SECOND(C11)</f>
        <v>20</v>
      </c>
      <c r="D23" s="8" t="s">
        <v>21</v>
      </c>
    </row>
    <row r="24" spans="1:5" x14ac:dyDescent="0.3">
      <c r="A24" s="9" t="s">
        <v>20</v>
      </c>
      <c r="B24" s="10">
        <f ca="1">TIME(B21+2,B22+7,B23)</f>
        <v>0.54050925925925919</v>
      </c>
      <c r="C24" s="10">
        <f ca="1">TIME(C21,C22,C23)</f>
        <v>0.45231481481481484</v>
      </c>
      <c r="D24" s="8" t="s">
        <v>19</v>
      </c>
    </row>
    <row r="25" spans="1:5" ht="28.8" x14ac:dyDescent="0.3">
      <c r="A25" s="9" t="s">
        <v>18</v>
      </c>
      <c r="B25">
        <f>TIMEVALUE("60:00")</f>
        <v>0.5</v>
      </c>
      <c r="C25">
        <f>TIMEVALUE("13:34")</f>
        <v>0.56527777777777777</v>
      </c>
      <c r="D25" s="8" t="s">
        <v>17</v>
      </c>
    </row>
    <row r="26" spans="1:5" x14ac:dyDescent="0.3">
      <c r="A26" s="7" t="s">
        <v>16</v>
      </c>
      <c r="B26" s="4">
        <f ca="1">DATEDIF(A28,A27,"y")</f>
        <v>5</v>
      </c>
      <c r="C26" s="4">
        <f ca="1">DATEDIF($A$28,$A$27,E26)</f>
        <v>5</v>
      </c>
      <c r="D26" s="3" t="s">
        <v>15</v>
      </c>
      <c r="E26" s="3" t="s">
        <v>14</v>
      </c>
    </row>
    <row r="27" spans="1:5" x14ac:dyDescent="0.3">
      <c r="A27" s="6">
        <f ca="1">TODAY()</f>
        <v>45238</v>
      </c>
      <c r="B27">
        <f ca="1">DATEDIF(A28,A27, "m")</f>
        <v>68</v>
      </c>
      <c r="C27" s="4">
        <f ca="1">DATEDIF($A$28,$A$27,E27)</f>
        <v>68</v>
      </c>
      <c r="D27" s="3" t="s">
        <v>13</v>
      </c>
      <c r="E27" s="3" t="s">
        <v>12</v>
      </c>
    </row>
    <row r="28" spans="1:5" x14ac:dyDescent="0.3">
      <c r="A28" s="6">
        <v>43167</v>
      </c>
      <c r="B28" s="4">
        <f ca="1">DATEDIF(A28,A27,"d")</f>
        <v>2071</v>
      </c>
      <c r="C28" s="4">
        <f ca="1">DATEDIF($A$28,$A$27,E28)</f>
        <v>2071</v>
      </c>
      <c r="D28" s="3" t="s">
        <v>11</v>
      </c>
      <c r="E28" s="3" t="s">
        <v>10</v>
      </c>
    </row>
    <row r="29" spans="1:5" x14ac:dyDescent="0.3">
      <c r="A29" s="5"/>
      <c r="B29" s="4">
        <f ca="1">DATEDIF(A28,A27, "md")</f>
        <v>0</v>
      </c>
      <c r="C29" s="4">
        <f ca="1">DATEDIF($A$28,$A$27,E29)</f>
        <v>0</v>
      </c>
      <c r="D29" s="3" t="s">
        <v>9</v>
      </c>
      <c r="E29" s="3" t="s">
        <v>8</v>
      </c>
    </row>
    <row r="30" spans="1:5" x14ac:dyDescent="0.3">
      <c r="A30" s="5"/>
      <c r="B30" s="4">
        <f ca="1">DATEDIF(A28,A27, "ym")</f>
        <v>8</v>
      </c>
      <c r="C30" s="4">
        <f ca="1">DATEDIF($A$28,$A$27,E30)</f>
        <v>8</v>
      </c>
      <c r="D30" s="3" t="s">
        <v>7</v>
      </c>
      <c r="E30" s="3" t="s">
        <v>6</v>
      </c>
    </row>
    <row r="31" spans="1:5" x14ac:dyDescent="0.3">
      <c r="A31" s="5"/>
      <c r="B31" s="4">
        <f ca="1">DATEDIF(A28,A27, "yd")</f>
        <v>245</v>
      </c>
      <c r="C31" s="4">
        <f ca="1">DATEDIF($A$28,$A$27,E31)</f>
        <v>245</v>
      </c>
      <c r="D31" s="3" t="s">
        <v>5</v>
      </c>
      <c r="E31" s="3" t="s">
        <v>4</v>
      </c>
    </row>
    <row r="33" spans="1:7" x14ac:dyDescent="0.3">
      <c r="A33" t="s">
        <v>3</v>
      </c>
      <c r="D33" s="2" t="s">
        <v>2</v>
      </c>
      <c r="G33" s="1">
        <v>44292</v>
      </c>
    </row>
    <row r="34" spans="1:7" x14ac:dyDescent="0.3">
      <c r="A34" t="s">
        <v>1</v>
      </c>
      <c r="C34" s="1">
        <f>EOMONTH(G33,2)</f>
        <v>44377</v>
      </c>
      <c r="D34" s="2" t="s">
        <v>0</v>
      </c>
    </row>
    <row r="36" spans="1:7" x14ac:dyDescent="0.3">
      <c r="A36" s="1">
        <v>44627</v>
      </c>
    </row>
    <row r="37" spans="1:7" x14ac:dyDescent="0.3">
      <c r="A37" s="1">
        <v>44632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E476-A7F0-4D0F-A5E7-4A73063CEB3B}">
  <dimension ref="A1:P199"/>
  <sheetViews>
    <sheetView tabSelected="1" zoomScaleNormal="100" workbookViewId="0">
      <selection activeCell="A14" sqref="A14:C17"/>
    </sheetView>
  </sheetViews>
  <sheetFormatPr defaultRowHeight="14.4" x14ac:dyDescent="0.3"/>
  <cols>
    <col min="1" max="1" width="16.88671875" customWidth="1"/>
    <col min="3" max="4" width="51.33203125" customWidth="1"/>
    <col min="5" max="5" width="12.88671875" bestFit="1" customWidth="1"/>
    <col min="6" max="7" width="12.44140625" bestFit="1" customWidth="1"/>
    <col min="8" max="8" width="11.44140625" bestFit="1" customWidth="1"/>
    <col min="9" max="9" width="12.5546875" bestFit="1" customWidth="1"/>
    <col min="10" max="10" width="5.6640625" bestFit="1" customWidth="1"/>
    <col min="11" max="11" width="12" bestFit="1" customWidth="1"/>
    <col min="12" max="12" width="19" bestFit="1" customWidth="1"/>
    <col min="13" max="13" width="7.88671875" bestFit="1" customWidth="1"/>
    <col min="14" max="14" width="10.6640625" bestFit="1" customWidth="1"/>
  </cols>
  <sheetData>
    <row r="1" spans="1:16" x14ac:dyDescent="0.3">
      <c r="A1" t="s">
        <v>136</v>
      </c>
      <c r="B1">
        <f>COUNT(E1:N199)</f>
        <v>1188</v>
      </c>
      <c r="C1" s="8" t="s">
        <v>135</v>
      </c>
      <c r="D1" s="8"/>
      <c r="E1" s="17" t="s">
        <v>134</v>
      </c>
      <c r="F1" s="17" t="s">
        <v>133</v>
      </c>
      <c r="G1" s="17" t="s">
        <v>132</v>
      </c>
      <c r="H1" s="17" t="s">
        <v>131</v>
      </c>
      <c r="I1" s="17" t="s">
        <v>130</v>
      </c>
      <c r="J1" s="17" t="s">
        <v>129</v>
      </c>
      <c r="K1" s="17" t="s">
        <v>128</v>
      </c>
      <c r="L1" s="17" t="s">
        <v>127</v>
      </c>
      <c r="M1" s="17" t="s">
        <v>126</v>
      </c>
      <c r="N1" s="17" t="s">
        <v>125</v>
      </c>
      <c r="P1" s="16">
        <v>500</v>
      </c>
    </row>
    <row r="2" spans="1:16" x14ac:dyDescent="0.3">
      <c r="A2" t="s">
        <v>124</v>
      </c>
      <c r="B2">
        <f>COUNTA(E1:N199)</f>
        <v>1990</v>
      </c>
      <c r="C2" s="8" t="s">
        <v>123</v>
      </c>
      <c r="D2" s="8"/>
      <c r="E2" t="s">
        <v>76</v>
      </c>
      <c r="F2" t="s">
        <v>87</v>
      </c>
      <c r="G2" t="s">
        <v>86</v>
      </c>
      <c r="H2" t="s">
        <v>69</v>
      </c>
      <c r="I2">
        <v>306</v>
      </c>
      <c r="J2" s="13">
        <v>0.9</v>
      </c>
      <c r="K2">
        <v>800</v>
      </c>
      <c r="L2">
        <v>0.7</v>
      </c>
      <c r="M2">
        <v>61.200000000000045</v>
      </c>
      <c r="N2" s="1">
        <v>43962</v>
      </c>
    </row>
    <row r="3" spans="1:16" x14ac:dyDescent="0.3">
      <c r="A3" t="s">
        <v>122</v>
      </c>
      <c r="B3">
        <f>COUNTBLANK(E1:N199)</f>
        <v>0</v>
      </c>
      <c r="C3" s="8" t="s">
        <v>121</v>
      </c>
      <c r="D3" s="8"/>
      <c r="E3" t="s">
        <v>72</v>
      </c>
      <c r="F3" t="s">
        <v>90</v>
      </c>
      <c r="G3" t="s">
        <v>85</v>
      </c>
      <c r="H3" t="s">
        <v>69</v>
      </c>
      <c r="I3">
        <v>223</v>
      </c>
      <c r="J3" s="13">
        <v>0.8</v>
      </c>
      <c r="K3">
        <v>178.4</v>
      </c>
      <c r="L3">
        <v>0.69</v>
      </c>
      <c r="M3">
        <v>24.53000000000003</v>
      </c>
      <c r="N3" s="1">
        <v>44096</v>
      </c>
    </row>
    <row r="4" spans="1:16" x14ac:dyDescent="0.3">
      <c r="A4" t="s">
        <v>120</v>
      </c>
      <c r="C4" s="8"/>
      <c r="D4" s="8"/>
      <c r="E4" t="s">
        <v>72</v>
      </c>
      <c r="F4" t="s">
        <v>90</v>
      </c>
      <c r="G4" t="s">
        <v>101</v>
      </c>
      <c r="H4" t="s">
        <v>69</v>
      </c>
      <c r="I4">
        <v>356</v>
      </c>
      <c r="J4" s="13">
        <v>0.8</v>
      </c>
      <c r="K4">
        <v>284.8</v>
      </c>
      <c r="L4">
        <v>0.69</v>
      </c>
      <c r="M4">
        <v>39.160000000000025</v>
      </c>
      <c r="N4" s="1">
        <v>43825</v>
      </c>
    </row>
    <row r="5" spans="1:16" x14ac:dyDescent="0.3">
      <c r="A5" t="s">
        <v>72</v>
      </c>
      <c r="B5">
        <f>COUNTIF(ფორმულები_Count!E2:E199,A5)</f>
        <v>45</v>
      </c>
      <c r="C5" s="8" t="s">
        <v>119</v>
      </c>
      <c r="D5" s="8"/>
      <c r="E5" t="s">
        <v>76</v>
      </c>
      <c r="F5" t="s">
        <v>75</v>
      </c>
      <c r="G5" t="s">
        <v>84</v>
      </c>
      <c r="H5" t="s">
        <v>69</v>
      </c>
      <c r="I5">
        <v>973</v>
      </c>
      <c r="J5" s="13">
        <v>0.9</v>
      </c>
      <c r="K5">
        <v>875.7</v>
      </c>
      <c r="L5">
        <v>0.7</v>
      </c>
      <c r="M5">
        <v>194.60000000000014</v>
      </c>
      <c r="N5" s="1">
        <v>43977</v>
      </c>
    </row>
    <row r="6" spans="1:16" x14ac:dyDescent="0.3">
      <c r="A6" t="s">
        <v>118</v>
      </c>
      <c r="B6">
        <f>COUNTIF(K2:K199,"&gt;25")</f>
        <v>198</v>
      </c>
      <c r="C6" s="8" t="s">
        <v>117</v>
      </c>
      <c r="D6" s="8"/>
      <c r="E6" t="s">
        <v>80</v>
      </c>
      <c r="F6" t="s">
        <v>71</v>
      </c>
      <c r="G6" t="s">
        <v>70</v>
      </c>
      <c r="H6" t="s">
        <v>77</v>
      </c>
      <c r="I6">
        <v>417</v>
      </c>
      <c r="J6" s="13">
        <v>0.85</v>
      </c>
      <c r="K6">
        <v>354.45</v>
      </c>
      <c r="L6">
        <v>0.67</v>
      </c>
      <c r="M6">
        <v>75.059999999999945</v>
      </c>
      <c r="N6" s="1">
        <v>43556</v>
      </c>
    </row>
    <row r="7" spans="1:16" x14ac:dyDescent="0.3">
      <c r="A7" t="s">
        <v>116</v>
      </c>
      <c r="B7">
        <f>COUNTIF(K2:K199,"&gt;"&amp;A8)</f>
        <v>102</v>
      </c>
      <c r="C7" s="8" t="s">
        <v>115</v>
      </c>
      <c r="D7" s="8"/>
      <c r="E7" t="s">
        <v>85</v>
      </c>
      <c r="F7" t="s">
        <v>90</v>
      </c>
      <c r="G7" t="s">
        <v>98</v>
      </c>
      <c r="H7" t="s">
        <v>69</v>
      </c>
      <c r="I7">
        <v>423</v>
      </c>
      <c r="J7" s="13">
        <v>1.1000000000000001</v>
      </c>
      <c r="K7">
        <v>465.3</v>
      </c>
      <c r="L7">
        <v>0.8</v>
      </c>
      <c r="M7">
        <v>126.89999999999998</v>
      </c>
      <c r="N7" s="1">
        <v>43689</v>
      </c>
    </row>
    <row r="8" spans="1:16" x14ac:dyDescent="0.3">
      <c r="A8">
        <v>500</v>
      </c>
      <c r="B8">
        <f>COUNTIF(K2:K199,A8)</f>
        <v>0</v>
      </c>
      <c r="C8" s="8" t="s">
        <v>114</v>
      </c>
      <c r="D8" s="8"/>
      <c r="E8" t="s">
        <v>85</v>
      </c>
      <c r="F8" t="s">
        <v>75</v>
      </c>
      <c r="G8" t="s">
        <v>91</v>
      </c>
      <c r="H8" t="s">
        <v>69</v>
      </c>
      <c r="I8">
        <v>818</v>
      </c>
      <c r="J8" s="13">
        <v>1.1000000000000001</v>
      </c>
      <c r="K8">
        <v>899.80000000000007</v>
      </c>
      <c r="L8">
        <v>0.8</v>
      </c>
      <c r="M8">
        <v>245.39999999999998</v>
      </c>
      <c r="N8" s="1">
        <v>44089</v>
      </c>
    </row>
    <row r="9" spans="1:16" x14ac:dyDescent="0.3">
      <c r="A9" t="s">
        <v>113</v>
      </c>
      <c r="B9">
        <f>COUNTIF(F2:F199,"*ი*")</f>
        <v>129</v>
      </c>
      <c r="C9" s="8" t="s">
        <v>112</v>
      </c>
      <c r="D9" s="8"/>
      <c r="E9" t="s">
        <v>72</v>
      </c>
      <c r="F9" t="s">
        <v>83</v>
      </c>
      <c r="G9" t="s">
        <v>82</v>
      </c>
      <c r="H9" t="s">
        <v>69</v>
      </c>
      <c r="I9">
        <v>692</v>
      </c>
      <c r="J9" s="13">
        <v>0.8</v>
      </c>
      <c r="K9">
        <v>553.6</v>
      </c>
      <c r="L9">
        <v>0.69</v>
      </c>
      <c r="M9">
        <v>76.120000000000061</v>
      </c>
      <c r="N9" s="1">
        <v>44012</v>
      </c>
    </row>
    <row r="10" spans="1:16" ht="28.8" x14ac:dyDescent="0.3">
      <c r="A10" t="s">
        <v>111</v>
      </c>
      <c r="B10">
        <f>COUNTIF(F2:F199,"???ია")</f>
        <v>17</v>
      </c>
      <c r="C10" s="8" t="s">
        <v>110</v>
      </c>
      <c r="D10" s="8"/>
      <c r="E10" t="s">
        <v>80</v>
      </c>
      <c r="F10" t="s">
        <v>97</v>
      </c>
      <c r="G10" t="s">
        <v>96</v>
      </c>
      <c r="H10" t="s">
        <v>69</v>
      </c>
      <c r="I10">
        <v>213</v>
      </c>
      <c r="J10" s="13">
        <v>0.85</v>
      </c>
      <c r="K10">
        <v>181.04999999999998</v>
      </c>
      <c r="L10">
        <v>0.67</v>
      </c>
      <c r="M10">
        <v>38.339999999999975</v>
      </c>
      <c r="N10" s="1">
        <v>43669</v>
      </c>
    </row>
    <row r="11" spans="1:16" x14ac:dyDescent="0.3">
      <c r="A11" t="s">
        <v>109</v>
      </c>
      <c r="E11" t="s">
        <v>76</v>
      </c>
      <c r="F11" t="s">
        <v>83</v>
      </c>
      <c r="G11" t="s">
        <v>100</v>
      </c>
      <c r="H11" t="s">
        <v>69</v>
      </c>
      <c r="I11">
        <v>678</v>
      </c>
      <c r="J11" s="13">
        <v>0.9</v>
      </c>
      <c r="K11">
        <v>610.20000000000005</v>
      </c>
      <c r="L11">
        <v>0.7</v>
      </c>
      <c r="M11">
        <v>135.60000000000008</v>
      </c>
      <c r="N11" s="1">
        <v>44072</v>
      </c>
    </row>
    <row r="12" spans="1:16" ht="28.8" x14ac:dyDescent="0.3">
      <c r="B12">
        <f>COUNTIFS(F2:F199,"კახეთი",E2:E199,A5,I2:I199,"&gt;500")</f>
        <v>4</v>
      </c>
      <c r="C12" s="8" t="s">
        <v>108</v>
      </c>
      <c r="D12" s="8"/>
      <c r="E12" t="s">
        <v>80</v>
      </c>
      <c r="F12" t="s">
        <v>79</v>
      </c>
      <c r="G12" t="s">
        <v>78</v>
      </c>
      <c r="H12" t="s">
        <v>69</v>
      </c>
      <c r="I12">
        <v>426</v>
      </c>
      <c r="J12" s="13">
        <v>0.85</v>
      </c>
      <c r="K12">
        <v>362.09999999999997</v>
      </c>
      <c r="L12">
        <v>0.67</v>
      </c>
      <c r="M12">
        <v>76.67999999999995</v>
      </c>
      <c r="N12" s="1">
        <v>43593</v>
      </c>
    </row>
    <row r="13" spans="1:16" x14ac:dyDescent="0.3">
      <c r="E13" t="s">
        <v>76</v>
      </c>
      <c r="F13" t="s">
        <v>90</v>
      </c>
      <c r="G13" t="s">
        <v>89</v>
      </c>
      <c r="H13" t="s">
        <v>77</v>
      </c>
      <c r="I13">
        <v>720</v>
      </c>
      <c r="J13" s="13">
        <v>0.9</v>
      </c>
      <c r="K13">
        <v>648</v>
      </c>
      <c r="L13">
        <v>0.7</v>
      </c>
      <c r="M13">
        <v>144.00000000000006</v>
      </c>
      <c r="N13" s="1">
        <v>43574</v>
      </c>
    </row>
    <row r="14" spans="1:16" x14ac:dyDescent="0.3">
      <c r="A14" s="15" t="s">
        <v>107</v>
      </c>
      <c r="B14" s="15"/>
      <c r="C14" s="15"/>
      <c r="D14" s="14"/>
      <c r="E14" t="s">
        <v>85</v>
      </c>
      <c r="F14" t="s">
        <v>95</v>
      </c>
      <c r="G14" t="s">
        <v>94</v>
      </c>
      <c r="H14" t="s">
        <v>69</v>
      </c>
      <c r="I14">
        <v>486</v>
      </c>
      <c r="J14" s="13">
        <v>1.1000000000000001</v>
      </c>
      <c r="K14">
        <v>534.6</v>
      </c>
      <c r="L14">
        <v>0.8</v>
      </c>
      <c r="M14">
        <v>145.80000000000001</v>
      </c>
      <c r="N14" s="1">
        <v>44073</v>
      </c>
    </row>
    <row r="15" spans="1:16" x14ac:dyDescent="0.3">
      <c r="A15" s="15"/>
      <c r="B15" s="15"/>
      <c r="C15" s="15"/>
      <c r="D15" s="14"/>
      <c r="E15" t="s">
        <v>80</v>
      </c>
      <c r="F15" t="s">
        <v>71</v>
      </c>
      <c r="G15" t="s">
        <v>88</v>
      </c>
      <c r="H15" t="s">
        <v>69</v>
      </c>
      <c r="I15">
        <v>942</v>
      </c>
      <c r="J15" s="13">
        <v>0.85</v>
      </c>
      <c r="K15">
        <v>800.69999999999993</v>
      </c>
      <c r="L15">
        <v>0.67</v>
      </c>
      <c r="M15">
        <v>169.55999999999995</v>
      </c>
      <c r="N15" s="1">
        <v>43910</v>
      </c>
    </row>
    <row r="16" spans="1:16" x14ac:dyDescent="0.3">
      <c r="A16" s="15"/>
      <c r="B16" s="15"/>
      <c r="C16" s="15"/>
      <c r="D16" s="14"/>
      <c r="E16" t="s">
        <v>76</v>
      </c>
      <c r="F16" t="s">
        <v>75</v>
      </c>
      <c r="G16" t="s">
        <v>74</v>
      </c>
      <c r="H16" t="s">
        <v>81</v>
      </c>
      <c r="I16">
        <v>736</v>
      </c>
      <c r="J16" s="13">
        <v>0.9</v>
      </c>
      <c r="K16">
        <v>662.4</v>
      </c>
      <c r="L16">
        <v>0.7</v>
      </c>
      <c r="M16">
        <v>147.20000000000005</v>
      </c>
      <c r="N16" s="1">
        <v>43922</v>
      </c>
    </row>
    <row r="17" spans="1:14" x14ac:dyDescent="0.3">
      <c r="A17" s="15"/>
      <c r="B17" s="15"/>
      <c r="C17" s="15"/>
      <c r="D17" s="14"/>
      <c r="E17" t="s">
        <v>72</v>
      </c>
      <c r="F17" t="s">
        <v>71</v>
      </c>
      <c r="G17" t="s">
        <v>92</v>
      </c>
      <c r="H17" t="s">
        <v>81</v>
      </c>
      <c r="I17">
        <v>838</v>
      </c>
      <c r="J17" s="13">
        <v>0.8</v>
      </c>
      <c r="K17">
        <v>670.40000000000009</v>
      </c>
      <c r="L17">
        <v>0.69</v>
      </c>
      <c r="M17">
        <v>92.180000000000177</v>
      </c>
      <c r="N17" s="1">
        <v>43570</v>
      </c>
    </row>
    <row r="18" spans="1:14" x14ac:dyDescent="0.3">
      <c r="E18" t="s">
        <v>72</v>
      </c>
      <c r="F18" t="s">
        <v>95</v>
      </c>
      <c r="G18" t="s">
        <v>99</v>
      </c>
      <c r="H18" t="s">
        <v>77</v>
      </c>
      <c r="I18">
        <v>883</v>
      </c>
      <c r="J18" s="13">
        <v>0.8</v>
      </c>
      <c r="K18">
        <v>706.40000000000009</v>
      </c>
      <c r="L18">
        <v>0.69</v>
      </c>
      <c r="M18">
        <v>97.130000000000109</v>
      </c>
      <c r="N18" s="1">
        <v>43507</v>
      </c>
    </row>
    <row r="19" spans="1:14" x14ac:dyDescent="0.3">
      <c r="E19" t="s">
        <v>72</v>
      </c>
      <c r="F19" t="s">
        <v>71</v>
      </c>
      <c r="G19" t="s">
        <v>70</v>
      </c>
      <c r="H19" t="s">
        <v>69</v>
      </c>
      <c r="I19">
        <v>709</v>
      </c>
      <c r="J19" s="13">
        <v>0.8</v>
      </c>
      <c r="K19">
        <v>567.20000000000005</v>
      </c>
      <c r="L19">
        <v>0.69</v>
      </c>
      <c r="M19">
        <v>77.990000000000066</v>
      </c>
      <c r="N19" s="1">
        <v>43668</v>
      </c>
    </row>
    <row r="20" spans="1:14" x14ac:dyDescent="0.3">
      <c r="C20">
        <v>43473</v>
      </c>
      <c r="E20" t="s">
        <v>80</v>
      </c>
      <c r="F20" t="s">
        <v>90</v>
      </c>
      <c r="G20" t="s">
        <v>89</v>
      </c>
      <c r="H20" t="s">
        <v>69</v>
      </c>
      <c r="I20">
        <v>847</v>
      </c>
      <c r="J20" s="13">
        <v>0.85</v>
      </c>
      <c r="K20">
        <v>719.94999999999993</v>
      </c>
      <c r="L20">
        <v>0.67</v>
      </c>
      <c r="M20">
        <v>152.45999999999992</v>
      </c>
      <c r="N20" s="1">
        <v>44107</v>
      </c>
    </row>
    <row r="21" spans="1:14" x14ac:dyDescent="0.3">
      <c r="C21">
        <v>44112</v>
      </c>
      <c r="E21" t="s">
        <v>80</v>
      </c>
      <c r="F21" t="s">
        <v>75</v>
      </c>
      <c r="G21" t="s">
        <v>84</v>
      </c>
      <c r="H21" t="s">
        <v>77</v>
      </c>
      <c r="I21">
        <v>134</v>
      </c>
      <c r="J21" s="13">
        <v>0.85</v>
      </c>
      <c r="K21">
        <v>113.89999999999999</v>
      </c>
      <c r="L21">
        <v>0.67</v>
      </c>
      <c r="M21">
        <v>24.11999999999999</v>
      </c>
      <c r="N21" s="1">
        <v>43669</v>
      </c>
    </row>
    <row r="22" spans="1:14" x14ac:dyDescent="0.3">
      <c r="E22" t="s">
        <v>76</v>
      </c>
      <c r="F22" t="s">
        <v>79</v>
      </c>
      <c r="G22" t="s">
        <v>78</v>
      </c>
      <c r="H22" t="s">
        <v>77</v>
      </c>
      <c r="I22">
        <v>697</v>
      </c>
      <c r="J22" s="13">
        <v>0.9</v>
      </c>
      <c r="K22">
        <v>627.30000000000007</v>
      </c>
      <c r="L22">
        <v>0.7</v>
      </c>
      <c r="M22">
        <v>139.40000000000009</v>
      </c>
      <c r="N22" s="1">
        <v>43707</v>
      </c>
    </row>
    <row r="23" spans="1:14" x14ac:dyDescent="0.3">
      <c r="E23" t="s">
        <v>80</v>
      </c>
      <c r="F23" t="s">
        <v>75</v>
      </c>
      <c r="G23" t="s">
        <v>91</v>
      </c>
      <c r="H23" t="s">
        <v>77</v>
      </c>
      <c r="I23">
        <v>550</v>
      </c>
      <c r="J23" s="13">
        <v>0.85</v>
      </c>
      <c r="K23">
        <v>467.5</v>
      </c>
      <c r="L23">
        <v>0.67</v>
      </c>
      <c r="M23">
        <v>99</v>
      </c>
      <c r="N23" s="1">
        <v>43603</v>
      </c>
    </row>
    <row r="24" spans="1:14" x14ac:dyDescent="0.3">
      <c r="E24" t="s">
        <v>85</v>
      </c>
      <c r="F24" t="s">
        <v>71</v>
      </c>
      <c r="G24" t="s">
        <v>88</v>
      </c>
      <c r="H24" t="s">
        <v>77</v>
      </c>
      <c r="I24">
        <v>944</v>
      </c>
      <c r="J24" s="13">
        <v>1.1000000000000001</v>
      </c>
      <c r="K24">
        <v>1038.4000000000001</v>
      </c>
      <c r="L24">
        <v>0.8</v>
      </c>
      <c r="M24">
        <v>283.20000000000005</v>
      </c>
      <c r="N24" s="1">
        <v>43946</v>
      </c>
    </row>
    <row r="25" spans="1:14" x14ac:dyDescent="0.3">
      <c r="C25">
        <f>COUNTIFS(H2:H199,"მაღაზია 2",E2:E199,"ბაკურიანი")</f>
        <v>14</v>
      </c>
      <c r="E25" t="s">
        <v>80</v>
      </c>
      <c r="F25" t="s">
        <v>90</v>
      </c>
      <c r="G25" t="s">
        <v>85</v>
      </c>
      <c r="H25" t="s">
        <v>77</v>
      </c>
      <c r="I25">
        <v>322</v>
      </c>
      <c r="J25" s="13">
        <v>0.85</v>
      </c>
      <c r="K25">
        <v>273.7</v>
      </c>
      <c r="L25">
        <v>0.67</v>
      </c>
      <c r="M25">
        <v>57.95999999999998</v>
      </c>
      <c r="N25" s="1">
        <v>43600</v>
      </c>
    </row>
    <row r="26" spans="1:14" x14ac:dyDescent="0.3">
      <c r="C26">
        <f>COUNTIFS(G2:G199,"რუსთავი",E2:E199,"*ნი")</f>
        <v>10</v>
      </c>
      <c r="E26" t="s">
        <v>85</v>
      </c>
      <c r="F26" t="s">
        <v>90</v>
      </c>
      <c r="G26" t="s">
        <v>98</v>
      </c>
      <c r="H26" t="s">
        <v>77</v>
      </c>
      <c r="I26">
        <v>918</v>
      </c>
      <c r="J26" s="13">
        <v>1.1000000000000001</v>
      </c>
      <c r="K26">
        <v>1009.8000000000001</v>
      </c>
      <c r="L26">
        <v>0.8</v>
      </c>
      <c r="M26">
        <v>275.39999999999998</v>
      </c>
      <c r="N26" s="1">
        <v>44041</v>
      </c>
    </row>
    <row r="27" spans="1:14" x14ac:dyDescent="0.3">
      <c r="C27">
        <f>COUNTIFS(E:E,"*ა*",G:G,"ბათუმი",I:I,"&gt;200",I:I,"&lt;="&amp;$P$1,K:K,"&gt;"&amp;$P$1)</f>
        <v>1</v>
      </c>
      <c r="E27" t="s">
        <v>85</v>
      </c>
      <c r="F27" t="s">
        <v>97</v>
      </c>
      <c r="G27" t="s">
        <v>96</v>
      </c>
      <c r="H27" t="s">
        <v>77</v>
      </c>
      <c r="I27">
        <v>736</v>
      </c>
      <c r="J27" s="13">
        <v>1.1000000000000001</v>
      </c>
      <c r="K27">
        <v>809.6</v>
      </c>
      <c r="L27">
        <v>0.8</v>
      </c>
      <c r="M27">
        <v>220.79999999999995</v>
      </c>
      <c r="N27" s="1">
        <v>43887</v>
      </c>
    </row>
    <row r="28" spans="1:14" x14ac:dyDescent="0.3">
      <c r="E28" t="s">
        <v>80</v>
      </c>
      <c r="F28" t="s">
        <v>95</v>
      </c>
      <c r="G28" t="s">
        <v>94</v>
      </c>
      <c r="H28" t="s">
        <v>77</v>
      </c>
      <c r="I28">
        <v>321</v>
      </c>
      <c r="J28" s="13">
        <v>0.85</v>
      </c>
      <c r="K28">
        <v>272.84999999999997</v>
      </c>
      <c r="L28">
        <v>0.67</v>
      </c>
      <c r="M28">
        <v>57.779999999999944</v>
      </c>
      <c r="N28" s="1">
        <v>43712</v>
      </c>
    </row>
    <row r="29" spans="1:14" x14ac:dyDescent="0.3">
      <c r="E29" t="s">
        <v>80</v>
      </c>
      <c r="F29" t="s">
        <v>71</v>
      </c>
      <c r="G29" t="s">
        <v>92</v>
      </c>
      <c r="H29" t="s">
        <v>69</v>
      </c>
      <c r="I29">
        <v>836</v>
      </c>
      <c r="J29" s="13">
        <v>0.85</v>
      </c>
      <c r="K29">
        <v>710.6</v>
      </c>
      <c r="L29">
        <v>0.67</v>
      </c>
      <c r="M29">
        <v>150.48000000000002</v>
      </c>
      <c r="N29" s="1">
        <v>43669</v>
      </c>
    </row>
    <row r="30" spans="1:14" x14ac:dyDescent="0.3">
      <c r="E30" t="s">
        <v>76</v>
      </c>
      <c r="F30" t="s">
        <v>71</v>
      </c>
      <c r="G30" t="s">
        <v>70</v>
      </c>
      <c r="H30" t="s">
        <v>77</v>
      </c>
      <c r="I30">
        <v>459</v>
      </c>
      <c r="J30" s="13">
        <v>0.9</v>
      </c>
      <c r="K30">
        <v>413.1</v>
      </c>
      <c r="L30">
        <v>0.7</v>
      </c>
      <c r="M30">
        <v>91.800000000000068</v>
      </c>
      <c r="N30" s="1">
        <v>43899</v>
      </c>
    </row>
    <row r="31" spans="1:14" x14ac:dyDescent="0.3">
      <c r="E31" t="s">
        <v>72</v>
      </c>
      <c r="F31" t="s">
        <v>90</v>
      </c>
      <c r="G31" t="s">
        <v>89</v>
      </c>
      <c r="H31" t="s">
        <v>77</v>
      </c>
      <c r="I31">
        <v>128</v>
      </c>
      <c r="J31" s="13">
        <v>0.8</v>
      </c>
      <c r="K31">
        <v>102.4</v>
      </c>
      <c r="L31">
        <v>0.69</v>
      </c>
      <c r="M31">
        <v>14.080000000000013</v>
      </c>
      <c r="N31" s="1">
        <v>43712</v>
      </c>
    </row>
    <row r="32" spans="1:14" x14ac:dyDescent="0.3">
      <c r="E32" t="s">
        <v>72</v>
      </c>
      <c r="F32" t="s">
        <v>87</v>
      </c>
      <c r="G32" t="s">
        <v>86</v>
      </c>
      <c r="H32" t="s">
        <v>77</v>
      </c>
      <c r="I32">
        <v>477</v>
      </c>
      <c r="J32" s="13">
        <v>0.8</v>
      </c>
      <c r="K32">
        <v>381.6</v>
      </c>
      <c r="L32">
        <v>0.69</v>
      </c>
      <c r="M32">
        <v>52.470000000000027</v>
      </c>
      <c r="N32" s="1">
        <v>43553</v>
      </c>
    </row>
    <row r="33" spans="5:14" x14ac:dyDescent="0.3">
      <c r="E33" t="s">
        <v>76</v>
      </c>
      <c r="F33" t="s">
        <v>83</v>
      </c>
      <c r="G33" t="s">
        <v>82</v>
      </c>
      <c r="H33" t="s">
        <v>77</v>
      </c>
      <c r="I33">
        <v>586</v>
      </c>
      <c r="J33" s="13">
        <v>0.9</v>
      </c>
      <c r="K33">
        <v>527.4</v>
      </c>
      <c r="L33">
        <v>0.7</v>
      </c>
      <c r="M33">
        <v>117.19999999999999</v>
      </c>
      <c r="N33" s="1">
        <v>43851</v>
      </c>
    </row>
    <row r="34" spans="5:14" x14ac:dyDescent="0.3">
      <c r="E34" t="s">
        <v>72</v>
      </c>
      <c r="F34" t="s">
        <v>75</v>
      </c>
      <c r="G34" t="s">
        <v>74</v>
      </c>
      <c r="H34" t="s">
        <v>69</v>
      </c>
      <c r="I34">
        <v>736</v>
      </c>
      <c r="J34" s="13">
        <v>0.8</v>
      </c>
      <c r="K34">
        <v>588.80000000000007</v>
      </c>
      <c r="L34">
        <v>0.69</v>
      </c>
      <c r="M34">
        <v>80.960000000000093</v>
      </c>
      <c r="N34" s="1">
        <v>43890</v>
      </c>
    </row>
    <row r="35" spans="5:14" x14ac:dyDescent="0.3">
      <c r="E35" t="s">
        <v>72</v>
      </c>
      <c r="F35" t="s">
        <v>75</v>
      </c>
      <c r="G35" t="s">
        <v>84</v>
      </c>
      <c r="H35" t="s">
        <v>69</v>
      </c>
      <c r="I35">
        <v>998</v>
      </c>
      <c r="J35" s="13">
        <v>0.8</v>
      </c>
      <c r="K35">
        <v>798.40000000000009</v>
      </c>
      <c r="L35">
        <v>0.69</v>
      </c>
      <c r="M35">
        <v>109.7800000000002</v>
      </c>
      <c r="N35" s="1">
        <v>44034</v>
      </c>
    </row>
    <row r="36" spans="5:14" x14ac:dyDescent="0.3">
      <c r="E36" t="s">
        <v>80</v>
      </c>
      <c r="F36" t="s">
        <v>79</v>
      </c>
      <c r="G36" t="s">
        <v>78</v>
      </c>
      <c r="H36" t="s">
        <v>69</v>
      </c>
      <c r="I36">
        <v>473</v>
      </c>
      <c r="J36" s="13">
        <v>0.85</v>
      </c>
      <c r="K36">
        <v>402.05</v>
      </c>
      <c r="L36">
        <v>0.67</v>
      </c>
      <c r="M36">
        <v>85.139999999999986</v>
      </c>
      <c r="N36" s="1">
        <v>43654</v>
      </c>
    </row>
    <row r="37" spans="5:14" x14ac:dyDescent="0.3">
      <c r="E37" t="s">
        <v>76</v>
      </c>
      <c r="F37" t="s">
        <v>90</v>
      </c>
      <c r="G37" t="s">
        <v>101</v>
      </c>
      <c r="H37" t="s">
        <v>77</v>
      </c>
      <c r="I37">
        <v>433</v>
      </c>
      <c r="J37" s="13">
        <v>0.9</v>
      </c>
      <c r="K37">
        <v>389.7</v>
      </c>
      <c r="L37">
        <v>0.7</v>
      </c>
      <c r="M37">
        <v>86.600000000000023</v>
      </c>
      <c r="N37" s="1">
        <v>43674</v>
      </c>
    </row>
    <row r="38" spans="5:14" x14ac:dyDescent="0.3">
      <c r="E38" t="s">
        <v>72</v>
      </c>
      <c r="F38" t="s">
        <v>83</v>
      </c>
      <c r="G38" t="s">
        <v>100</v>
      </c>
      <c r="H38" t="s">
        <v>77</v>
      </c>
      <c r="I38">
        <v>673</v>
      </c>
      <c r="J38" s="13">
        <v>0.8</v>
      </c>
      <c r="K38">
        <v>538.4</v>
      </c>
      <c r="L38">
        <v>0.69</v>
      </c>
      <c r="M38">
        <v>74.03000000000003</v>
      </c>
      <c r="N38" s="1">
        <v>43831</v>
      </c>
    </row>
    <row r="39" spans="5:14" x14ac:dyDescent="0.3">
      <c r="E39" t="s">
        <v>76</v>
      </c>
      <c r="F39" t="s">
        <v>95</v>
      </c>
      <c r="G39" t="s">
        <v>99</v>
      </c>
      <c r="H39" t="s">
        <v>102</v>
      </c>
      <c r="I39">
        <v>891</v>
      </c>
      <c r="J39" s="13">
        <v>0.9</v>
      </c>
      <c r="K39">
        <v>801.9</v>
      </c>
      <c r="L39">
        <v>0.7</v>
      </c>
      <c r="M39">
        <v>178.20000000000005</v>
      </c>
      <c r="N39" s="1">
        <v>43859</v>
      </c>
    </row>
    <row r="40" spans="5:14" x14ac:dyDescent="0.3">
      <c r="E40" t="s">
        <v>72</v>
      </c>
      <c r="F40" t="s">
        <v>71</v>
      </c>
      <c r="G40" t="s">
        <v>70</v>
      </c>
      <c r="H40" t="s">
        <v>69</v>
      </c>
      <c r="I40">
        <v>809</v>
      </c>
      <c r="J40" s="13">
        <v>0.8</v>
      </c>
      <c r="K40">
        <v>647.20000000000005</v>
      </c>
      <c r="L40">
        <v>0.69</v>
      </c>
      <c r="M40">
        <v>88.990000000000123</v>
      </c>
      <c r="N40" s="1">
        <v>43621</v>
      </c>
    </row>
    <row r="41" spans="5:14" x14ac:dyDescent="0.3">
      <c r="E41" t="s">
        <v>76</v>
      </c>
      <c r="F41" t="s">
        <v>75</v>
      </c>
      <c r="G41" t="s">
        <v>91</v>
      </c>
      <c r="H41" t="s">
        <v>102</v>
      </c>
      <c r="I41">
        <v>770</v>
      </c>
      <c r="J41" s="13">
        <v>0.9</v>
      </c>
      <c r="K41">
        <v>693</v>
      </c>
      <c r="L41">
        <v>0.7</v>
      </c>
      <c r="M41">
        <v>154</v>
      </c>
      <c r="N41" s="1">
        <v>43798</v>
      </c>
    </row>
    <row r="42" spans="5:14" x14ac:dyDescent="0.3">
      <c r="E42" t="s">
        <v>76</v>
      </c>
      <c r="F42" t="s">
        <v>90</v>
      </c>
      <c r="G42" t="s">
        <v>89</v>
      </c>
      <c r="H42" t="s">
        <v>69</v>
      </c>
      <c r="I42">
        <v>693</v>
      </c>
      <c r="J42" s="13">
        <v>0.9</v>
      </c>
      <c r="K42">
        <v>623.70000000000005</v>
      </c>
      <c r="L42">
        <v>0.7</v>
      </c>
      <c r="M42">
        <v>138.60000000000008</v>
      </c>
      <c r="N42" s="1">
        <v>43640</v>
      </c>
    </row>
    <row r="43" spans="5:14" x14ac:dyDescent="0.3">
      <c r="E43" t="s">
        <v>85</v>
      </c>
      <c r="F43" t="s">
        <v>71</v>
      </c>
      <c r="G43" t="s">
        <v>88</v>
      </c>
      <c r="H43" t="s">
        <v>102</v>
      </c>
      <c r="I43">
        <v>660</v>
      </c>
      <c r="J43" s="13">
        <v>1.1000000000000001</v>
      </c>
      <c r="K43">
        <v>726.00000000000011</v>
      </c>
      <c r="L43">
        <v>0.8</v>
      </c>
      <c r="M43">
        <v>198.00000000000011</v>
      </c>
      <c r="N43" s="1">
        <v>43895</v>
      </c>
    </row>
    <row r="44" spans="5:14" x14ac:dyDescent="0.3">
      <c r="E44" t="s">
        <v>76</v>
      </c>
      <c r="F44" t="s">
        <v>75</v>
      </c>
      <c r="G44" t="s">
        <v>84</v>
      </c>
      <c r="H44" t="s">
        <v>77</v>
      </c>
      <c r="I44">
        <v>524</v>
      </c>
      <c r="J44" s="13">
        <v>0.9</v>
      </c>
      <c r="K44">
        <v>471.6</v>
      </c>
      <c r="L44">
        <v>0.7</v>
      </c>
      <c r="M44">
        <v>104.80000000000007</v>
      </c>
      <c r="N44" s="1">
        <v>43567</v>
      </c>
    </row>
    <row r="45" spans="5:14" x14ac:dyDescent="0.3">
      <c r="E45" t="s">
        <v>72</v>
      </c>
      <c r="F45" t="s">
        <v>79</v>
      </c>
      <c r="G45" t="s">
        <v>78</v>
      </c>
      <c r="H45" t="s">
        <v>77</v>
      </c>
      <c r="I45">
        <v>846</v>
      </c>
      <c r="J45" s="13">
        <v>0.8</v>
      </c>
      <c r="K45">
        <v>676.80000000000007</v>
      </c>
      <c r="L45">
        <v>0.69</v>
      </c>
      <c r="M45">
        <v>93.060000000000059</v>
      </c>
      <c r="N45" s="1">
        <v>43651</v>
      </c>
    </row>
    <row r="46" spans="5:14" x14ac:dyDescent="0.3">
      <c r="E46" t="s">
        <v>85</v>
      </c>
      <c r="F46" t="s">
        <v>90</v>
      </c>
      <c r="G46" t="s">
        <v>85</v>
      </c>
      <c r="H46" t="s">
        <v>102</v>
      </c>
      <c r="I46">
        <v>123</v>
      </c>
      <c r="J46" s="13">
        <v>1.1000000000000001</v>
      </c>
      <c r="K46">
        <v>135.30000000000001</v>
      </c>
      <c r="L46">
        <v>0.8</v>
      </c>
      <c r="M46">
        <v>36.900000000000006</v>
      </c>
      <c r="N46" s="1">
        <v>43513</v>
      </c>
    </row>
    <row r="47" spans="5:14" x14ac:dyDescent="0.3">
      <c r="E47" t="s">
        <v>80</v>
      </c>
      <c r="F47" t="s">
        <v>90</v>
      </c>
      <c r="G47" t="s">
        <v>98</v>
      </c>
      <c r="H47" t="s">
        <v>102</v>
      </c>
      <c r="I47">
        <v>286</v>
      </c>
      <c r="J47" s="13">
        <v>0.85</v>
      </c>
      <c r="K47">
        <v>243.1</v>
      </c>
      <c r="L47">
        <v>0.67</v>
      </c>
      <c r="M47">
        <v>51.47999999999999</v>
      </c>
      <c r="N47" s="1">
        <v>44052</v>
      </c>
    </row>
    <row r="48" spans="5:14" x14ac:dyDescent="0.3">
      <c r="E48" t="s">
        <v>85</v>
      </c>
      <c r="F48" t="s">
        <v>97</v>
      </c>
      <c r="G48" t="s">
        <v>96</v>
      </c>
      <c r="H48" t="s">
        <v>102</v>
      </c>
      <c r="I48">
        <v>179</v>
      </c>
      <c r="J48" s="13">
        <v>1.1000000000000001</v>
      </c>
      <c r="K48">
        <v>196.9</v>
      </c>
      <c r="L48">
        <v>0.8</v>
      </c>
      <c r="M48">
        <v>53.699999999999989</v>
      </c>
      <c r="N48" s="1">
        <v>44058</v>
      </c>
    </row>
    <row r="49" spans="5:14" x14ac:dyDescent="0.3">
      <c r="E49" t="s">
        <v>76</v>
      </c>
      <c r="F49" t="s">
        <v>95</v>
      </c>
      <c r="G49" t="s">
        <v>94</v>
      </c>
      <c r="H49" t="s">
        <v>102</v>
      </c>
      <c r="I49">
        <v>748</v>
      </c>
      <c r="J49" s="13">
        <v>0.9</v>
      </c>
      <c r="K49">
        <v>673.2</v>
      </c>
      <c r="L49">
        <v>0.7</v>
      </c>
      <c r="M49">
        <v>149.60000000000002</v>
      </c>
      <c r="N49" s="1">
        <v>43592</v>
      </c>
    </row>
    <row r="50" spans="5:14" x14ac:dyDescent="0.3">
      <c r="E50" t="s">
        <v>85</v>
      </c>
      <c r="F50" t="s">
        <v>71</v>
      </c>
      <c r="G50" t="s">
        <v>92</v>
      </c>
      <c r="H50" t="s">
        <v>77</v>
      </c>
      <c r="I50">
        <v>164</v>
      </c>
      <c r="J50" s="13">
        <v>1.1000000000000001</v>
      </c>
      <c r="K50">
        <v>180.4</v>
      </c>
      <c r="L50">
        <v>0.8</v>
      </c>
      <c r="M50">
        <v>49.199999999999989</v>
      </c>
      <c r="N50" s="1">
        <v>43897</v>
      </c>
    </row>
    <row r="51" spans="5:14" x14ac:dyDescent="0.3">
      <c r="E51" t="s">
        <v>80</v>
      </c>
      <c r="F51" t="s">
        <v>71</v>
      </c>
      <c r="G51" t="s">
        <v>70</v>
      </c>
      <c r="H51" t="s">
        <v>77</v>
      </c>
      <c r="I51">
        <v>734</v>
      </c>
      <c r="J51" s="13">
        <v>0.85</v>
      </c>
      <c r="K51">
        <v>623.9</v>
      </c>
      <c r="L51">
        <v>0.67</v>
      </c>
      <c r="M51">
        <v>132.11999999999995</v>
      </c>
      <c r="N51" s="1">
        <v>43724</v>
      </c>
    </row>
    <row r="52" spans="5:14" x14ac:dyDescent="0.3">
      <c r="E52" t="s">
        <v>72</v>
      </c>
      <c r="F52" t="s">
        <v>90</v>
      </c>
      <c r="G52" t="s">
        <v>89</v>
      </c>
      <c r="H52" t="s">
        <v>77</v>
      </c>
      <c r="I52">
        <v>500</v>
      </c>
      <c r="J52" s="13">
        <v>0.8</v>
      </c>
      <c r="K52">
        <v>400</v>
      </c>
      <c r="L52">
        <v>0.69</v>
      </c>
      <c r="M52">
        <v>55</v>
      </c>
      <c r="N52" s="1">
        <v>43498</v>
      </c>
    </row>
    <row r="53" spans="5:14" x14ac:dyDescent="0.3">
      <c r="E53" t="s">
        <v>80</v>
      </c>
      <c r="F53" t="s">
        <v>87</v>
      </c>
      <c r="G53" t="s">
        <v>86</v>
      </c>
      <c r="H53" t="s">
        <v>102</v>
      </c>
      <c r="I53">
        <v>879</v>
      </c>
      <c r="J53" s="13">
        <v>0.85</v>
      </c>
      <c r="K53">
        <v>747.15</v>
      </c>
      <c r="L53">
        <v>0.67</v>
      </c>
      <c r="M53">
        <v>158.21999999999991</v>
      </c>
      <c r="N53" s="1">
        <v>43486</v>
      </c>
    </row>
    <row r="54" spans="5:14" x14ac:dyDescent="0.3">
      <c r="E54" t="s">
        <v>72</v>
      </c>
      <c r="F54" t="s">
        <v>83</v>
      </c>
      <c r="G54" t="s">
        <v>82</v>
      </c>
      <c r="H54" t="s">
        <v>102</v>
      </c>
      <c r="I54">
        <v>796</v>
      </c>
      <c r="J54" s="13">
        <v>0.8</v>
      </c>
      <c r="K54">
        <v>636.80000000000007</v>
      </c>
      <c r="L54">
        <v>0.69</v>
      </c>
      <c r="M54">
        <v>87.560000000000059</v>
      </c>
      <c r="N54" s="1">
        <v>44062</v>
      </c>
    </row>
    <row r="55" spans="5:14" x14ac:dyDescent="0.3">
      <c r="E55" t="s">
        <v>80</v>
      </c>
      <c r="F55" t="s">
        <v>75</v>
      </c>
      <c r="G55" t="s">
        <v>74</v>
      </c>
      <c r="H55" t="s">
        <v>77</v>
      </c>
      <c r="I55">
        <v>697</v>
      </c>
      <c r="J55" s="13">
        <v>0.85</v>
      </c>
      <c r="K55">
        <v>592.44999999999993</v>
      </c>
      <c r="L55">
        <v>0.67</v>
      </c>
      <c r="M55">
        <v>125.45999999999992</v>
      </c>
      <c r="N55" s="1">
        <v>43667</v>
      </c>
    </row>
    <row r="56" spans="5:14" x14ac:dyDescent="0.3">
      <c r="E56" t="s">
        <v>80</v>
      </c>
      <c r="F56" t="s">
        <v>75</v>
      </c>
      <c r="G56" t="s">
        <v>91</v>
      </c>
      <c r="H56" t="s">
        <v>69</v>
      </c>
      <c r="I56">
        <v>730</v>
      </c>
      <c r="J56" s="13">
        <v>0.85</v>
      </c>
      <c r="K56">
        <v>620.5</v>
      </c>
      <c r="L56">
        <v>0.67</v>
      </c>
      <c r="M56">
        <v>131.39999999999998</v>
      </c>
      <c r="N56" s="1">
        <v>43990</v>
      </c>
    </row>
    <row r="57" spans="5:14" x14ac:dyDescent="0.3">
      <c r="E57" t="s">
        <v>80</v>
      </c>
      <c r="F57" t="s">
        <v>71</v>
      </c>
      <c r="G57" t="s">
        <v>88</v>
      </c>
      <c r="H57" t="s">
        <v>69</v>
      </c>
      <c r="I57">
        <v>844</v>
      </c>
      <c r="J57" s="13">
        <v>0.85</v>
      </c>
      <c r="K57">
        <v>717.4</v>
      </c>
      <c r="L57">
        <v>0.67</v>
      </c>
      <c r="M57">
        <v>151.91999999999996</v>
      </c>
      <c r="N57" s="1">
        <v>44040</v>
      </c>
    </row>
    <row r="58" spans="5:14" x14ac:dyDescent="0.3">
      <c r="E58" t="s">
        <v>72</v>
      </c>
      <c r="F58" t="s">
        <v>75</v>
      </c>
      <c r="G58" t="s">
        <v>84</v>
      </c>
      <c r="H58" t="s">
        <v>69</v>
      </c>
      <c r="I58">
        <v>131</v>
      </c>
      <c r="J58" s="13">
        <v>0.8</v>
      </c>
      <c r="K58">
        <v>104.80000000000001</v>
      </c>
      <c r="L58">
        <v>0.69</v>
      </c>
      <c r="M58">
        <v>14.410000000000025</v>
      </c>
      <c r="N58" s="1">
        <v>43802</v>
      </c>
    </row>
    <row r="59" spans="5:14" x14ac:dyDescent="0.3">
      <c r="E59" t="s">
        <v>85</v>
      </c>
      <c r="F59" t="s">
        <v>71</v>
      </c>
      <c r="G59" t="s">
        <v>70</v>
      </c>
      <c r="H59" t="s">
        <v>69</v>
      </c>
      <c r="I59">
        <v>505</v>
      </c>
      <c r="J59" s="13">
        <v>1.1000000000000001</v>
      </c>
      <c r="K59">
        <v>555.5</v>
      </c>
      <c r="L59">
        <v>0.8</v>
      </c>
      <c r="M59">
        <v>151.5</v>
      </c>
      <c r="N59" s="1">
        <v>43807</v>
      </c>
    </row>
    <row r="60" spans="5:14" x14ac:dyDescent="0.3">
      <c r="E60" t="s">
        <v>76</v>
      </c>
      <c r="F60" t="s">
        <v>79</v>
      </c>
      <c r="G60" t="s">
        <v>78</v>
      </c>
      <c r="H60" t="s">
        <v>69</v>
      </c>
      <c r="I60">
        <v>830</v>
      </c>
      <c r="J60" s="13">
        <v>0.9</v>
      </c>
      <c r="K60">
        <v>747</v>
      </c>
      <c r="L60">
        <v>0.7</v>
      </c>
      <c r="M60">
        <v>166</v>
      </c>
      <c r="N60" s="1">
        <v>43904</v>
      </c>
    </row>
    <row r="61" spans="5:14" x14ac:dyDescent="0.3">
      <c r="E61" t="s">
        <v>80</v>
      </c>
      <c r="F61" t="s">
        <v>90</v>
      </c>
      <c r="G61" t="s">
        <v>89</v>
      </c>
      <c r="H61" t="s">
        <v>69</v>
      </c>
      <c r="I61">
        <v>883</v>
      </c>
      <c r="J61" s="13">
        <v>0.85</v>
      </c>
      <c r="K61">
        <v>750.55</v>
      </c>
      <c r="L61">
        <v>0.67</v>
      </c>
      <c r="M61">
        <v>158.93999999999994</v>
      </c>
      <c r="N61" s="1">
        <v>43723</v>
      </c>
    </row>
    <row r="62" spans="5:14" x14ac:dyDescent="0.3">
      <c r="E62" t="s">
        <v>72</v>
      </c>
      <c r="F62" t="s">
        <v>90</v>
      </c>
      <c r="G62" t="s">
        <v>101</v>
      </c>
      <c r="H62" t="s">
        <v>102</v>
      </c>
      <c r="I62">
        <v>634</v>
      </c>
      <c r="J62" s="13">
        <v>0.8</v>
      </c>
      <c r="K62">
        <v>507.20000000000005</v>
      </c>
      <c r="L62">
        <v>0.69</v>
      </c>
      <c r="M62">
        <v>69.740000000000066</v>
      </c>
      <c r="N62" s="1">
        <v>43768</v>
      </c>
    </row>
    <row r="63" spans="5:14" x14ac:dyDescent="0.3">
      <c r="E63" t="s">
        <v>80</v>
      </c>
      <c r="F63" t="s">
        <v>83</v>
      </c>
      <c r="G63" t="s">
        <v>100</v>
      </c>
      <c r="H63" t="s">
        <v>102</v>
      </c>
      <c r="I63">
        <v>365</v>
      </c>
      <c r="J63" s="13">
        <v>0.85</v>
      </c>
      <c r="K63">
        <v>310.25</v>
      </c>
      <c r="L63">
        <v>0.67</v>
      </c>
      <c r="M63">
        <v>65.699999999999989</v>
      </c>
      <c r="N63" s="1">
        <v>43629</v>
      </c>
    </row>
    <row r="64" spans="5:14" x14ac:dyDescent="0.3">
      <c r="E64" t="s">
        <v>72</v>
      </c>
      <c r="F64" t="s">
        <v>95</v>
      </c>
      <c r="G64" t="s">
        <v>99</v>
      </c>
      <c r="H64" t="s">
        <v>69</v>
      </c>
      <c r="I64">
        <v>732</v>
      </c>
      <c r="J64" s="13">
        <v>0.8</v>
      </c>
      <c r="K64">
        <v>585.6</v>
      </c>
      <c r="L64">
        <v>0.69</v>
      </c>
      <c r="M64">
        <v>80.520000000000039</v>
      </c>
      <c r="N64" s="1">
        <v>43631</v>
      </c>
    </row>
    <row r="65" spans="5:14" x14ac:dyDescent="0.3">
      <c r="E65" t="s">
        <v>85</v>
      </c>
      <c r="F65" t="s">
        <v>90</v>
      </c>
      <c r="G65" t="s">
        <v>85</v>
      </c>
      <c r="H65" t="s">
        <v>73</v>
      </c>
      <c r="I65">
        <v>345</v>
      </c>
      <c r="J65" s="13">
        <v>1.1000000000000001</v>
      </c>
      <c r="K65">
        <v>379.50000000000006</v>
      </c>
      <c r="L65">
        <v>0.8</v>
      </c>
      <c r="M65">
        <v>103.50000000000006</v>
      </c>
      <c r="N65" s="1">
        <v>43674</v>
      </c>
    </row>
    <row r="66" spans="5:14" x14ac:dyDescent="0.3">
      <c r="E66" t="s">
        <v>76</v>
      </c>
      <c r="F66" t="s">
        <v>90</v>
      </c>
      <c r="G66" t="s">
        <v>98</v>
      </c>
      <c r="H66" t="s">
        <v>73</v>
      </c>
      <c r="I66">
        <v>606</v>
      </c>
      <c r="J66" s="13">
        <v>0.9</v>
      </c>
      <c r="K66">
        <v>545.4</v>
      </c>
      <c r="L66">
        <v>0.7</v>
      </c>
      <c r="M66">
        <v>121.19999999999999</v>
      </c>
      <c r="N66" s="1">
        <v>43507</v>
      </c>
    </row>
    <row r="67" spans="5:14" x14ac:dyDescent="0.3">
      <c r="E67" t="s">
        <v>80</v>
      </c>
      <c r="F67" t="s">
        <v>97</v>
      </c>
      <c r="G67" t="s">
        <v>96</v>
      </c>
      <c r="H67" t="s">
        <v>73</v>
      </c>
      <c r="I67">
        <v>629</v>
      </c>
      <c r="J67" s="13">
        <v>0.85</v>
      </c>
      <c r="K67">
        <v>534.65</v>
      </c>
      <c r="L67">
        <v>0.67</v>
      </c>
      <c r="M67">
        <v>113.21999999999997</v>
      </c>
      <c r="N67" s="1">
        <v>44097</v>
      </c>
    </row>
    <row r="68" spans="5:14" x14ac:dyDescent="0.3">
      <c r="E68" t="s">
        <v>80</v>
      </c>
      <c r="F68" t="s">
        <v>95</v>
      </c>
      <c r="G68" t="s">
        <v>94</v>
      </c>
      <c r="H68" t="s">
        <v>73</v>
      </c>
      <c r="I68">
        <v>845</v>
      </c>
      <c r="J68" s="13">
        <v>0.85</v>
      </c>
      <c r="K68">
        <v>718.25</v>
      </c>
      <c r="L68">
        <v>0.67</v>
      </c>
      <c r="M68">
        <v>152.10000000000002</v>
      </c>
      <c r="N68" s="1">
        <v>44048</v>
      </c>
    </row>
    <row r="69" spans="5:14" x14ac:dyDescent="0.3">
      <c r="E69" t="s">
        <v>85</v>
      </c>
      <c r="F69" t="s">
        <v>71</v>
      </c>
      <c r="G69" t="s">
        <v>92</v>
      </c>
      <c r="H69" t="s">
        <v>102</v>
      </c>
      <c r="I69">
        <v>322</v>
      </c>
      <c r="J69" s="13">
        <v>1.1000000000000001</v>
      </c>
      <c r="K69">
        <v>354.20000000000005</v>
      </c>
      <c r="L69">
        <v>0.8</v>
      </c>
      <c r="M69">
        <v>96.600000000000023</v>
      </c>
      <c r="N69" s="1">
        <v>43981</v>
      </c>
    </row>
    <row r="70" spans="5:14" x14ac:dyDescent="0.3">
      <c r="E70" t="s">
        <v>85</v>
      </c>
      <c r="F70" t="s">
        <v>71</v>
      </c>
      <c r="G70" t="s">
        <v>70</v>
      </c>
      <c r="H70" t="s">
        <v>77</v>
      </c>
      <c r="I70">
        <v>215</v>
      </c>
      <c r="J70" s="13">
        <v>1.1000000000000001</v>
      </c>
      <c r="K70">
        <v>236.50000000000003</v>
      </c>
      <c r="L70">
        <v>0.8</v>
      </c>
      <c r="M70">
        <v>64.500000000000028</v>
      </c>
      <c r="N70" s="1">
        <v>43525</v>
      </c>
    </row>
    <row r="71" spans="5:14" x14ac:dyDescent="0.3">
      <c r="E71" t="s">
        <v>72</v>
      </c>
      <c r="F71" t="s">
        <v>75</v>
      </c>
      <c r="G71" t="s">
        <v>91</v>
      </c>
      <c r="H71" t="s">
        <v>77</v>
      </c>
      <c r="I71">
        <v>478</v>
      </c>
      <c r="J71" s="13">
        <v>0.8</v>
      </c>
      <c r="K71">
        <v>382.40000000000003</v>
      </c>
      <c r="L71">
        <v>0.69</v>
      </c>
      <c r="M71">
        <v>52.580000000000041</v>
      </c>
      <c r="N71" s="1">
        <v>44014</v>
      </c>
    </row>
    <row r="72" spans="5:14" x14ac:dyDescent="0.3">
      <c r="E72" t="s">
        <v>85</v>
      </c>
      <c r="F72" t="s">
        <v>90</v>
      </c>
      <c r="G72" t="s">
        <v>89</v>
      </c>
      <c r="H72" t="s">
        <v>77</v>
      </c>
      <c r="I72">
        <v>710</v>
      </c>
      <c r="J72" s="13">
        <v>1.1000000000000001</v>
      </c>
      <c r="K72">
        <v>781.00000000000011</v>
      </c>
      <c r="L72">
        <v>0.8</v>
      </c>
      <c r="M72">
        <v>213.00000000000011</v>
      </c>
      <c r="N72" s="1">
        <v>43946</v>
      </c>
    </row>
    <row r="73" spans="5:14" x14ac:dyDescent="0.3">
      <c r="E73" t="s">
        <v>76</v>
      </c>
      <c r="F73" t="s">
        <v>71</v>
      </c>
      <c r="G73" t="s">
        <v>88</v>
      </c>
      <c r="H73" t="s">
        <v>77</v>
      </c>
      <c r="I73">
        <v>555</v>
      </c>
      <c r="J73" s="13">
        <v>0.9</v>
      </c>
      <c r="K73">
        <v>499.5</v>
      </c>
      <c r="L73">
        <v>0.7</v>
      </c>
      <c r="M73">
        <v>111</v>
      </c>
      <c r="N73" s="1">
        <v>43736</v>
      </c>
    </row>
    <row r="74" spans="5:14" x14ac:dyDescent="0.3">
      <c r="E74" t="s">
        <v>85</v>
      </c>
      <c r="F74" t="s">
        <v>87</v>
      </c>
      <c r="G74" t="s">
        <v>86</v>
      </c>
      <c r="H74" t="s">
        <v>73</v>
      </c>
      <c r="I74">
        <v>414</v>
      </c>
      <c r="J74" s="13">
        <v>1.1000000000000001</v>
      </c>
      <c r="K74">
        <v>455.40000000000003</v>
      </c>
      <c r="L74">
        <v>0.8</v>
      </c>
      <c r="M74">
        <v>124.19999999999999</v>
      </c>
      <c r="N74" s="1">
        <v>43860</v>
      </c>
    </row>
    <row r="75" spans="5:14" x14ac:dyDescent="0.3">
      <c r="E75" t="s">
        <v>80</v>
      </c>
      <c r="F75" t="s">
        <v>75</v>
      </c>
      <c r="G75" t="s">
        <v>84</v>
      </c>
      <c r="H75" t="s">
        <v>77</v>
      </c>
      <c r="I75">
        <v>856</v>
      </c>
      <c r="J75" s="13">
        <v>0.85</v>
      </c>
      <c r="K75">
        <v>727.6</v>
      </c>
      <c r="L75">
        <v>0.67</v>
      </c>
      <c r="M75">
        <v>154.08000000000004</v>
      </c>
      <c r="N75" s="1">
        <v>43921</v>
      </c>
    </row>
    <row r="76" spans="5:14" x14ac:dyDescent="0.3">
      <c r="E76" t="s">
        <v>80</v>
      </c>
      <c r="F76" t="s">
        <v>83</v>
      </c>
      <c r="G76" t="s">
        <v>82</v>
      </c>
      <c r="H76" t="s">
        <v>73</v>
      </c>
      <c r="I76">
        <v>616</v>
      </c>
      <c r="J76" s="13">
        <v>0.85</v>
      </c>
      <c r="K76">
        <v>523.6</v>
      </c>
      <c r="L76">
        <v>0.67</v>
      </c>
      <c r="M76">
        <v>110.88</v>
      </c>
      <c r="N76" s="1">
        <v>44023</v>
      </c>
    </row>
    <row r="77" spans="5:14" x14ac:dyDescent="0.3">
      <c r="E77" t="s">
        <v>72</v>
      </c>
      <c r="F77" t="s">
        <v>79</v>
      </c>
      <c r="G77" t="s">
        <v>78</v>
      </c>
      <c r="H77" t="s">
        <v>77</v>
      </c>
      <c r="I77">
        <v>741</v>
      </c>
      <c r="J77" s="13">
        <v>0.8</v>
      </c>
      <c r="K77">
        <v>592.80000000000007</v>
      </c>
      <c r="L77">
        <v>0.69</v>
      </c>
      <c r="M77">
        <v>81.510000000000105</v>
      </c>
      <c r="N77" s="1">
        <v>43702</v>
      </c>
    </row>
    <row r="78" spans="5:14" x14ac:dyDescent="0.3">
      <c r="E78" t="s">
        <v>85</v>
      </c>
      <c r="F78" t="s">
        <v>75</v>
      </c>
      <c r="G78" t="s">
        <v>74</v>
      </c>
      <c r="H78" t="s">
        <v>102</v>
      </c>
      <c r="I78">
        <v>199</v>
      </c>
      <c r="J78" s="13">
        <v>1.1000000000000001</v>
      </c>
      <c r="K78">
        <v>218.9</v>
      </c>
      <c r="L78">
        <v>0.8</v>
      </c>
      <c r="M78">
        <v>59.699999999999989</v>
      </c>
      <c r="N78" s="1">
        <v>43983</v>
      </c>
    </row>
    <row r="79" spans="5:14" x14ac:dyDescent="0.3">
      <c r="E79" t="s">
        <v>80</v>
      </c>
      <c r="F79" t="s">
        <v>71</v>
      </c>
      <c r="G79" t="s">
        <v>70</v>
      </c>
      <c r="H79" t="s">
        <v>69</v>
      </c>
      <c r="I79">
        <v>171</v>
      </c>
      <c r="J79" s="13">
        <v>0.85</v>
      </c>
      <c r="K79">
        <v>145.35</v>
      </c>
      <c r="L79">
        <v>0.67</v>
      </c>
      <c r="M79">
        <v>30.779999999999987</v>
      </c>
      <c r="N79" s="1">
        <v>43680</v>
      </c>
    </row>
    <row r="80" spans="5:14" x14ac:dyDescent="0.3">
      <c r="E80" t="s">
        <v>85</v>
      </c>
      <c r="F80" t="s">
        <v>90</v>
      </c>
      <c r="G80" t="s">
        <v>89</v>
      </c>
      <c r="H80" t="s">
        <v>69</v>
      </c>
      <c r="I80">
        <v>496</v>
      </c>
      <c r="J80" s="13">
        <v>1.1000000000000001</v>
      </c>
      <c r="K80">
        <v>545.6</v>
      </c>
      <c r="L80">
        <v>0.8</v>
      </c>
      <c r="M80">
        <v>148.80000000000001</v>
      </c>
      <c r="N80" s="1">
        <v>44061</v>
      </c>
    </row>
    <row r="81" spans="5:14" x14ac:dyDescent="0.3">
      <c r="E81" t="s">
        <v>85</v>
      </c>
      <c r="F81" t="s">
        <v>75</v>
      </c>
      <c r="G81" t="s">
        <v>84</v>
      </c>
      <c r="H81" t="s">
        <v>69</v>
      </c>
      <c r="I81">
        <v>642</v>
      </c>
      <c r="J81" s="13">
        <v>1.1000000000000001</v>
      </c>
      <c r="K81">
        <v>706.2</v>
      </c>
      <c r="L81">
        <v>0.8</v>
      </c>
      <c r="M81">
        <v>192.60000000000002</v>
      </c>
      <c r="N81" s="1">
        <v>43986</v>
      </c>
    </row>
    <row r="82" spans="5:14" x14ac:dyDescent="0.3">
      <c r="E82" t="s">
        <v>76</v>
      </c>
      <c r="F82" t="s">
        <v>75</v>
      </c>
      <c r="G82" t="s">
        <v>91</v>
      </c>
      <c r="H82" t="s">
        <v>102</v>
      </c>
      <c r="I82">
        <v>301</v>
      </c>
      <c r="J82" s="13">
        <v>0.9</v>
      </c>
      <c r="K82">
        <v>270.90000000000003</v>
      </c>
      <c r="L82">
        <v>0.7</v>
      </c>
      <c r="M82">
        <v>60.200000000000045</v>
      </c>
      <c r="N82" s="1">
        <v>43577</v>
      </c>
    </row>
    <row r="83" spans="5:14" x14ac:dyDescent="0.3">
      <c r="E83" t="s">
        <v>80</v>
      </c>
      <c r="F83" t="s">
        <v>79</v>
      </c>
      <c r="G83" t="s">
        <v>78</v>
      </c>
      <c r="H83" t="s">
        <v>69</v>
      </c>
      <c r="I83">
        <v>237</v>
      </c>
      <c r="J83" s="13">
        <v>0.85</v>
      </c>
      <c r="K83">
        <v>201.45</v>
      </c>
      <c r="L83">
        <v>0.67</v>
      </c>
      <c r="M83">
        <v>42.659999999999968</v>
      </c>
      <c r="N83" s="1">
        <v>44094</v>
      </c>
    </row>
    <row r="84" spans="5:14" x14ac:dyDescent="0.3">
      <c r="E84" t="s">
        <v>80</v>
      </c>
      <c r="F84" t="s">
        <v>71</v>
      </c>
      <c r="G84" t="s">
        <v>88</v>
      </c>
      <c r="H84" t="s">
        <v>102</v>
      </c>
      <c r="I84">
        <v>671</v>
      </c>
      <c r="J84" s="13">
        <v>0.85</v>
      </c>
      <c r="K84">
        <v>570.35</v>
      </c>
      <c r="L84">
        <v>0.67</v>
      </c>
      <c r="M84">
        <v>120.77999999999997</v>
      </c>
      <c r="N84" s="1">
        <v>43640</v>
      </c>
    </row>
    <row r="85" spans="5:14" x14ac:dyDescent="0.3">
      <c r="E85" t="s">
        <v>80</v>
      </c>
      <c r="F85" t="s">
        <v>90</v>
      </c>
      <c r="G85" t="s">
        <v>85</v>
      </c>
      <c r="H85" t="s">
        <v>81</v>
      </c>
      <c r="I85">
        <v>187</v>
      </c>
      <c r="J85" s="13">
        <v>0.85</v>
      </c>
      <c r="K85">
        <v>158.94999999999999</v>
      </c>
      <c r="L85">
        <v>0.67</v>
      </c>
      <c r="M85">
        <v>33.659999999999982</v>
      </c>
      <c r="N85" s="1">
        <v>44024</v>
      </c>
    </row>
    <row r="86" spans="5:14" x14ac:dyDescent="0.3">
      <c r="E86" t="s">
        <v>80</v>
      </c>
      <c r="F86" t="s">
        <v>90</v>
      </c>
      <c r="G86" t="s">
        <v>98</v>
      </c>
      <c r="H86" t="s">
        <v>81</v>
      </c>
      <c r="I86">
        <v>574</v>
      </c>
      <c r="J86" s="13">
        <v>0.85</v>
      </c>
      <c r="K86">
        <v>487.9</v>
      </c>
      <c r="L86">
        <v>0.67</v>
      </c>
      <c r="M86">
        <v>103.31999999999994</v>
      </c>
      <c r="N86" s="1">
        <v>43604</v>
      </c>
    </row>
    <row r="87" spans="5:14" x14ac:dyDescent="0.3">
      <c r="E87" t="s">
        <v>76</v>
      </c>
      <c r="F87" t="s">
        <v>97</v>
      </c>
      <c r="G87" t="s">
        <v>96</v>
      </c>
      <c r="H87" t="s">
        <v>81</v>
      </c>
      <c r="I87">
        <v>287</v>
      </c>
      <c r="J87" s="13">
        <v>0.9</v>
      </c>
      <c r="K87">
        <v>258.3</v>
      </c>
      <c r="L87">
        <v>0.7</v>
      </c>
      <c r="M87">
        <v>57.400000000000034</v>
      </c>
      <c r="N87" s="1">
        <v>43590</v>
      </c>
    </row>
    <row r="88" spans="5:14" x14ac:dyDescent="0.3">
      <c r="E88" t="s">
        <v>72</v>
      </c>
      <c r="F88" t="s">
        <v>95</v>
      </c>
      <c r="G88" t="s">
        <v>94</v>
      </c>
      <c r="H88" t="s">
        <v>81</v>
      </c>
      <c r="I88">
        <v>376</v>
      </c>
      <c r="J88" s="13">
        <v>0.8</v>
      </c>
      <c r="K88">
        <v>300.8</v>
      </c>
      <c r="L88">
        <v>0.69</v>
      </c>
      <c r="M88">
        <v>41.360000000000014</v>
      </c>
      <c r="N88" s="1">
        <v>43759</v>
      </c>
    </row>
    <row r="89" spans="5:14" x14ac:dyDescent="0.3">
      <c r="E89" t="s">
        <v>80</v>
      </c>
      <c r="F89" t="s">
        <v>71</v>
      </c>
      <c r="G89" t="s">
        <v>92</v>
      </c>
      <c r="H89" t="s">
        <v>73</v>
      </c>
      <c r="I89">
        <v>428</v>
      </c>
      <c r="J89" s="13">
        <v>0.85</v>
      </c>
      <c r="K89">
        <v>363.8</v>
      </c>
      <c r="L89">
        <v>0.67</v>
      </c>
      <c r="M89">
        <v>77.04000000000002</v>
      </c>
      <c r="N89" s="1">
        <v>43474</v>
      </c>
    </row>
    <row r="90" spans="5:14" x14ac:dyDescent="0.3">
      <c r="E90" t="s">
        <v>76</v>
      </c>
      <c r="F90" t="s">
        <v>71</v>
      </c>
      <c r="G90" t="s">
        <v>70</v>
      </c>
      <c r="H90" t="s">
        <v>77</v>
      </c>
      <c r="I90">
        <v>850</v>
      </c>
      <c r="J90" s="13">
        <v>0.9</v>
      </c>
      <c r="K90">
        <v>765</v>
      </c>
      <c r="L90">
        <v>0.7</v>
      </c>
      <c r="M90">
        <v>170</v>
      </c>
      <c r="N90" s="1">
        <v>43973</v>
      </c>
    </row>
    <row r="91" spans="5:14" x14ac:dyDescent="0.3">
      <c r="E91" t="s">
        <v>80</v>
      </c>
      <c r="F91" t="s">
        <v>90</v>
      </c>
      <c r="G91" t="s">
        <v>89</v>
      </c>
      <c r="H91" t="s">
        <v>77</v>
      </c>
      <c r="I91">
        <v>637</v>
      </c>
      <c r="J91" s="13">
        <v>0.85</v>
      </c>
      <c r="K91">
        <v>541.44999999999993</v>
      </c>
      <c r="L91">
        <v>0.67</v>
      </c>
      <c r="M91">
        <v>114.65999999999991</v>
      </c>
      <c r="N91" s="1">
        <v>43628</v>
      </c>
    </row>
    <row r="92" spans="5:14" x14ac:dyDescent="0.3">
      <c r="E92" t="s">
        <v>85</v>
      </c>
      <c r="F92" t="s">
        <v>87</v>
      </c>
      <c r="G92" t="s">
        <v>86</v>
      </c>
      <c r="H92" t="s">
        <v>81</v>
      </c>
      <c r="I92">
        <v>684</v>
      </c>
      <c r="J92" s="13">
        <v>1.1000000000000001</v>
      </c>
      <c r="K92">
        <v>752.40000000000009</v>
      </c>
      <c r="L92">
        <v>0.8</v>
      </c>
      <c r="M92">
        <v>205.20000000000005</v>
      </c>
      <c r="N92" s="1">
        <v>43762</v>
      </c>
    </row>
    <row r="93" spans="5:14" x14ac:dyDescent="0.3">
      <c r="E93" t="s">
        <v>85</v>
      </c>
      <c r="F93" t="s">
        <v>83</v>
      </c>
      <c r="G93" t="s">
        <v>82</v>
      </c>
      <c r="H93" t="s">
        <v>81</v>
      </c>
      <c r="I93">
        <v>101</v>
      </c>
      <c r="J93" s="13">
        <v>1.1000000000000001</v>
      </c>
      <c r="K93">
        <v>111.10000000000001</v>
      </c>
      <c r="L93">
        <v>0.8</v>
      </c>
      <c r="M93">
        <v>30.299999999999997</v>
      </c>
      <c r="N93" s="1">
        <v>43536</v>
      </c>
    </row>
    <row r="94" spans="5:14" x14ac:dyDescent="0.3">
      <c r="E94" t="s">
        <v>85</v>
      </c>
      <c r="F94" t="s">
        <v>75</v>
      </c>
      <c r="G94" t="s">
        <v>74</v>
      </c>
      <c r="H94" t="s">
        <v>73</v>
      </c>
      <c r="I94">
        <v>779</v>
      </c>
      <c r="J94" s="13">
        <v>1.1000000000000001</v>
      </c>
      <c r="K94">
        <v>856.90000000000009</v>
      </c>
      <c r="L94">
        <v>0.8</v>
      </c>
      <c r="M94">
        <v>233.70000000000005</v>
      </c>
      <c r="N94" s="1">
        <v>43775</v>
      </c>
    </row>
    <row r="95" spans="5:14" x14ac:dyDescent="0.3">
      <c r="E95" t="s">
        <v>80</v>
      </c>
      <c r="F95" t="s">
        <v>90</v>
      </c>
      <c r="G95" t="s">
        <v>101</v>
      </c>
      <c r="H95" t="s">
        <v>69</v>
      </c>
      <c r="I95">
        <v>318</v>
      </c>
      <c r="J95" s="13">
        <v>0.85</v>
      </c>
      <c r="K95">
        <v>270.3</v>
      </c>
      <c r="L95">
        <v>0.67</v>
      </c>
      <c r="M95">
        <v>57.240000000000009</v>
      </c>
      <c r="N95" s="1">
        <v>44078</v>
      </c>
    </row>
    <row r="96" spans="5:14" x14ac:dyDescent="0.3">
      <c r="E96" t="s">
        <v>85</v>
      </c>
      <c r="F96" t="s">
        <v>83</v>
      </c>
      <c r="G96" t="s">
        <v>100</v>
      </c>
      <c r="H96" t="s">
        <v>69</v>
      </c>
      <c r="I96">
        <v>250</v>
      </c>
      <c r="J96" s="13">
        <v>1.1000000000000001</v>
      </c>
      <c r="K96">
        <v>275</v>
      </c>
      <c r="L96">
        <v>0.8</v>
      </c>
      <c r="M96">
        <v>75</v>
      </c>
      <c r="N96" s="1">
        <v>43928</v>
      </c>
    </row>
    <row r="97" spans="5:14" x14ac:dyDescent="0.3">
      <c r="E97" t="s">
        <v>80</v>
      </c>
      <c r="F97" t="s">
        <v>95</v>
      </c>
      <c r="G97" t="s">
        <v>99</v>
      </c>
      <c r="H97" t="s">
        <v>77</v>
      </c>
      <c r="I97">
        <v>903</v>
      </c>
      <c r="J97" s="13">
        <v>0.85</v>
      </c>
      <c r="K97">
        <v>767.55</v>
      </c>
      <c r="L97">
        <v>0.67</v>
      </c>
      <c r="M97">
        <v>162.53999999999996</v>
      </c>
      <c r="N97" s="1">
        <v>43929</v>
      </c>
    </row>
    <row r="98" spans="5:14" x14ac:dyDescent="0.3">
      <c r="E98" t="s">
        <v>85</v>
      </c>
      <c r="F98" t="s">
        <v>75</v>
      </c>
      <c r="G98" t="s">
        <v>84</v>
      </c>
      <c r="H98" t="s">
        <v>77</v>
      </c>
      <c r="I98">
        <v>906</v>
      </c>
      <c r="J98" s="13">
        <v>1.1000000000000001</v>
      </c>
      <c r="K98">
        <v>996.60000000000014</v>
      </c>
      <c r="L98">
        <v>0.8</v>
      </c>
      <c r="M98">
        <v>271.80000000000007</v>
      </c>
      <c r="N98" s="1">
        <v>43584</v>
      </c>
    </row>
    <row r="99" spans="5:14" x14ac:dyDescent="0.3">
      <c r="E99" t="s">
        <v>85</v>
      </c>
      <c r="F99" t="s">
        <v>79</v>
      </c>
      <c r="G99" t="s">
        <v>78</v>
      </c>
      <c r="H99" t="s">
        <v>77</v>
      </c>
      <c r="I99">
        <v>981</v>
      </c>
      <c r="J99" s="13">
        <v>1.1000000000000001</v>
      </c>
      <c r="K99">
        <v>1079.1000000000001</v>
      </c>
      <c r="L99">
        <v>0.8</v>
      </c>
      <c r="M99">
        <v>294.30000000000007</v>
      </c>
      <c r="N99" s="1">
        <v>43924</v>
      </c>
    </row>
    <row r="100" spans="5:14" x14ac:dyDescent="0.3">
      <c r="E100" t="s">
        <v>80</v>
      </c>
      <c r="F100" t="s">
        <v>71</v>
      </c>
      <c r="G100" t="s">
        <v>70</v>
      </c>
      <c r="H100" t="s">
        <v>69</v>
      </c>
      <c r="I100">
        <v>518</v>
      </c>
      <c r="J100" s="13">
        <v>0.85</v>
      </c>
      <c r="K100">
        <v>440.3</v>
      </c>
      <c r="L100">
        <v>0.67</v>
      </c>
      <c r="M100">
        <v>93.240000000000009</v>
      </c>
      <c r="N100" s="1">
        <v>44000</v>
      </c>
    </row>
    <row r="101" spans="5:14" x14ac:dyDescent="0.3">
      <c r="E101" t="s">
        <v>72</v>
      </c>
      <c r="F101" t="s">
        <v>75</v>
      </c>
      <c r="G101" t="s">
        <v>91</v>
      </c>
      <c r="H101" t="s">
        <v>69</v>
      </c>
      <c r="I101">
        <v>752</v>
      </c>
      <c r="J101" s="13">
        <v>0.8</v>
      </c>
      <c r="K101">
        <v>601.6</v>
      </c>
      <c r="L101">
        <v>0.69</v>
      </c>
      <c r="M101">
        <v>82.720000000000027</v>
      </c>
      <c r="N101" s="1">
        <v>44067</v>
      </c>
    </row>
    <row r="102" spans="5:14" x14ac:dyDescent="0.3">
      <c r="E102" t="s">
        <v>76</v>
      </c>
      <c r="F102" t="s">
        <v>90</v>
      </c>
      <c r="G102" t="s">
        <v>89</v>
      </c>
      <c r="H102" t="s">
        <v>69</v>
      </c>
      <c r="I102">
        <v>926</v>
      </c>
      <c r="J102" s="13">
        <v>0.9</v>
      </c>
      <c r="K102">
        <v>833.4</v>
      </c>
      <c r="L102">
        <v>0.7</v>
      </c>
      <c r="M102">
        <v>185.20000000000005</v>
      </c>
      <c r="N102" s="1">
        <v>43692</v>
      </c>
    </row>
    <row r="103" spans="5:14" x14ac:dyDescent="0.3">
      <c r="E103" t="s">
        <v>72</v>
      </c>
      <c r="F103" t="s">
        <v>71</v>
      </c>
      <c r="G103" t="s">
        <v>88</v>
      </c>
      <c r="H103" t="s">
        <v>69</v>
      </c>
      <c r="I103">
        <v>255</v>
      </c>
      <c r="J103" s="13">
        <v>0.8</v>
      </c>
      <c r="K103">
        <v>204</v>
      </c>
      <c r="L103">
        <v>0.69</v>
      </c>
      <c r="M103">
        <v>28.050000000000011</v>
      </c>
      <c r="N103" s="1">
        <v>43619</v>
      </c>
    </row>
    <row r="104" spans="5:14" x14ac:dyDescent="0.3">
      <c r="E104" t="s">
        <v>76</v>
      </c>
      <c r="F104" t="s">
        <v>90</v>
      </c>
      <c r="G104" t="s">
        <v>85</v>
      </c>
      <c r="H104" t="s">
        <v>69</v>
      </c>
      <c r="I104">
        <v>790</v>
      </c>
      <c r="J104" s="13">
        <v>0.9</v>
      </c>
      <c r="K104">
        <v>711</v>
      </c>
      <c r="L104">
        <v>0.7</v>
      </c>
      <c r="M104">
        <v>158</v>
      </c>
      <c r="N104" s="1">
        <v>44100</v>
      </c>
    </row>
    <row r="105" spans="5:14" x14ac:dyDescent="0.3">
      <c r="E105" t="s">
        <v>72</v>
      </c>
      <c r="F105" t="s">
        <v>90</v>
      </c>
      <c r="G105" t="s">
        <v>98</v>
      </c>
      <c r="H105" t="s">
        <v>106</v>
      </c>
      <c r="I105">
        <v>374</v>
      </c>
      <c r="J105" s="13">
        <v>0.8</v>
      </c>
      <c r="K105">
        <v>299.2</v>
      </c>
      <c r="L105">
        <v>0.69</v>
      </c>
      <c r="M105">
        <v>41.139999999999986</v>
      </c>
      <c r="N105" s="1">
        <v>43588</v>
      </c>
    </row>
    <row r="106" spans="5:14" x14ac:dyDescent="0.3">
      <c r="E106" t="s">
        <v>80</v>
      </c>
      <c r="F106" t="s">
        <v>97</v>
      </c>
      <c r="G106" t="s">
        <v>96</v>
      </c>
      <c r="H106" t="s">
        <v>69</v>
      </c>
      <c r="I106">
        <v>850</v>
      </c>
      <c r="J106" s="13">
        <v>0.85</v>
      </c>
      <c r="K106">
        <v>722.5</v>
      </c>
      <c r="L106">
        <v>0.67</v>
      </c>
      <c r="M106">
        <v>153</v>
      </c>
      <c r="N106" s="1">
        <v>44080</v>
      </c>
    </row>
    <row r="107" spans="5:14" x14ac:dyDescent="0.3">
      <c r="E107" t="s">
        <v>76</v>
      </c>
      <c r="F107" t="s">
        <v>95</v>
      </c>
      <c r="G107" t="s">
        <v>94</v>
      </c>
      <c r="H107" t="s">
        <v>106</v>
      </c>
      <c r="I107">
        <v>663</v>
      </c>
      <c r="J107" s="13">
        <v>0.9</v>
      </c>
      <c r="K107">
        <v>596.70000000000005</v>
      </c>
      <c r="L107">
        <v>0.7</v>
      </c>
      <c r="M107">
        <v>132.60000000000008</v>
      </c>
      <c r="N107" s="1">
        <v>43482</v>
      </c>
    </row>
    <row r="108" spans="5:14" x14ac:dyDescent="0.3">
      <c r="E108" t="s">
        <v>76</v>
      </c>
      <c r="F108" t="s">
        <v>71</v>
      </c>
      <c r="G108" t="s">
        <v>92</v>
      </c>
      <c r="H108" t="s">
        <v>81</v>
      </c>
      <c r="I108">
        <v>744</v>
      </c>
      <c r="J108" s="13">
        <v>0.9</v>
      </c>
      <c r="K108">
        <v>669.6</v>
      </c>
      <c r="L108">
        <v>0.7</v>
      </c>
      <c r="M108">
        <v>148.80000000000007</v>
      </c>
      <c r="N108" s="1">
        <v>43859</v>
      </c>
    </row>
    <row r="109" spans="5:14" x14ac:dyDescent="0.3">
      <c r="E109" t="s">
        <v>80</v>
      </c>
      <c r="F109" t="s">
        <v>75</v>
      </c>
      <c r="G109" t="s">
        <v>84</v>
      </c>
      <c r="H109" t="s">
        <v>69</v>
      </c>
      <c r="I109">
        <v>817</v>
      </c>
      <c r="J109" s="13">
        <v>0.85</v>
      </c>
      <c r="K109">
        <v>694.44999999999993</v>
      </c>
      <c r="L109">
        <v>0.67</v>
      </c>
      <c r="M109">
        <v>147.05999999999995</v>
      </c>
      <c r="N109" s="1">
        <v>43638</v>
      </c>
    </row>
    <row r="110" spans="5:14" x14ac:dyDescent="0.3">
      <c r="E110" t="s">
        <v>72</v>
      </c>
      <c r="F110" t="s">
        <v>71</v>
      </c>
      <c r="G110" t="s">
        <v>70</v>
      </c>
      <c r="H110" t="s">
        <v>77</v>
      </c>
      <c r="I110">
        <v>962</v>
      </c>
      <c r="J110" s="13">
        <v>0.8</v>
      </c>
      <c r="K110">
        <v>769.6</v>
      </c>
      <c r="L110">
        <v>0.69</v>
      </c>
      <c r="M110">
        <v>105.82000000000005</v>
      </c>
      <c r="N110" s="1">
        <v>43768</v>
      </c>
    </row>
    <row r="111" spans="5:14" x14ac:dyDescent="0.3">
      <c r="E111" t="s">
        <v>85</v>
      </c>
      <c r="F111" t="s">
        <v>79</v>
      </c>
      <c r="G111" t="s">
        <v>78</v>
      </c>
      <c r="H111" t="s">
        <v>69</v>
      </c>
      <c r="I111">
        <v>552</v>
      </c>
      <c r="J111" s="13">
        <v>1.1000000000000001</v>
      </c>
      <c r="K111">
        <v>607.20000000000005</v>
      </c>
      <c r="L111">
        <v>0.8</v>
      </c>
      <c r="M111">
        <v>165.60000000000002</v>
      </c>
      <c r="N111" s="1">
        <v>44104</v>
      </c>
    </row>
    <row r="112" spans="5:14" x14ac:dyDescent="0.3">
      <c r="E112" t="s">
        <v>80</v>
      </c>
      <c r="F112" t="s">
        <v>90</v>
      </c>
      <c r="G112" t="s">
        <v>89</v>
      </c>
      <c r="H112" t="s">
        <v>77</v>
      </c>
      <c r="I112">
        <v>429</v>
      </c>
      <c r="J112" s="13">
        <v>0.85</v>
      </c>
      <c r="K112">
        <v>364.65</v>
      </c>
      <c r="L112">
        <v>0.67</v>
      </c>
      <c r="M112">
        <v>77.21999999999997</v>
      </c>
      <c r="N112" s="1">
        <v>43973</v>
      </c>
    </row>
    <row r="113" spans="5:14" x14ac:dyDescent="0.3">
      <c r="E113" t="s">
        <v>80</v>
      </c>
      <c r="F113" t="s">
        <v>87</v>
      </c>
      <c r="G113" t="s">
        <v>86</v>
      </c>
      <c r="H113" t="s">
        <v>69</v>
      </c>
      <c r="I113">
        <v>577</v>
      </c>
      <c r="J113" s="13">
        <v>0.85</v>
      </c>
      <c r="K113">
        <v>490.45</v>
      </c>
      <c r="L113">
        <v>0.67</v>
      </c>
      <c r="M113">
        <v>103.85999999999996</v>
      </c>
      <c r="N113" s="1">
        <v>44017</v>
      </c>
    </row>
    <row r="114" spans="5:14" x14ac:dyDescent="0.3">
      <c r="E114" t="s">
        <v>85</v>
      </c>
      <c r="F114" t="s">
        <v>83</v>
      </c>
      <c r="G114" t="s">
        <v>82</v>
      </c>
      <c r="H114" t="s">
        <v>69</v>
      </c>
      <c r="I114">
        <v>886</v>
      </c>
      <c r="J114" s="13">
        <v>1.1000000000000001</v>
      </c>
      <c r="K114">
        <v>974.6</v>
      </c>
      <c r="L114">
        <v>0.8</v>
      </c>
      <c r="M114">
        <v>265.79999999999995</v>
      </c>
      <c r="N114" s="1">
        <v>43991</v>
      </c>
    </row>
    <row r="115" spans="5:14" x14ac:dyDescent="0.3">
      <c r="E115" t="s">
        <v>80</v>
      </c>
      <c r="F115" t="s">
        <v>75</v>
      </c>
      <c r="G115" t="s">
        <v>74</v>
      </c>
      <c r="H115" t="s">
        <v>81</v>
      </c>
      <c r="I115">
        <v>845</v>
      </c>
      <c r="J115" s="13">
        <v>0.85</v>
      </c>
      <c r="K115">
        <v>718.25</v>
      </c>
      <c r="L115">
        <v>0.67</v>
      </c>
      <c r="M115">
        <v>152.10000000000002</v>
      </c>
      <c r="N115" s="1">
        <v>44008</v>
      </c>
    </row>
    <row r="116" spans="5:14" x14ac:dyDescent="0.3">
      <c r="E116" t="s">
        <v>80</v>
      </c>
      <c r="F116" t="s">
        <v>75</v>
      </c>
      <c r="G116" t="s">
        <v>91</v>
      </c>
      <c r="H116" t="s">
        <v>77</v>
      </c>
      <c r="I116">
        <v>238</v>
      </c>
      <c r="J116" s="13">
        <v>0.85</v>
      </c>
      <c r="K116">
        <v>202.29999999999998</v>
      </c>
      <c r="L116">
        <v>0.67</v>
      </c>
      <c r="M116">
        <v>42.839999999999975</v>
      </c>
      <c r="N116" s="1">
        <v>43969</v>
      </c>
    </row>
    <row r="117" spans="5:14" x14ac:dyDescent="0.3">
      <c r="E117" t="s">
        <v>76</v>
      </c>
      <c r="F117" t="s">
        <v>71</v>
      </c>
      <c r="G117" t="s">
        <v>88</v>
      </c>
      <c r="H117" t="s">
        <v>77</v>
      </c>
      <c r="I117">
        <v>390</v>
      </c>
      <c r="J117" s="13">
        <v>0.9</v>
      </c>
      <c r="K117">
        <v>351</v>
      </c>
      <c r="L117">
        <v>0.7</v>
      </c>
      <c r="M117">
        <v>78</v>
      </c>
      <c r="N117" s="1">
        <v>43866</v>
      </c>
    </row>
    <row r="118" spans="5:14" x14ac:dyDescent="0.3">
      <c r="E118" t="s">
        <v>76</v>
      </c>
      <c r="F118" t="s">
        <v>71</v>
      </c>
      <c r="G118" t="s">
        <v>70</v>
      </c>
      <c r="H118" t="s">
        <v>69</v>
      </c>
      <c r="I118">
        <v>483</v>
      </c>
      <c r="J118" s="13">
        <v>0.9</v>
      </c>
      <c r="K118">
        <v>434.7</v>
      </c>
      <c r="L118">
        <v>0.7</v>
      </c>
      <c r="M118">
        <v>96.600000000000023</v>
      </c>
      <c r="N118" s="1">
        <v>44094</v>
      </c>
    </row>
    <row r="119" spans="5:14" x14ac:dyDescent="0.3">
      <c r="E119" t="s">
        <v>72</v>
      </c>
      <c r="F119" t="s">
        <v>90</v>
      </c>
      <c r="G119" t="s">
        <v>89</v>
      </c>
      <c r="H119" t="s">
        <v>69</v>
      </c>
      <c r="I119">
        <v>195</v>
      </c>
      <c r="J119" s="13">
        <v>0.8</v>
      </c>
      <c r="K119">
        <v>156</v>
      </c>
      <c r="L119">
        <v>0.69</v>
      </c>
      <c r="M119">
        <v>21.450000000000017</v>
      </c>
      <c r="N119" s="1">
        <v>43478</v>
      </c>
    </row>
    <row r="120" spans="5:14" x14ac:dyDescent="0.3">
      <c r="E120" t="s">
        <v>76</v>
      </c>
      <c r="F120" t="s">
        <v>75</v>
      </c>
      <c r="G120" t="s">
        <v>84</v>
      </c>
      <c r="H120" t="s">
        <v>77</v>
      </c>
      <c r="I120">
        <v>276</v>
      </c>
      <c r="J120" s="13">
        <v>0.9</v>
      </c>
      <c r="K120">
        <v>248.4</v>
      </c>
      <c r="L120">
        <v>0.7</v>
      </c>
      <c r="M120">
        <v>55.200000000000017</v>
      </c>
      <c r="N120" s="1">
        <v>43932</v>
      </c>
    </row>
    <row r="121" spans="5:14" x14ac:dyDescent="0.3">
      <c r="E121" t="s">
        <v>80</v>
      </c>
      <c r="F121" t="s">
        <v>79</v>
      </c>
      <c r="G121" t="s">
        <v>78</v>
      </c>
      <c r="H121" t="s">
        <v>77</v>
      </c>
      <c r="I121">
        <v>861</v>
      </c>
      <c r="J121" s="13">
        <v>0.85</v>
      </c>
      <c r="K121">
        <v>731.85</v>
      </c>
      <c r="L121">
        <v>0.67</v>
      </c>
      <c r="M121">
        <v>154.98000000000002</v>
      </c>
      <c r="N121" s="1">
        <v>43713</v>
      </c>
    </row>
    <row r="122" spans="5:14" x14ac:dyDescent="0.3">
      <c r="E122" t="s">
        <v>85</v>
      </c>
      <c r="F122" t="s">
        <v>90</v>
      </c>
      <c r="G122" t="s">
        <v>101</v>
      </c>
      <c r="H122" t="s">
        <v>77</v>
      </c>
      <c r="I122">
        <v>940</v>
      </c>
      <c r="J122" s="13">
        <v>1.1000000000000001</v>
      </c>
      <c r="K122">
        <v>1034</v>
      </c>
      <c r="L122">
        <v>0.8</v>
      </c>
      <c r="M122">
        <v>282</v>
      </c>
      <c r="N122" s="1">
        <v>43771</v>
      </c>
    </row>
    <row r="123" spans="5:14" x14ac:dyDescent="0.3">
      <c r="E123" t="s">
        <v>85</v>
      </c>
      <c r="F123" t="s">
        <v>83</v>
      </c>
      <c r="G123" t="s">
        <v>100</v>
      </c>
      <c r="H123" t="s">
        <v>77</v>
      </c>
      <c r="I123">
        <v>472</v>
      </c>
      <c r="J123" s="13">
        <v>1.1000000000000001</v>
      </c>
      <c r="K123">
        <v>519.20000000000005</v>
      </c>
      <c r="L123">
        <v>0.8</v>
      </c>
      <c r="M123">
        <v>141.60000000000002</v>
      </c>
      <c r="N123" s="1">
        <v>43979</v>
      </c>
    </row>
    <row r="124" spans="5:14" x14ac:dyDescent="0.3">
      <c r="E124" t="s">
        <v>85</v>
      </c>
      <c r="F124" t="s">
        <v>95</v>
      </c>
      <c r="G124" t="s">
        <v>99</v>
      </c>
      <c r="H124" t="s">
        <v>102</v>
      </c>
      <c r="I124">
        <v>348</v>
      </c>
      <c r="J124" s="13">
        <v>1.1000000000000001</v>
      </c>
      <c r="K124">
        <v>382.8</v>
      </c>
      <c r="L124">
        <v>0.8</v>
      </c>
      <c r="M124">
        <v>104.39999999999998</v>
      </c>
      <c r="N124" s="1">
        <v>44091</v>
      </c>
    </row>
    <row r="125" spans="5:14" x14ac:dyDescent="0.3">
      <c r="E125" t="s">
        <v>80</v>
      </c>
      <c r="F125" t="s">
        <v>90</v>
      </c>
      <c r="G125" t="s">
        <v>85</v>
      </c>
      <c r="H125" t="s">
        <v>77</v>
      </c>
      <c r="I125">
        <v>128</v>
      </c>
      <c r="J125" s="13">
        <v>0.85</v>
      </c>
      <c r="K125">
        <v>108.8</v>
      </c>
      <c r="L125">
        <v>0.67</v>
      </c>
      <c r="M125">
        <v>23.039999999999992</v>
      </c>
      <c r="N125" s="1">
        <v>43634</v>
      </c>
    </row>
    <row r="126" spans="5:14" x14ac:dyDescent="0.3">
      <c r="E126" t="s">
        <v>76</v>
      </c>
      <c r="F126" t="s">
        <v>90</v>
      </c>
      <c r="G126" t="s">
        <v>98</v>
      </c>
      <c r="H126" t="s">
        <v>105</v>
      </c>
      <c r="I126">
        <v>163</v>
      </c>
      <c r="J126" s="13">
        <v>0.9</v>
      </c>
      <c r="K126">
        <v>146.70000000000002</v>
      </c>
      <c r="L126">
        <v>0.7</v>
      </c>
      <c r="M126">
        <v>32.600000000000023</v>
      </c>
      <c r="N126" s="1">
        <v>43772</v>
      </c>
    </row>
    <row r="127" spans="5:14" x14ac:dyDescent="0.3">
      <c r="E127" t="s">
        <v>72</v>
      </c>
      <c r="F127" t="s">
        <v>97</v>
      </c>
      <c r="G127" t="s">
        <v>96</v>
      </c>
      <c r="H127" t="s">
        <v>77</v>
      </c>
      <c r="I127">
        <v>552</v>
      </c>
      <c r="J127" s="13">
        <v>0.8</v>
      </c>
      <c r="K127">
        <v>441.6</v>
      </c>
      <c r="L127">
        <v>0.69</v>
      </c>
      <c r="M127">
        <v>60.720000000000027</v>
      </c>
      <c r="N127" s="1">
        <v>43786</v>
      </c>
    </row>
    <row r="128" spans="5:14" x14ac:dyDescent="0.3">
      <c r="E128" t="s">
        <v>72</v>
      </c>
      <c r="F128" t="s">
        <v>95</v>
      </c>
      <c r="G128" t="s">
        <v>94</v>
      </c>
      <c r="H128" t="s">
        <v>105</v>
      </c>
      <c r="I128">
        <v>103</v>
      </c>
      <c r="J128" s="13">
        <v>0.8</v>
      </c>
      <c r="K128">
        <v>82.4</v>
      </c>
      <c r="L128">
        <v>0.69</v>
      </c>
      <c r="M128">
        <v>11.330000000000013</v>
      </c>
      <c r="N128" s="1">
        <v>43941</v>
      </c>
    </row>
    <row r="129" spans="5:14" x14ac:dyDescent="0.3">
      <c r="E129" t="s">
        <v>80</v>
      </c>
      <c r="F129" t="s">
        <v>71</v>
      </c>
      <c r="G129" t="s">
        <v>92</v>
      </c>
      <c r="H129" t="s">
        <v>69</v>
      </c>
      <c r="I129">
        <v>449</v>
      </c>
      <c r="J129" s="13">
        <v>0.85</v>
      </c>
      <c r="K129">
        <v>381.65</v>
      </c>
      <c r="L129">
        <v>0.67</v>
      </c>
      <c r="M129">
        <v>80.819999999999936</v>
      </c>
      <c r="N129" s="1">
        <v>44007</v>
      </c>
    </row>
    <row r="130" spans="5:14" x14ac:dyDescent="0.3">
      <c r="E130" t="s">
        <v>72</v>
      </c>
      <c r="F130" t="s">
        <v>71</v>
      </c>
      <c r="G130" t="s">
        <v>70</v>
      </c>
      <c r="H130" t="s">
        <v>77</v>
      </c>
      <c r="I130">
        <v>951</v>
      </c>
      <c r="J130" s="13">
        <v>0.8</v>
      </c>
      <c r="K130">
        <v>760.80000000000007</v>
      </c>
      <c r="L130">
        <v>0.69</v>
      </c>
      <c r="M130">
        <v>104.61000000000013</v>
      </c>
      <c r="N130" s="1">
        <v>44034</v>
      </c>
    </row>
    <row r="131" spans="5:14" x14ac:dyDescent="0.3">
      <c r="E131" t="s">
        <v>85</v>
      </c>
      <c r="F131" t="s">
        <v>75</v>
      </c>
      <c r="G131" t="s">
        <v>91</v>
      </c>
      <c r="H131" t="s">
        <v>102</v>
      </c>
      <c r="I131">
        <v>429</v>
      </c>
      <c r="J131" s="13">
        <v>1.1000000000000001</v>
      </c>
      <c r="K131">
        <v>471.90000000000003</v>
      </c>
      <c r="L131">
        <v>0.8</v>
      </c>
      <c r="M131">
        <v>128.69999999999999</v>
      </c>
      <c r="N131" s="1">
        <v>43899</v>
      </c>
    </row>
    <row r="132" spans="5:14" x14ac:dyDescent="0.3">
      <c r="E132" t="s">
        <v>76</v>
      </c>
      <c r="F132" t="s">
        <v>90</v>
      </c>
      <c r="G132" t="s">
        <v>89</v>
      </c>
      <c r="H132" t="s">
        <v>77</v>
      </c>
      <c r="I132">
        <v>134</v>
      </c>
      <c r="J132" s="13">
        <v>0.9</v>
      </c>
      <c r="K132">
        <v>120.60000000000001</v>
      </c>
      <c r="L132">
        <v>0.7</v>
      </c>
      <c r="M132">
        <v>26.800000000000011</v>
      </c>
      <c r="N132" s="1">
        <v>43606</v>
      </c>
    </row>
    <row r="133" spans="5:14" x14ac:dyDescent="0.3">
      <c r="E133" t="s">
        <v>72</v>
      </c>
      <c r="F133" t="s">
        <v>71</v>
      </c>
      <c r="G133" t="s">
        <v>88</v>
      </c>
      <c r="H133" t="s">
        <v>102</v>
      </c>
      <c r="I133">
        <v>488</v>
      </c>
      <c r="J133" s="13">
        <v>0.8</v>
      </c>
      <c r="K133">
        <v>390.40000000000003</v>
      </c>
      <c r="L133">
        <v>0.69</v>
      </c>
      <c r="M133">
        <v>53.680000000000064</v>
      </c>
      <c r="N133" s="1">
        <v>43715</v>
      </c>
    </row>
    <row r="134" spans="5:14" x14ac:dyDescent="0.3">
      <c r="E134" t="s">
        <v>76</v>
      </c>
      <c r="F134" t="s">
        <v>87</v>
      </c>
      <c r="G134" t="s">
        <v>86</v>
      </c>
      <c r="H134" t="s">
        <v>77</v>
      </c>
      <c r="I134">
        <v>626</v>
      </c>
      <c r="J134" s="13">
        <v>0.9</v>
      </c>
      <c r="K134">
        <v>563.4</v>
      </c>
      <c r="L134">
        <v>0.7</v>
      </c>
      <c r="M134">
        <v>125.19999999999999</v>
      </c>
      <c r="N134" s="1">
        <v>43584</v>
      </c>
    </row>
    <row r="135" spans="5:14" x14ac:dyDescent="0.3">
      <c r="E135" t="s">
        <v>80</v>
      </c>
      <c r="F135" t="s">
        <v>75</v>
      </c>
      <c r="G135" t="s">
        <v>84</v>
      </c>
      <c r="H135" t="s">
        <v>69</v>
      </c>
      <c r="I135">
        <v>927</v>
      </c>
      <c r="J135" s="13">
        <v>0.85</v>
      </c>
      <c r="K135">
        <v>787.94999999999993</v>
      </c>
      <c r="L135">
        <v>0.67</v>
      </c>
      <c r="M135">
        <v>166.8599999999999</v>
      </c>
      <c r="N135" s="1">
        <v>43553</v>
      </c>
    </row>
    <row r="136" spans="5:14" x14ac:dyDescent="0.3">
      <c r="E136" t="s">
        <v>80</v>
      </c>
      <c r="F136" t="s">
        <v>83</v>
      </c>
      <c r="G136" t="s">
        <v>82</v>
      </c>
      <c r="H136" t="s">
        <v>77</v>
      </c>
      <c r="I136">
        <v>553</v>
      </c>
      <c r="J136" s="13">
        <v>0.85</v>
      </c>
      <c r="K136">
        <v>470.05</v>
      </c>
      <c r="L136">
        <v>0.67</v>
      </c>
      <c r="M136">
        <v>99.539999999999964</v>
      </c>
      <c r="N136" s="1">
        <v>43651</v>
      </c>
    </row>
    <row r="137" spans="5:14" x14ac:dyDescent="0.3">
      <c r="E137" t="s">
        <v>76</v>
      </c>
      <c r="F137" t="s">
        <v>79</v>
      </c>
      <c r="G137" t="s">
        <v>78</v>
      </c>
      <c r="H137" t="s">
        <v>69</v>
      </c>
      <c r="I137">
        <v>306</v>
      </c>
      <c r="J137" s="13">
        <v>0.9</v>
      </c>
      <c r="K137">
        <v>275.40000000000003</v>
      </c>
      <c r="L137">
        <v>0.7</v>
      </c>
      <c r="M137">
        <v>61.200000000000045</v>
      </c>
      <c r="N137" s="1">
        <v>43655</v>
      </c>
    </row>
    <row r="138" spans="5:14" x14ac:dyDescent="0.3">
      <c r="E138" t="s">
        <v>76</v>
      </c>
      <c r="F138" t="s">
        <v>75</v>
      </c>
      <c r="G138" t="s">
        <v>74</v>
      </c>
      <c r="H138" t="s">
        <v>69</v>
      </c>
      <c r="I138">
        <v>621</v>
      </c>
      <c r="J138" s="13">
        <v>0.9</v>
      </c>
      <c r="K138">
        <v>558.9</v>
      </c>
      <c r="L138">
        <v>0.7</v>
      </c>
      <c r="M138">
        <v>124.19999999999999</v>
      </c>
      <c r="N138" s="1">
        <v>43609</v>
      </c>
    </row>
    <row r="139" spans="5:14" x14ac:dyDescent="0.3">
      <c r="E139" t="s">
        <v>80</v>
      </c>
      <c r="F139" t="s">
        <v>71</v>
      </c>
      <c r="G139" t="s">
        <v>70</v>
      </c>
      <c r="H139" t="s">
        <v>69</v>
      </c>
      <c r="I139">
        <v>680</v>
      </c>
      <c r="J139" s="13">
        <v>0.85</v>
      </c>
      <c r="K139">
        <v>578</v>
      </c>
      <c r="L139">
        <v>0.67</v>
      </c>
      <c r="M139">
        <v>122.39999999999998</v>
      </c>
      <c r="N139" s="1">
        <v>43732</v>
      </c>
    </row>
    <row r="140" spans="5:14" x14ac:dyDescent="0.3">
      <c r="E140" t="s">
        <v>72</v>
      </c>
      <c r="F140" t="s">
        <v>90</v>
      </c>
      <c r="G140" t="s">
        <v>89</v>
      </c>
      <c r="H140" t="s">
        <v>69</v>
      </c>
      <c r="I140">
        <v>169</v>
      </c>
      <c r="J140" s="13">
        <v>0.8</v>
      </c>
      <c r="K140">
        <v>135.20000000000002</v>
      </c>
      <c r="L140">
        <v>0.69</v>
      </c>
      <c r="M140">
        <v>18.590000000000032</v>
      </c>
      <c r="N140" s="1">
        <v>43556</v>
      </c>
    </row>
    <row r="141" spans="5:14" x14ac:dyDescent="0.3">
      <c r="E141" t="s">
        <v>72</v>
      </c>
      <c r="F141" t="s">
        <v>90</v>
      </c>
      <c r="G141" t="s">
        <v>85</v>
      </c>
      <c r="H141" t="s">
        <v>102</v>
      </c>
      <c r="I141">
        <v>430</v>
      </c>
      <c r="J141" s="13">
        <v>0.8</v>
      </c>
      <c r="K141">
        <v>344</v>
      </c>
      <c r="L141">
        <v>0.69</v>
      </c>
      <c r="M141">
        <v>47.300000000000011</v>
      </c>
      <c r="N141" s="1">
        <v>43914</v>
      </c>
    </row>
    <row r="142" spans="5:14" x14ac:dyDescent="0.3">
      <c r="E142" t="s">
        <v>72</v>
      </c>
      <c r="F142" t="s">
        <v>90</v>
      </c>
      <c r="G142" t="s">
        <v>98</v>
      </c>
      <c r="H142" t="s">
        <v>104</v>
      </c>
      <c r="I142">
        <v>947</v>
      </c>
      <c r="J142" s="13">
        <v>0.8</v>
      </c>
      <c r="K142">
        <v>757.6</v>
      </c>
      <c r="L142">
        <v>0.69</v>
      </c>
      <c r="M142">
        <v>104.17000000000007</v>
      </c>
      <c r="N142" s="1">
        <v>43699</v>
      </c>
    </row>
    <row r="143" spans="5:14" x14ac:dyDescent="0.3">
      <c r="E143" t="s">
        <v>76</v>
      </c>
      <c r="F143" t="s">
        <v>97</v>
      </c>
      <c r="G143" t="s">
        <v>96</v>
      </c>
      <c r="H143" t="s">
        <v>102</v>
      </c>
      <c r="I143">
        <v>526</v>
      </c>
      <c r="J143" s="13">
        <v>0.9</v>
      </c>
      <c r="K143">
        <v>473.40000000000003</v>
      </c>
      <c r="L143">
        <v>0.7</v>
      </c>
      <c r="M143">
        <v>105.20000000000005</v>
      </c>
      <c r="N143" s="1">
        <v>43995</v>
      </c>
    </row>
    <row r="144" spans="5:14" x14ac:dyDescent="0.3">
      <c r="E144" t="s">
        <v>80</v>
      </c>
      <c r="F144" t="s">
        <v>95</v>
      </c>
      <c r="G144" t="s">
        <v>94</v>
      </c>
      <c r="H144" t="s">
        <v>104</v>
      </c>
      <c r="I144">
        <v>880</v>
      </c>
      <c r="J144" s="13">
        <v>0.85</v>
      </c>
      <c r="K144">
        <v>748</v>
      </c>
      <c r="L144">
        <v>0.67</v>
      </c>
      <c r="M144">
        <v>158.39999999999998</v>
      </c>
      <c r="N144" s="1">
        <v>43725</v>
      </c>
    </row>
    <row r="145" spans="5:14" x14ac:dyDescent="0.3">
      <c r="E145" t="s">
        <v>72</v>
      </c>
      <c r="F145" t="s">
        <v>71</v>
      </c>
      <c r="G145" t="s">
        <v>92</v>
      </c>
      <c r="H145" t="s">
        <v>77</v>
      </c>
      <c r="I145">
        <v>851</v>
      </c>
      <c r="J145" s="13">
        <v>0.8</v>
      </c>
      <c r="K145">
        <v>680.80000000000007</v>
      </c>
      <c r="L145">
        <v>0.69</v>
      </c>
      <c r="M145">
        <v>93.610000000000127</v>
      </c>
      <c r="N145" s="1">
        <v>43850</v>
      </c>
    </row>
    <row r="146" spans="5:14" x14ac:dyDescent="0.3">
      <c r="E146" t="s">
        <v>85</v>
      </c>
      <c r="F146" t="s">
        <v>75</v>
      </c>
      <c r="G146" t="s">
        <v>91</v>
      </c>
      <c r="H146" t="s">
        <v>69</v>
      </c>
      <c r="I146">
        <v>426</v>
      </c>
      <c r="J146" s="13">
        <v>1.1000000000000001</v>
      </c>
      <c r="K146">
        <v>468.6</v>
      </c>
      <c r="L146">
        <v>0.8</v>
      </c>
      <c r="M146">
        <v>127.80000000000001</v>
      </c>
      <c r="N146" s="1">
        <v>43656</v>
      </c>
    </row>
    <row r="147" spans="5:14" x14ac:dyDescent="0.3">
      <c r="E147" t="s">
        <v>80</v>
      </c>
      <c r="F147" t="s">
        <v>71</v>
      </c>
      <c r="G147" t="s">
        <v>88</v>
      </c>
      <c r="H147" t="s">
        <v>69</v>
      </c>
      <c r="I147">
        <v>791</v>
      </c>
      <c r="J147" s="13">
        <v>0.85</v>
      </c>
      <c r="K147">
        <v>672.35</v>
      </c>
      <c r="L147">
        <v>0.67</v>
      </c>
      <c r="M147">
        <v>142.38</v>
      </c>
      <c r="N147" s="1">
        <v>43905</v>
      </c>
    </row>
    <row r="148" spans="5:14" x14ac:dyDescent="0.3">
      <c r="E148" t="s">
        <v>72</v>
      </c>
      <c r="F148" t="s">
        <v>75</v>
      </c>
      <c r="G148" t="s">
        <v>84</v>
      </c>
      <c r="H148" t="s">
        <v>77</v>
      </c>
      <c r="I148">
        <v>938</v>
      </c>
      <c r="J148" s="13">
        <v>0.8</v>
      </c>
      <c r="K148">
        <v>750.40000000000009</v>
      </c>
      <c r="L148">
        <v>0.69</v>
      </c>
      <c r="M148">
        <v>103.18000000000018</v>
      </c>
      <c r="N148" s="1">
        <v>43779</v>
      </c>
    </row>
    <row r="149" spans="5:14" x14ac:dyDescent="0.3">
      <c r="E149" t="s">
        <v>80</v>
      </c>
      <c r="F149" t="s">
        <v>79</v>
      </c>
      <c r="G149" t="s">
        <v>78</v>
      </c>
      <c r="H149" t="s">
        <v>77</v>
      </c>
      <c r="I149">
        <v>116</v>
      </c>
      <c r="J149" s="13">
        <v>0.85</v>
      </c>
      <c r="K149">
        <v>98.6</v>
      </c>
      <c r="L149">
        <v>0.67</v>
      </c>
      <c r="M149">
        <v>20.879999999999995</v>
      </c>
      <c r="N149" s="1">
        <v>43953</v>
      </c>
    </row>
    <row r="150" spans="5:14" x14ac:dyDescent="0.3">
      <c r="E150" t="s">
        <v>85</v>
      </c>
      <c r="F150" t="s">
        <v>71</v>
      </c>
      <c r="G150" t="s">
        <v>70</v>
      </c>
      <c r="H150" t="s">
        <v>77</v>
      </c>
      <c r="I150">
        <v>911</v>
      </c>
      <c r="J150" s="13">
        <v>1.1000000000000001</v>
      </c>
      <c r="K150">
        <v>1002.1000000000001</v>
      </c>
      <c r="L150">
        <v>0.8</v>
      </c>
      <c r="M150">
        <v>273.30000000000007</v>
      </c>
      <c r="N150" s="1">
        <v>43986</v>
      </c>
    </row>
    <row r="151" spans="5:14" x14ac:dyDescent="0.3">
      <c r="E151" t="s">
        <v>80</v>
      </c>
      <c r="F151" t="s">
        <v>90</v>
      </c>
      <c r="G151" t="s">
        <v>89</v>
      </c>
      <c r="H151" t="s">
        <v>77</v>
      </c>
      <c r="I151">
        <v>331</v>
      </c>
      <c r="J151" s="13">
        <v>0.85</v>
      </c>
      <c r="K151">
        <v>281.34999999999997</v>
      </c>
      <c r="L151">
        <v>0.67</v>
      </c>
      <c r="M151">
        <v>59.579999999999956</v>
      </c>
      <c r="N151" s="1">
        <v>43747</v>
      </c>
    </row>
    <row r="152" spans="5:14" x14ac:dyDescent="0.3">
      <c r="E152" t="s">
        <v>85</v>
      </c>
      <c r="F152" t="s">
        <v>90</v>
      </c>
      <c r="G152" t="s">
        <v>101</v>
      </c>
      <c r="H152" t="s">
        <v>102</v>
      </c>
      <c r="I152">
        <v>414</v>
      </c>
      <c r="J152" s="13">
        <v>1.1000000000000001</v>
      </c>
      <c r="K152">
        <v>455.40000000000003</v>
      </c>
      <c r="L152">
        <v>0.8</v>
      </c>
      <c r="M152">
        <v>124.19999999999999</v>
      </c>
      <c r="N152" s="1">
        <v>43838</v>
      </c>
    </row>
    <row r="153" spans="5:14" x14ac:dyDescent="0.3">
      <c r="E153" t="s">
        <v>80</v>
      </c>
      <c r="F153" t="s">
        <v>83</v>
      </c>
      <c r="G153" t="s">
        <v>100</v>
      </c>
      <c r="H153" t="s">
        <v>102</v>
      </c>
      <c r="I153">
        <v>521</v>
      </c>
      <c r="J153" s="13">
        <v>0.85</v>
      </c>
      <c r="K153">
        <v>442.84999999999997</v>
      </c>
      <c r="L153">
        <v>0.67</v>
      </c>
      <c r="M153">
        <v>93.779999999999973</v>
      </c>
      <c r="N153" s="1">
        <v>43631</v>
      </c>
    </row>
    <row r="154" spans="5:14" x14ac:dyDescent="0.3">
      <c r="E154" t="s">
        <v>85</v>
      </c>
      <c r="F154" t="s">
        <v>95</v>
      </c>
      <c r="G154" t="s">
        <v>99</v>
      </c>
      <c r="H154" t="s">
        <v>69</v>
      </c>
      <c r="I154">
        <v>895</v>
      </c>
      <c r="J154" s="13">
        <v>1.1000000000000001</v>
      </c>
      <c r="K154">
        <v>984.50000000000011</v>
      </c>
      <c r="L154">
        <v>0.8</v>
      </c>
      <c r="M154">
        <v>268.50000000000011</v>
      </c>
      <c r="N154" s="1">
        <v>43662</v>
      </c>
    </row>
    <row r="155" spans="5:14" x14ac:dyDescent="0.3">
      <c r="E155" t="s">
        <v>80</v>
      </c>
      <c r="F155" t="s">
        <v>87</v>
      </c>
      <c r="G155" t="s">
        <v>86</v>
      </c>
      <c r="H155" t="s">
        <v>102</v>
      </c>
      <c r="I155">
        <v>383</v>
      </c>
      <c r="J155" s="13">
        <v>0.85</v>
      </c>
      <c r="K155">
        <v>325.55</v>
      </c>
      <c r="L155">
        <v>0.67</v>
      </c>
      <c r="M155">
        <v>68.94</v>
      </c>
      <c r="N155" s="1">
        <v>43522</v>
      </c>
    </row>
    <row r="156" spans="5:14" x14ac:dyDescent="0.3">
      <c r="E156" t="s">
        <v>76</v>
      </c>
      <c r="F156" t="s">
        <v>83</v>
      </c>
      <c r="G156" t="s">
        <v>82</v>
      </c>
      <c r="H156" t="s">
        <v>102</v>
      </c>
      <c r="I156">
        <v>705</v>
      </c>
      <c r="J156" s="13">
        <v>0.9</v>
      </c>
      <c r="K156">
        <v>634.5</v>
      </c>
      <c r="L156">
        <v>0.7</v>
      </c>
      <c r="M156">
        <v>141.00000000000006</v>
      </c>
      <c r="N156" s="1">
        <v>43539</v>
      </c>
    </row>
    <row r="157" spans="5:14" x14ac:dyDescent="0.3">
      <c r="E157" t="s">
        <v>80</v>
      </c>
      <c r="F157" t="s">
        <v>75</v>
      </c>
      <c r="G157" t="s">
        <v>74</v>
      </c>
      <c r="H157" t="s">
        <v>77</v>
      </c>
      <c r="I157">
        <v>178</v>
      </c>
      <c r="J157" s="13">
        <v>0.85</v>
      </c>
      <c r="K157">
        <v>151.29999999999998</v>
      </c>
      <c r="L157">
        <v>0.67</v>
      </c>
      <c r="M157">
        <v>32.039999999999978</v>
      </c>
      <c r="N157" s="1">
        <v>44111</v>
      </c>
    </row>
    <row r="158" spans="5:14" x14ac:dyDescent="0.3">
      <c r="E158" t="s">
        <v>76</v>
      </c>
      <c r="F158" t="s">
        <v>75</v>
      </c>
      <c r="G158" t="s">
        <v>84</v>
      </c>
      <c r="H158" t="s">
        <v>69</v>
      </c>
      <c r="I158">
        <v>701</v>
      </c>
      <c r="J158" s="13">
        <v>0.9</v>
      </c>
      <c r="K158">
        <v>630.9</v>
      </c>
      <c r="L158">
        <v>0.7</v>
      </c>
      <c r="M158">
        <v>140.19999999999999</v>
      </c>
      <c r="N158" s="1">
        <v>43539</v>
      </c>
    </row>
    <row r="159" spans="5:14" x14ac:dyDescent="0.3">
      <c r="E159" t="s">
        <v>85</v>
      </c>
      <c r="F159" t="s">
        <v>71</v>
      </c>
      <c r="G159" t="s">
        <v>70</v>
      </c>
      <c r="H159" t="s">
        <v>69</v>
      </c>
      <c r="I159">
        <v>289</v>
      </c>
      <c r="J159" s="13">
        <v>1.1000000000000001</v>
      </c>
      <c r="K159">
        <v>317.90000000000003</v>
      </c>
      <c r="L159">
        <v>0.8</v>
      </c>
      <c r="M159">
        <v>86.700000000000017</v>
      </c>
      <c r="N159" s="1">
        <v>44062</v>
      </c>
    </row>
    <row r="160" spans="5:14" x14ac:dyDescent="0.3">
      <c r="E160" t="s">
        <v>80</v>
      </c>
      <c r="F160" t="s">
        <v>75</v>
      </c>
      <c r="G160" t="s">
        <v>91</v>
      </c>
      <c r="H160" t="s">
        <v>77</v>
      </c>
      <c r="I160">
        <v>256</v>
      </c>
      <c r="J160" s="13">
        <v>0.85</v>
      </c>
      <c r="K160">
        <v>217.6</v>
      </c>
      <c r="L160">
        <v>0.67</v>
      </c>
      <c r="M160">
        <v>46.079999999999984</v>
      </c>
      <c r="N160" s="1">
        <v>43852</v>
      </c>
    </row>
    <row r="161" spans="5:14" x14ac:dyDescent="0.3">
      <c r="E161" t="s">
        <v>72</v>
      </c>
      <c r="F161" t="s">
        <v>79</v>
      </c>
      <c r="G161" t="s">
        <v>78</v>
      </c>
      <c r="H161" t="s">
        <v>69</v>
      </c>
      <c r="I161">
        <v>139</v>
      </c>
      <c r="J161" s="13">
        <v>0.8</v>
      </c>
      <c r="K161">
        <v>111.2</v>
      </c>
      <c r="L161">
        <v>0.69</v>
      </c>
      <c r="M161">
        <v>15.290000000000006</v>
      </c>
      <c r="N161" s="1">
        <v>43604</v>
      </c>
    </row>
    <row r="162" spans="5:14" x14ac:dyDescent="0.3">
      <c r="E162" t="s">
        <v>85</v>
      </c>
      <c r="F162" t="s">
        <v>90</v>
      </c>
      <c r="G162" t="s">
        <v>89</v>
      </c>
      <c r="H162" t="s">
        <v>69</v>
      </c>
      <c r="I162">
        <v>933</v>
      </c>
      <c r="J162" s="13">
        <v>1.1000000000000001</v>
      </c>
      <c r="K162">
        <v>1026.3000000000002</v>
      </c>
      <c r="L162">
        <v>0.8</v>
      </c>
      <c r="M162">
        <v>279.90000000000009</v>
      </c>
      <c r="N162" s="1">
        <v>43487</v>
      </c>
    </row>
    <row r="163" spans="5:14" x14ac:dyDescent="0.3">
      <c r="E163" t="s">
        <v>85</v>
      </c>
      <c r="F163" t="s">
        <v>71</v>
      </c>
      <c r="G163" t="s">
        <v>88</v>
      </c>
      <c r="H163" t="s">
        <v>77</v>
      </c>
      <c r="I163">
        <v>134</v>
      </c>
      <c r="J163" s="13">
        <v>1.1000000000000001</v>
      </c>
      <c r="K163">
        <v>147.4</v>
      </c>
      <c r="L163">
        <v>0.8</v>
      </c>
      <c r="M163">
        <v>40.200000000000003</v>
      </c>
      <c r="N163" s="1">
        <v>43743</v>
      </c>
    </row>
    <row r="164" spans="5:14" x14ac:dyDescent="0.3">
      <c r="E164" t="s">
        <v>76</v>
      </c>
      <c r="F164" t="s">
        <v>90</v>
      </c>
      <c r="G164" t="s">
        <v>85</v>
      </c>
      <c r="H164" t="s">
        <v>73</v>
      </c>
      <c r="I164">
        <v>276</v>
      </c>
      <c r="J164" s="13">
        <v>0.9</v>
      </c>
      <c r="K164">
        <v>248.4</v>
      </c>
      <c r="L164">
        <v>0.7</v>
      </c>
      <c r="M164">
        <v>55.200000000000017</v>
      </c>
      <c r="N164" s="1">
        <v>43790</v>
      </c>
    </row>
    <row r="165" spans="5:14" x14ac:dyDescent="0.3">
      <c r="E165" t="s">
        <v>80</v>
      </c>
      <c r="F165" t="s">
        <v>90</v>
      </c>
      <c r="G165" t="s">
        <v>98</v>
      </c>
      <c r="H165" t="s">
        <v>103</v>
      </c>
      <c r="I165">
        <v>632</v>
      </c>
      <c r="J165" s="13">
        <v>0.85</v>
      </c>
      <c r="K165">
        <v>537.19999999999993</v>
      </c>
      <c r="L165">
        <v>0.67</v>
      </c>
      <c r="M165">
        <v>113.75999999999993</v>
      </c>
      <c r="N165" s="1">
        <v>43923</v>
      </c>
    </row>
    <row r="166" spans="5:14" x14ac:dyDescent="0.3">
      <c r="E166" t="s">
        <v>72</v>
      </c>
      <c r="F166" t="s">
        <v>97</v>
      </c>
      <c r="G166" t="s">
        <v>96</v>
      </c>
      <c r="H166" t="s">
        <v>73</v>
      </c>
      <c r="I166">
        <v>953</v>
      </c>
      <c r="J166" s="13">
        <v>0.8</v>
      </c>
      <c r="K166">
        <v>762.40000000000009</v>
      </c>
      <c r="L166">
        <v>0.69</v>
      </c>
      <c r="M166">
        <v>104.83000000000015</v>
      </c>
      <c r="N166" s="1">
        <v>43975</v>
      </c>
    </row>
    <row r="167" spans="5:14" x14ac:dyDescent="0.3">
      <c r="E167" t="s">
        <v>85</v>
      </c>
      <c r="F167" t="s">
        <v>95</v>
      </c>
      <c r="G167" t="s">
        <v>94</v>
      </c>
      <c r="H167" t="s">
        <v>103</v>
      </c>
      <c r="I167">
        <v>126</v>
      </c>
      <c r="J167" s="13">
        <v>1.1000000000000001</v>
      </c>
      <c r="K167">
        <v>138.60000000000002</v>
      </c>
      <c r="L167">
        <v>0.8</v>
      </c>
      <c r="M167">
        <v>37.800000000000011</v>
      </c>
      <c r="N167" s="1">
        <v>44069</v>
      </c>
    </row>
    <row r="168" spans="5:14" x14ac:dyDescent="0.3">
      <c r="E168" t="s">
        <v>76</v>
      </c>
      <c r="F168" t="s">
        <v>71</v>
      </c>
      <c r="G168" t="s">
        <v>92</v>
      </c>
      <c r="H168" t="s">
        <v>102</v>
      </c>
      <c r="I168">
        <v>415</v>
      </c>
      <c r="J168" s="13">
        <v>0.9</v>
      </c>
      <c r="K168">
        <v>373.5</v>
      </c>
      <c r="L168">
        <v>0.7</v>
      </c>
      <c r="M168">
        <v>83</v>
      </c>
      <c r="N168" s="1">
        <v>43743</v>
      </c>
    </row>
    <row r="169" spans="5:14" x14ac:dyDescent="0.3">
      <c r="E169" t="s">
        <v>80</v>
      </c>
      <c r="F169" t="s">
        <v>71</v>
      </c>
      <c r="G169" t="s">
        <v>70</v>
      </c>
      <c r="H169" t="s">
        <v>77</v>
      </c>
      <c r="I169">
        <v>833</v>
      </c>
      <c r="J169" s="13">
        <v>0.85</v>
      </c>
      <c r="K169">
        <v>708.05</v>
      </c>
      <c r="L169">
        <v>0.67</v>
      </c>
      <c r="M169">
        <v>149.93999999999994</v>
      </c>
      <c r="N169" s="1">
        <v>44058</v>
      </c>
    </row>
    <row r="170" spans="5:14" x14ac:dyDescent="0.3">
      <c r="E170" t="s">
        <v>85</v>
      </c>
      <c r="F170" t="s">
        <v>90</v>
      </c>
      <c r="G170" t="s">
        <v>89</v>
      </c>
      <c r="H170" t="s">
        <v>77</v>
      </c>
      <c r="I170">
        <v>159</v>
      </c>
      <c r="J170" s="13">
        <v>1.1000000000000001</v>
      </c>
      <c r="K170">
        <v>174.9</v>
      </c>
      <c r="L170">
        <v>0.8</v>
      </c>
      <c r="M170">
        <v>47.7</v>
      </c>
      <c r="N170" s="1">
        <v>43829</v>
      </c>
    </row>
    <row r="171" spans="5:14" x14ac:dyDescent="0.3">
      <c r="E171" t="s">
        <v>72</v>
      </c>
      <c r="F171" t="s">
        <v>75</v>
      </c>
      <c r="G171" t="s">
        <v>84</v>
      </c>
      <c r="H171" t="s">
        <v>77</v>
      </c>
      <c r="I171">
        <v>143</v>
      </c>
      <c r="J171" s="13">
        <v>0.8</v>
      </c>
      <c r="K171">
        <v>114.4</v>
      </c>
      <c r="L171">
        <v>0.69</v>
      </c>
      <c r="M171">
        <v>15.730000000000018</v>
      </c>
      <c r="N171" s="1">
        <v>43496</v>
      </c>
    </row>
    <row r="172" spans="5:14" x14ac:dyDescent="0.3">
      <c r="E172" t="s">
        <v>76</v>
      </c>
      <c r="F172" t="s">
        <v>79</v>
      </c>
      <c r="G172" t="s">
        <v>78</v>
      </c>
      <c r="H172" t="s">
        <v>77</v>
      </c>
      <c r="I172">
        <v>390</v>
      </c>
      <c r="J172" s="13">
        <v>0.9</v>
      </c>
      <c r="K172">
        <v>351</v>
      </c>
      <c r="L172">
        <v>0.7</v>
      </c>
      <c r="M172">
        <v>78</v>
      </c>
      <c r="N172" s="1">
        <v>43982</v>
      </c>
    </row>
    <row r="173" spans="5:14" x14ac:dyDescent="0.3">
      <c r="E173" t="s">
        <v>76</v>
      </c>
      <c r="F173" t="s">
        <v>75</v>
      </c>
      <c r="G173" t="s">
        <v>91</v>
      </c>
      <c r="H173" t="s">
        <v>102</v>
      </c>
      <c r="I173">
        <v>549</v>
      </c>
      <c r="J173" s="13">
        <v>0.9</v>
      </c>
      <c r="K173">
        <v>494.1</v>
      </c>
      <c r="L173">
        <v>0.7</v>
      </c>
      <c r="M173">
        <v>109.80000000000007</v>
      </c>
      <c r="N173" s="1">
        <v>43788</v>
      </c>
    </row>
    <row r="174" spans="5:14" x14ac:dyDescent="0.3">
      <c r="E174" t="s">
        <v>85</v>
      </c>
      <c r="F174" t="s">
        <v>71</v>
      </c>
      <c r="G174" t="s">
        <v>88</v>
      </c>
      <c r="H174" t="s">
        <v>102</v>
      </c>
      <c r="I174">
        <v>253</v>
      </c>
      <c r="J174" s="13">
        <v>1.1000000000000001</v>
      </c>
      <c r="K174">
        <v>278.3</v>
      </c>
      <c r="L174">
        <v>0.8</v>
      </c>
      <c r="M174">
        <v>75.900000000000006</v>
      </c>
      <c r="N174" s="1">
        <v>43944</v>
      </c>
    </row>
    <row r="175" spans="5:14" x14ac:dyDescent="0.3">
      <c r="E175" t="s">
        <v>72</v>
      </c>
      <c r="F175" t="s">
        <v>87</v>
      </c>
      <c r="G175" t="s">
        <v>86</v>
      </c>
      <c r="H175" t="s">
        <v>73</v>
      </c>
      <c r="I175">
        <v>473</v>
      </c>
      <c r="J175" s="13">
        <v>0.8</v>
      </c>
      <c r="K175">
        <v>378.40000000000003</v>
      </c>
      <c r="L175">
        <v>0.69</v>
      </c>
      <c r="M175">
        <v>52.030000000000086</v>
      </c>
      <c r="N175" s="1">
        <v>44009</v>
      </c>
    </row>
    <row r="176" spans="5:14" x14ac:dyDescent="0.3">
      <c r="E176" t="s">
        <v>80</v>
      </c>
      <c r="F176" t="s">
        <v>83</v>
      </c>
      <c r="G176" t="s">
        <v>82</v>
      </c>
      <c r="H176" t="s">
        <v>73</v>
      </c>
      <c r="I176">
        <v>283</v>
      </c>
      <c r="J176" s="13">
        <v>0.85</v>
      </c>
      <c r="K176">
        <v>240.54999999999998</v>
      </c>
      <c r="L176">
        <v>0.67</v>
      </c>
      <c r="M176">
        <v>50.939999999999969</v>
      </c>
      <c r="N176" s="1">
        <v>43898</v>
      </c>
    </row>
    <row r="177" spans="5:14" x14ac:dyDescent="0.3">
      <c r="E177" t="s">
        <v>72</v>
      </c>
      <c r="F177" t="s">
        <v>75</v>
      </c>
      <c r="G177" t="s">
        <v>74</v>
      </c>
      <c r="H177" t="s">
        <v>102</v>
      </c>
      <c r="I177">
        <v>258</v>
      </c>
      <c r="J177" s="13">
        <v>0.8</v>
      </c>
      <c r="K177">
        <v>206.4</v>
      </c>
      <c r="L177">
        <v>0.69</v>
      </c>
      <c r="M177">
        <v>28.380000000000024</v>
      </c>
      <c r="N177" s="1">
        <v>44009</v>
      </c>
    </row>
    <row r="178" spans="5:14" x14ac:dyDescent="0.3">
      <c r="E178" t="s">
        <v>80</v>
      </c>
      <c r="F178" t="s">
        <v>90</v>
      </c>
      <c r="G178" t="s">
        <v>101</v>
      </c>
      <c r="H178" t="s">
        <v>69</v>
      </c>
      <c r="I178">
        <v>812</v>
      </c>
      <c r="J178" s="13">
        <v>0.85</v>
      </c>
      <c r="K178">
        <v>690.19999999999993</v>
      </c>
      <c r="L178">
        <v>0.67</v>
      </c>
      <c r="M178">
        <v>146.15999999999985</v>
      </c>
      <c r="N178" s="1">
        <v>43495</v>
      </c>
    </row>
    <row r="179" spans="5:14" x14ac:dyDescent="0.3">
      <c r="E179" t="s">
        <v>76</v>
      </c>
      <c r="F179" t="s">
        <v>71</v>
      </c>
      <c r="G179" t="s">
        <v>70</v>
      </c>
      <c r="H179" t="s">
        <v>69</v>
      </c>
      <c r="I179">
        <v>245</v>
      </c>
      <c r="J179" s="13">
        <v>0.9</v>
      </c>
      <c r="K179">
        <v>220.5</v>
      </c>
      <c r="L179">
        <v>0.7</v>
      </c>
      <c r="M179">
        <v>49</v>
      </c>
      <c r="N179" s="1">
        <v>43522</v>
      </c>
    </row>
    <row r="180" spans="5:14" x14ac:dyDescent="0.3">
      <c r="E180" t="s">
        <v>76</v>
      </c>
      <c r="F180" t="s">
        <v>83</v>
      </c>
      <c r="G180" t="s">
        <v>100</v>
      </c>
      <c r="H180" t="s">
        <v>69</v>
      </c>
      <c r="I180">
        <v>637</v>
      </c>
      <c r="J180" s="13">
        <v>0.9</v>
      </c>
      <c r="K180">
        <v>573.30000000000007</v>
      </c>
      <c r="L180">
        <v>0.7</v>
      </c>
      <c r="M180">
        <v>127.40000000000009</v>
      </c>
      <c r="N180" s="1">
        <v>43936</v>
      </c>
    </row>
    <row r="181" spans="5:14" x14ac:dyDescent="0.3">
      <c r="E181" t="s">
        <v>80</v>
      </c>
      <c r="F181" t="s">
        <v>90</v>
      </c>
      <c r="G181" t="s">
        <v>89</v>
      </c>
      <c r="H181" t="s">
        <v>69</v>
      </c>
      <c r="I181">
        <v>378</v>
      </c>
      <c r="J181" s="13">
        <v>0.85</v>
      </c>
      <c r="K181">
        <v>321.3</v>
      </c>
      <c r="L181">
        <v>0.67</v>
      </c>
      <c r="M181">
        <v>68.039999999999992</v>
      </c>
      <c r="N181" s="1">
        <v>43651</v>
      </c>
    </row>
    <row r="182" spans="5:14" x14ac:dyDescent="0.3">
      <c r="E182" t="s">
        <v>80</v>
      </c>
      <c r="F182" t="s">
        <v>95</v>
      </c>
      <c r="G182" t="s">
        <v>99</v>
      </c>
      <c r="H182" t="s">
        <v>77</v>
      </c>
      <c r="I182">
        <v>959</v>
      </c>
      <c r="J182" s="13">
        <v>0.85</v>
      </c>
      <c r="K182">
        <v>815.15</v>
      </c>
      <c r="L182">
        <v>0.67</v>
      </c>
      <c r="M182">
        <v>172.61999999999989</v>
      </c>
      <c r="N182" s="1">
        <v>43481</v>
      </c>
    </row>
    <row r="183" spans="5:14" x14ac:dyDescent="0.3">
      <c r="E183" t="s">
        <v>72</v>
      </c>
      <c r="F183" t="s">
        <v>90</v>
      </c>
      <c r="G183" t="s">
        <v>85</v>
      </c>
      <c r="H183" t="s">
        <v>81</v>
      </c>
      <c r="I183">
        <v>178</v>
      </c>
      <c r="J183" s="13">
        <v>0.8</v>
      </c>
      <c r="K183">
        <v>142.4</v>
      </c>
      <c r="L183">
        <v>0.69</v>
      </c>
      <c r="M183">
        <v>19.580000000000013</v>
      </c>
      <c r="N183" s="1">
        <v>43760</v>
      </c>
    </row>
    <row r="184" spans="5:14" x14ac:dyDescent="0.3">
      <c r="E184" t="s">
        <v>85</v>
      </c>
      <c r="F184" t="s">
        <v>90</v>
      </c>
      <c r="G184" t="s">
        <v>98</v>
      </c>
      <c r="H184" t="s">
        <v>93</v>
      </c>
      <c r="I184">
        <v>670</v>
      </c>
      <c r="J184" s="13">
        <v>1.1000000000000001</v>
      </c>
      <c r="K184">
        <v>737.00000000000011</v>
      </c>
      <c r="L184">
        <v>0.8</v>
      </c>
      <c r="M184">
        <v>201.00000000000011</v>
      </c>
      <c r="N184" s="1">
        <v>43718</v>
      </c>
    </row>
    <row r="185" spans="5:14" x14ac:dyDescent="0.3">
      <c r="E185" t="s">
        <v>80</v>
      </c>
      <c r="F185" t="s">
        <v>97</v>
      </c>
      <c r="G185" t="s">
        <v>96</v>
      </c>
      <c r="H185" t="s">
        <v>81</v>
      </c>
      <c r="I185">
        <v>614</v>
      </c>
      <c r="J185" s="13">
        <v>0.85</v>
      </c>
      <c r="K185">
        <v>521.9</v>
      </c>
      <c r="L185">
        <v>0.67</v>
      </c>
      <c r="M185">
        <v>110.51999999999992</v>
      </c>
      <c r="N185" s="1">
        <v>44058</v>
      </c>
    </row>
    <row r="186" spans="5:14" x14ac:dyDescent="0.3">
      <c r="E186" t="s">
        <v>85</v>
      </c>
      <c r="F186" t="s">
        <v>95</v>
      </c>
      <c r="G186" t="s">
        <v>94</v>
      </c>
      <c r="H186" t="s">
        <v>93</v>
      </c>
      <c r="I186">
        <v>584</v>
      </c>
      <c r="J186" s="13">
        <v>1.1000000000000001</v>
      </c>
      <c r="K186">
        <v>642.40000000000009</v>
      </c>
      <c r="L186">
        <v>0.8</v>
      </c>
      <c r="M186">
        <v>175.20000000000005</v>
      </c>
      <c r="N186" s="1">
        <v>43475</v>
      </c>
    </row>
    <row r="187" spans="5:14" x14ac:dyDescent="0.3">
      <c r="E187" t="s">
        <v>72</v>
      </c>
      <c r="F187" t="s">
        <v>71</v>
      </c>
      <c r="G187" t="s">
        <v>92</v>
      </c>
      <c r="H187" t="s">
        <v>73</v>
      </c>
      <c r="I187">
        <v>248</v>
      </c>
      <c r="J187" s="13">
        <v>0.8</v>
      </c>
      <c r="K187">
        <v>198.4</v>
      </c>
      <c r="L187">
        <v>0.69</v>
      </c>
      <c r="M187">
        <v>27.28000000000003</v>
      </c>
      <c r="N187" s="1">
        <v>43723</v>
      </c>
    </row>
    <row r="188" spans="5:14" x14ac:dyDescent="0.3">
      <c r="E188" t="s">
        <v>80</v>
      </c>
      <c r="F188" t="s">
        <v>75</v>
      </c>
      <c r="G188" t="s">
        <v>84</v>
      </c>
      <c r="H188" t="s">
        <v>69</v>
      </c>
      <c r="I188">
        <v>195</v>
      </c>
      <c r="J188" s="13">
        <v>0.85</v>
      </c>
      <c r="K188">
        <v>165.75</v>
      </c>
      <c r="L188">
        <v>0.67</v>
      </c>
      <c r="M188">
        <v>35.099999999999994</v>
      </c>
      <c r="N188" s="1">
        <v>43623</v>
      </c>
    </row>
    <row r="189" spans="5:14" x14ac:dyDescent="0.3">
      <c r="E189" t="s">
        <v>72</v>
      </c>
      <c r="F189" t="s">
        <v>79</v>
      </c>
      <c r="G189" t="s">
        <v>78</v>
      </c>
      <c r="H189" t="s">
        <v>69</v>
      </c>
      <c r="I189">
        <v>184</v>
      </c>
      <c r="J189" s="13">
        <v>0.8</v>
      </c>
      <c r="K189">
        <v>147.20000000000002</v>
      </c>
      <c r="L189">
        <v>0.69</v>
      </c>
      <c r="M189">
        <v>20.240000000000023</v>
      </c>
      <c r="N189" s="1">
        <v>43878</v>
      </c>
    </row>
    <row r="190" spans="5:14" x14ac:dyDescent="0.3">
      <c r="E190" t="s">
        <v>80</v>
      </c>
      <c r="F190" t="s">
        <v>71</v>
      </c>
      <c r="G190" t="s">
        <v>70</v>
      </c>
      <c r="H190" t="s">
        <v>77</v>
      </c>
      <c r="I190">
        <v>153</v>
      </c>
      <c r="J190" s="13">
        <v>0.85</v>
      </c>
      <c r="K190">
        <v>130.04999999999998</v>
      </c>
      <c r="L190">
        <v>0.67</v>
      </c>
      <c r="M190">
        <v>27.539999999999978</v>
      </c>
      <c r="N190" s="1">
        <v>43793</v>
      </c>
    </row>
    <row r="191" spans="5:14" x14ac:dyDescent="0.3">
      <c r="E191" t="s">
        <v>80</v>
      </c>
      <c r="F191" t="s">
        <v>75</v>
      </c>
      <c r="G191" t="s">
        <v>91</v>
      </c>
      <c r="H191" t="s">
        <v>69</v>
      </c>
      <c r="I191">
        <v>852</v>
      </c>
      <c r="J191" s="13">
        <v>0.85</v>
      </c>
      <c r="K191">
        <v>724.19999999999993</v>
      </c>
      <c r="L191">
        <v>0.67</v>
      </c>
      <c r="M191">
        <v>153.3599999999999</v>
      </c>
      <c r="N191" s="1">
        <v>43924</v>
      </c>
    </row>
    <row r="192" spans="5:14" x14ac:dyDescent="0.3">
      <c r="E192" t="s">
        <v>76</v>
      </c>
      <c r="F192" t="s">
        <v>90</v>
      </c>
      <c r="G192" t="s">
        <v>89</v>
      </c>
      <c r="H192" t="s">
        <v>77</v>
      </c>
      <c r="I192">
        <v>614</v>
      </c>
      <c r="J192" s="13">
        <v>0.9</v>
      </c>
      <c r="K192">
        <v>552.6</v>
      </c>
      <c r="L192">
        <v>0.7</v>
      </c>
      <c r="M192">
        <v>122.80000000000007</v>
      </c>
      <c r="N192" s="1">
        <v>43518</v>
      </c>
    </row>
    <row r="193" spans="5:14" x14ac:dyDescent="0.3">
      <c r="E193" t="s">
        <v>80</v>
      </c>
      <c r="F193" t="s">
        <v>71</v>
      </c>
      <c r="G193" t="s">
        <v>88</v>
      </c>
      <c r="H193" t="s">
        <v>69</v>
      </c>
      <c r="I193">
        <v>781</v>
      </c>
      <c r="J193" s="13">
        <v>0.85</v>
      </c>
      <c r="K193">
        <v>663.85</v>
      </c>
      <c r="L193">
        <v>0.67</v>
      </c>
      <c r="M193">
        <v>140.58000000000004</v>
      </c>
      <c r="N193" s="1">
        <v>43634</v>
      </c>
    </row>
    <row r="194" spans="5:14" x14ac:dyDescent="0.3">
      <c r="E194" t="s">
        <v>76</v>
      </c>
      <c r="F194" t="s">
        <v>87</v>
      </c>
      <c r="G194" t="s">
        <v>86</v>
      </c>
      <c r="H194" t="s">
        <v>81</v>
      </c>
      <c r="I194">
        <v>314</v>
      </c>
      <c r="J194" s="13">
        <v>0.9</v>
      </c>
      <c r="K194">
        <v>282.60000000000002</v>
      </c>
      <c r="L194">
        <v>0.7</v>
      </c>
      <c r="M194">
        <v>62.80000000000004</v>
      </c>
      <c r="N194" s="1">
        <v>43866</v>
      </c>
    </row>
    <row r="195" spans="5:14" x14ac:dyDescent="0.3">
      <c r="E195" t="s">
        <v>85</v>
      </c>
      <c r="F195" t="s">
        <v>75</v>
      </c>
      <c r="G195" t="s">
        <v>84</v>
      </c>
      <c r="H195" t="s">
        <v>77</v>
      </c>
      <c r="I195">
        <v>816</v>
      </c>
      <c r="J195" s="13">
        <v>1.1000000000000001</v>
      </c>
      <c r="K195">
        <v>897.6</v>
      </c>
      <c r="L195">
        <v>0.8</v>
      </c>
      <c r="M195">
        <v>244.79999999999995</v>
      </c>
      <c r="N195" s="1">
        <v>43688</v>
      </c>
    </row>
    <row r="196" spans="5:14" x14ac:dyDescent="0.3">
      <c r="E196" t="s">
        <v>72</v>
      </c>
      <c r="F196" t="s">
        <v>83</v>
      </c>
      <c r="G196" t="s">
        <v>82</v>
      </c>
      <c r="H196" t="s">
        <v>81</v>
      </c>
      <c r="I196">
        <v>753</v>
      </c>
      <c r="J196" s="13">
        <v>0.8</v>
      </c>
      <c r="K196">
        <v>602.4</v>
      </c>
      <c r="L196">
        <v>0.69</v>
      </c>
      <c r="M196">
        <v>82.830000000000041</v>
      </c>
      <c r="N196" s="1">
        <v>44059</v>
      </c>
    </row>
    <row r="197" spans="5:14" x14ac:dyDescent="0.3">
      <c r="E197" t="s">
        <v>80</v>
      </c>
      <c r="F197" t="s">
        <v>79</v>
      </c>
      <c r="G197" t="s">
        <v>78</v>
      </c>
      <c r="H197" t="s">
        <v>77</v>
      </c>
      <c r="I197">
        <v>772</v>
      </c>
      <c r="J197" s="13">
        <v>0.85</v>
      </c>
      <c r="K197">
        <v>656.19999999999993</v>
      </c>
      <c r="L197">
        <v>0.67</v>
      </c>
      <c r="M197">
        <v>138.95999999999992</v>
      </c>
      <c r="N197" s="1">
        <v>44030</v>
      </c>
    </row>
    <row r="198" spans="5:14" x14ac:dyDescent="0.3">
      <c r="E198" t="s">
        <v>76</v>
      </c>
      <c r="F198" t="s">
        <v>75</v>
      </c>
      <c r="G198" t="s">
        <v>74</v>
      </c>
      <c r="H198" t="s">
        <v>73</v>
      </c>
      <c r="I198">
        <v>656</v>
      </c>
      <c r="J198" s="13">
        <v>0.9</v>
      </c>
      <c r="K198">
        <v>590.4</v>
      </c>
      <c r="L198">
        <v>0.7</v>
      </c>
      <c r="M198">
        <v>131.19999999999999</v>
      </c>
      <c r="N198" s="1">
        <v>43880</v>
      </c>
    </row>
    <row r="199" spans="5:14" x14ac:dyDescent="0.3">
      <c r="E199" t="s">
        <v>72</v>
      </c>
      <c r="F199" t="s">
        <v>71</v>
      </c>
      <c r="G199" t="s">
        <v>70</v>
      </c>
      <c r="H199" t="s">
        <v>69</v>
      </c>
      <c r="I199">
        <v>336</v>
      </c>
      <c r="J199" s="13">
        <v>0.8</v>
      </c>
      <c r="K199">
        <v>268.8</v>
      </c>
      <c r="L199">
        <v>0.69</v>
      </c>
      <c r="M199">
        <v>36.960000000000036</v>
      </c>
      <c r="N199" s="1">
        <v>44028</v>
      </c>
    </row>
  </sheetData>
  <mergeCells count="1">
    <mergeCell ref="A14:C1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თარიღები</vt:lpstr>
      <vt:lpstr>ფორმულები_Count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Nemsadze</dc:creator>
  <cp:lastModifiedBy>Ana Nemsadze</cp:lastModifiedBy>
  <dcterms:created xsi:type="dcterms:W3CDTF">2023-11-08T06:01:38Z</dcterms:created>
  <dcterms:modified xsi:type="dcterms:W3CDTF">2023-11-08T06:52:31Z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6c7ad2-60a5-409e-8203-10f940b19acd_Enabled">
    <vt:lpwstr>true</vt:lpwstr>
  </property>
  <property fmtid="{D5CDD505-2E9C-101B-9397-08002B2CF9AE}" pid="3" name="MSIP_Label_706c7ad2-60a5-409e-8203-10f940b19acd_SetDate">
    <vt:lpwstr>2023-11-08T06:01:41Z</vt:lpwstr>
  </property>
  <property fmtid="{D5CDD505-2E9C-101B-9397-08002B2CF9AE}" pid="4" name="MSIP_Label_706c7ad2-60a5-409e-8203-10f940b19acd_Method">
    <vt:lpwstr>Standard</vt:lpwstr>
  </property>
  <property fmtid="{D5CDD505-2E9C-101B-9397-08002B2CF9AE}" pid="5" name="MSIP_Label_706c7ad2-60a5-409e-8203-10f940b19acd_Name">
    <vt:lpwstr>For internal use only C1</vt:lpwstr>
  </property>
  <property fmtid="{D5CDD505-2E9C-101B-9397-08002B2CF9AE}" pid="6" name="MSIP_Label_706c7ad2-60a5-409e-8203-10f940b19acd_SiteId">
    <vt:lpwstr>91e167b0-e7f3-47d0-b08e-ac1e6b839fc3</vt:lpwstr>
  </property>
  <property fmtid="{D5CDD505-2E9C-101B-9397-08002B2CF9AE}" pid="7" name="MSIP_Label_706c7ad2-60a5-409e-8203-10f940b19acd_ActionId">
    <vt:lpwstr>d6631c6c-c9c8-4eea-8b12-e961adb5fa03</vt:lpwstr>
  </property>
  <property fmtid="{D5CDD505-2E9C-101B-9397-08002B2CF9AE}" pid="8" name="MSIP_Label_706c7ad2-60a5-409e-8203-10f940b19acd_ContentBits">
    <vt:lpwstr>2</vt:lpwstr>
  </property>
</Properties>
</file>