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comments5.xml" ContentType="application/vnd.openxmlformats-officedocument.spreadsheetml.comments+xml"/>
  <Override PartName="/xl/threadedComments/threadedComment1.xml" ContentType="application/vnd.ms-excel.threadedcomments+xml"/>
  <Override PartName="/xl/drawings/drawing10.xml" ContentType="application/vnd.openxmlformats-officedocument.drawing+xml"/>
  <Override PartName="/xl/comments6.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7.xml" ContentType="application/vnd.openxmlformats-officedocument.spreadsheetml.comments+xml"/>
  <Override PartName="/xl/drawings/drawing14.xml" ContentType="application/vnd.openxmlformats-officedocument.drawing+xml"/>
  <Override PartName="/xl/comments8.xml" ContentType="application/vnd.openxmlformats-officedocument.spreadsheetml.comments+xml"/>
  <Override PartName="/xl/threadedComments/threadedComment2.xml" ContentType="application/vnd.ms-excel.threadedcomments+xml"/>
  <Override PartName="/xl/drawings/drawing15.xml" ContentType="application/vnd.openxmlformats-officedocument.drawing+xml"/>
  <Override PartName="/xl/comments9.xml" ContentType="application/vnd.openxmlformats-officedocument.spreadsheetml.comments+xml"/>
  <Override PartName="/xl/namedSheetViews/namedSheetView1.xml" ContentType="application/vnd.ms-excel.namedsheetviews+xml"/>
  <Override PartName="/xl/drawings/drawing16.xml" ContentType="application/vnd.openxmlformats-officedocument.drawing+xml"/>
  <Override PartName="/xl/comments10.xml" ContentType="application/vnd.openxmlformats-officedocument.spreadsheetml.comments+xml"/>
  <Override PartName="/xl/drawings/drawing17.xml" ContentType="application/vnd.openxmlformats-officedocument.drawing+xml"/>
  <Override PartName="/xl/drawings/drawing18.xml" ContentType="application/vnd.openxmlformats-officedocument.drawing+xml"/>
  <Override PartName="/xl/comments1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GitHub\Project\kpi-auto-report\doc\"/>
    </mc:Choice>
  </mc:AlternateContent>
  <xr:revisionPtr revIDLastSave="0" documentId="13_ncr:1_{4411D5DA-F877-4107-8E4A-429F43D2D6D4}" xr6:coauthVersionLast="47" xr6:coauthVersionMax="47" xr10:uidLastSave="{00000000-0000-0000-0000-000000000000}"/>
  <bookViews>
    <workbookView xWindow="-108" yWindow="-108" windowWidth="23256" windowHeight="13896" tabRatio="802" xr2:uid="{EE5250FF-417D-4BF9-AE49-599B7EAB1D02}"/>
  </bookViews>
  <sheets>
    <sheet name="Menu" sheetId="25" r:id="rId1"/>
    <sheet name="Safety" sheetId="6" r:id="rId2"/>
    <sheet name="Safety (by Dept)" sheetId="8" r:id="rId3"/>
    <sheet name="Quality" sheetId="7" r:id="rId4"/>
    <sheet name="Quality (By Product)" sheetId="9" r:id="rId5"/>
    <sheet name="Quality Loss by product" sheetId="27" r:id="rId6"/>
    <sheet name="Delivery" sheetId="10" r:id="rId7"/>
    <sheet name="Delivery (by Product)" sheetId="11" r:id="rId8"/>
    <sheet name="Compliance" sheetId="16" r:id="rId9"/>
    <sheet name="Compliance (by Dept)" sheetId="17" r:id="rId10"/>
    <sheet name="HR" sheetId="18" r:id="rId11"/>
    <sheet name="HR (By Dept)" sheetId="21" r:id="rId12"/>
    <sheet name="Attractive" sheetId="19" r:id="rId13"/>
    <sheet name="Attractive(by Dept)" sheetId="22" r:id="rId14"/>
    <sheet name="Environment" sheetId="20" r:id="rId15"/>
    <sheet name="Environment (By Dept)" sheetId="23" r:id="rId16"/>
    <sheet name="Environment (By Dept) -CN" sheetId="26" r:id="rId17"/>
    <sheet name="Cost" sheetId="24" r:id="rId18"/>
    <sheet name="Yearly Target" sheetId="1" r:id="rId19"/>
  </sheets>
  <externalReferences>
    <externalReference r:id="rId20"/>
    <externalReference r:id="rId21"/>
    <externalReference r:id="rId22"/>
    <externalReference r:id="rId23"/>
    <externalReference r:id="rId24"/>
    <externalReference r:id="rId25"/>
  </externalReferences>
  <definedNames>
    <definedName name="_xlnm._FilterDatabase" localSheetId="12" hidden="1">Attractive!$A$1:$S$37</definedName>
    <definedName name="_xlnm._FilterDatabase" localSheetId="13" hidden="1">'Attractive(by Dept)'!$A$1:$O$37</definedName>
    <definedName name="_xlnm._FilterDatabase" localSheetId="8" hidden="1">Compliance!$A$1:$V$589</definedName>
    <definedName name="_xlnm._FilterDatabase" localSheetId="9" hidden="1">'Compliance (by Dept)'!$A$1:$AC$589</definedName>
    <definedName name="_xlnm._FilterDatabase" localSheetId="17" hidden="1">Cost!$A$1:$M$133</definedName>
    <definedName name="_xlnm._FilterDatabase" localSheetId="6" hidden="1">Delivery!$A$1:$BRV$61</definedName>
    <definedName name="_xlnm._FilterDatabase" localSheetId="7" hidden="1">'Delivery (by Product)'!$A$1:$S$61</definedName>
    <definedName name="_xlnm._FilterDatabase" localSheetId="14" hidden="1">Environment!$A$1:$N$133</definedName>
    <definedName name="_xlnm._FilterDatabase" localSheetId="15" hidden="1">'Environment (By Dept)'!$A$1:$J$13</definedName>
    <definedName name="_xlnm._FilterDatabase" localSheetId="16" hidden="1">'Environment (By Dept) -CN'!$A$1:$J$73</definedName>
    <definedName name="_xlnm._FilterDatabase" localSheetId="10" hidden="1">HR!$A$1:$M$92</definedName>
    <definedName name="_xlnm._FilterDatabase" localSheetId="11" hidden="1">'HR (By Dept)'!$A$1:$M$85</definedName>
    <definedName name="_xlnm._FilterDatabase" localSheetId="3" hidden="1">Quality!$A$1:$S$121</definedName>
    <definedName name="_xlnm._FilterDatabase" localSheetId="4" hidden="1">'Quality (By Product)'!$A$1:$AH$109</definedName>
    <definedName name="_xlnm._FilterDatabase" localSheetId="5">'Quality Loss by product'!$A$1:$AN$1</definedName>
    <definedName name="_xlnm._FilterDatabase" localSheetId="1" hidden="1">Safety!$A$1:$M$10</definedName>
    <definedName name="_xlnm._FilterDatabase" localSheetId="2" hidden="1">'Safety (by Dept)'!$A$1:$AC$110</definedName>
    <definedName name="_xlnm._FilterDatabase" localSheetId="18" hidden="1">'Yearly Target'!$A$1:$N$417</definedName>
    <definedName name="Quality">Quality!$E$1:$R$121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29" i="17" l="1"/>
  <c r="K529" i="16"/>
  <c r="J14" i="27"/>
  <c r="K119" i="24" l="1"/>
  <c r="K117" i="24"/>
  <c r="K113" i="24"/>
  <c r="J113" i="24"/>
  <c r="K112" i="24"/>
  <c r="J112" i="24"/>
  <c r="J114" i="24" l="1"/>
  <c r="K114" i="24"/>
  <c r="Y515" i="17"/>
  <c r="Y514" i="17"/>
  <c r="V513" i="17"/>
  <c r="V512" i="17"/>
  <c r="X513" i="17"/>
  <c r="X512" i="17"/>
  <c r="Y513" i="17"/>
  <c r="Y512" i="17"/>
  <c r="V514" i="17"/>
  <c r="Y467" i="17"/>
  <c r="M527" i="16"/>
  <c r="M526" i="16"/>
  <c r="N591" i="16"/>
  <c r="V521" i="17"/>
  <c r="V520" i="17"/>
  <c r="AA523" i="17"/>
  <c r="AA521" i="17"/>
  <c r="AA522" i="17"/>
  <c r="AA520" i="17"/>
  <c r="Y521" i="17"/>
  <c r="Y522" i="17"/>
  <c r="Y520" i="17"/>
  <c r="Y523" i="17"/>
  <c r="X523" i="17"/>
  <c r="X522" i="17"/>
  <c r="X521" i="17"/>
  <c r="X520" i="17"/>
  <c r="L110" i="7" l="1"/>
  <c r="O105" i="7"/>
  <c r="AK12" i="23" l="1"/>
  <c r="AJ12" i="23"/>
  <c r="AM12" i="23"/>
  <c r="AL12" i="23"/>
  <c r="Y500" i="17"/>
  <c r="Y496" i="17"/>
  <c r="K112" i="9"/>
  <c r="L112" i="9"/>
  <c r="M112" i="9"/>
  <c r="N112" i="9"/>
  <c r="O112" i="9"/>
  <c r="P112" i="9"/>
  <c r="Q112" i="9"/>
  <c r="R112" i="9"/>
  <c r="S112" i="9"/>
  <c r="J112" i="9"/>
  <c r="R14" i="27"/>
  <c r="S14" i="27"/>
  <c r="T14" i="27"/>
  <c r="U14" i="27"/>
  <c r="V14" i="27"/>
  <c r="S431" i="17" l="1"/>
  <c r="O137" i="17"/>
  <c r="N137" i="17"/>
  <c r="N88" i="17"/>
  <c r="N39" i="17"/>
  <c r="R431" i="17"/>
  <c r="R137" i="17"/>
  <c r="R88" i="17"/>
  <c r="P431" i="17"/>
  <c r="L431" i="17"/>
  <c r="J431" i="17"/>
  <c r="J333" i="17"/>
  <c r="J284" i="17"/>
  <c r="J137" i="17"/>
  <c r="K431" i="16"/>
  <c r="K382" i="16"/>
  <c r="K333" i="16"/>
  <c r="K284" i="16"/>
  <c r="K235" i="16"/>
  <c r="K137" i="16"/>
  <c r="K88" i="16"/>
  <c r="K39" i="16"/>
  <c r="S529" i="17"/>
  <c r="O529" i="17"/>
  <c r="N529" i="17"/>
  <c r="R529" i="17"/>
  <c r="P529" i="17"/>
  <c r="J529" i="17"/>
  <c r="Q10" i="1" l="1"/>
  <c r="J93" i="6" l="1"/>
  <c r="N23" i="20" l="1"/>
  <c r="N34" i="20" s="1"/>
  <c r="N45" i="20" s="1"/>
  <c r="N56" i="20" s="1"/>
  <c r="N67" i="20" s="1"/>
  <c r="N78" i="20" s="1"/>
  <c r="N89" i="20" s="1"/>
  <c r="N100" i="20" s="1"/>
  <c r="N111" i="20" s="1"/>
  <c r="N122" i="20" s="1"/>
  <c r="AK11" i="23"/>
  <c r="AJ11" i="23"/>
  <c r="M322" i="16" l="1"/>
  <c r="M323" i="16"/>
  <c r="L470" i="16" l="1"/>
  <c r="L469" i="16"/>
  <c r="L575" i="16" l="1"/>
  <c r="L576" i="16"/>
  <c r="L526" i="16"/>
  <c r="L527" i="16"/>
  <c r="Y468" i="17"/>
  <c r="Y466" i="17"/>
  <c r="Y465" i="17"/>
  <c r="X464" i="17"/>
  <c r="X463" i="17"/>
  <c r="Y464" i="17"/>
  <c r="Y463" i="17"/>
  <c r="V464" i="17"/>
  <c r="V463" i="17"/>
  <c r="M467" i="16"/>
  <c r="K102" i="24"/>
  <c r="J102" i="24"/>
  <c r="K101" i="24"/>
  <c r="J101" i="24"/>
  <c r="K108" i="24"/>
  <c r="K106" i="24"/>
  <c r="L477" i="16"/>
  <c r="S480" i="17"/>
  <c r="O480" i="17"/>
  <c r="R480" i="17"/>
  <c r="P480" i="17"/>
  <c r="L480" i="17"/>
  <c r="J480" i="17"/>
  <c r="K480" i="16"/>
  <c r="AA423" i="17"/>
  <c r="Y474" i="17"/>
  <c r="Y473" i="17"/>
  <c r="X474" i="17"/>
  <c r="X473" i="17"/>
  <c r="AA472" i="17"/>
  <c r="AA471" i="17"/>
  <c r="Y472" i="17"/>
  <c r="Y471" i="17"/>
  <c r="X471" i="17"/>
  <c r="V472" i="17"/>
  <c r="V471" i="17"/>
  <c r="AG30" i="22"/>
  <c r="K103" i="24" l="1"/>
  <c r="J103" i="24"/>
  <c r="M215" i="16"/>
  <c r="M214" i="16"/>
  <c r="M64" i="16"/>
  <c r="M113" i="16" s="1"/>
  <c r="M162" i="16" s="1"/>
  <c r="M211" i="16" s="1"/>
  <c r="M260" i="16" s="1"/>
  <c r="M309" i="16" s="1"/>
  <c r="M358" i="16" s="1"/>
  <c r="M407" i="16" s="1"/>
  <c r="M456" i="16" s="1"/>
  <c r="M505" i="16" s="1"/>
  <c r="U58" i="11" l="1"/>
  <c r="U53" i="11"/>
  <c r="U48" i="11"/>
  <c r="U43" i="11"/>
  <c r="U38" i="11"/>
  <c r="U33" i="11"/>
  <c r="U28" i="11"/>
  <c r="U23" i="11"/>
  <c r="U18" i="11"/>
  <c r="U52" i="11"/>
  <c r="U54" i="11"/>
  <c r="U55" i="11"/>
  <c r="U56" i="11"/>
  <c r="U57" i="11"/>
  <c r="U47" i="11"/>
  <c r="U42" i="11"/>
  <c r="U37" i="11"/>
  <c r="U32" i="11"/>
  <c r="U27" i="11"/>
  <c r="U22" i="11"/>
  <c r="U17" i="11"/>
  <c r="Y398" i="17"/>
  <c r="Y349" i="17" l="1"/>
  <c r="Y300" i="17"/>
  <c r="J9" i="6"/>
  <c r="Y251" i="17" l="1"/>
  <c r="Y250" i="17"/>
  <c r="N251" i="17"/>
  <c r="V251" i="17"/>
  <c r="Y202" i="17"/>
  <c r="Y153" i="17" l="1"/>
  <c r="Y104" i="17"/>
  <c r="N55" i="17"/>
  <c r="W55" i="17"/>
  <c r="V6" i="17"/>
  <c r="M26" i="19" l="1"/>
  <c r="M29" i="19" s="1"/>
  <c r="M32" i="19" s="1"/>
  <c r="L11" i="7"/>
  <c r="L21" i="7" s="1"/>
  <c r="L31" i="7" s="1"/>
  <c r="L41" i="7" s="1"/>
  <c r="L51" i="7" s="1"/>
  <c r="L61" i="7" s="1"/>
  <c r="L71" i="7" s="1"/>
  <c r="L81" i="7" s="1"/>
  <c r="L90" i="7" s="1"/>
  <c r="Y423" i="17"/>
  <c r="Y424" i="17"/>
  <c r="K110" i="8"/>
  <c r="L110" i="8"/>
  <c r="M110" i="8"/>
  <c r="N110" i="8"/>
  <c r="O110" i="8"/>
  <c r="P110" i="8"/>
  <c r="Q110" i="8"/>
  <c r="R110" i="8"/>
  <c r="S110" i="8"/>
  <c r="T110" i="8"/>
  <c r="U110" i="8"/>
  <c r="V110" i="8"/>
  <c r="W110" i="8"/>
  <c r="X110" i="8"/>
  <c r="Y110" i="8"/>
  <c r="Z110" i="8"/>
  <c r="AA110" i="8"/>
  <c r="AB110" i="8"/>
  <c r="J110" i="8"/>
  <c r="X425" i="17"/>
  <c r="X424" i="17"/>
  <c r="Y422" i="17"/>
  <c r="AA422" i="17" l="1"/>
  <c r="V423" i="17"/>
  <c r="V422" i="17"/>
  <c r="X423" i="17"/>
  <c r="X422" i="17"/>
  <c r="M419" i="16"/>
  <c r="M418" i="16"/>
  <c r="M421" i="16"/>
  <c r="M420" i="16"/>
  <c r="J421" i="16"/>
  <c r="J468" i="16"/>
  <c r="J517" i="16"/>
  <c r="J419" i="16"/>
  <c r="J418" i="16"/>
  <c r="J420" i="16"/>
  <c r="J516" i="16"/>
  <c r="K97" i="24" l="1"/>
  <c r="K95" i="24"/>
  <c r="K91" i="24"/>
  <c r="J91" i="24"/>
  <c r="K90" i="24"/>
  <c r="J90" i="24"/>
  <c r="AG27" i="22"/>
  <c r="W27" i="22"/>
  <c r="AD27" i="22"/>
  <c r="T49" i="26"/>
  <c r="S49" i="26"/>
  <c r="AH27" i="22" l="1"/>
  <c r="J92" i="24"/>
  <c r="K92" i="24"/>
  <c r="X415" i="17"/>
  <c r="X414" i="17"/>
  <c r="Y415" i="17"/>
  <c r="Z415" i="17"/>
  <c r="Y414" i="17"/>
  <c r="Z414" i="17"/>
  <c r="V415" i="17"/>
  <c r="V414" i="17"/>
  <c r="Y417" i="17"/>
  <c r="Y416" i="17"/>
  <c r="Y421" i="17"/>
  <c r="Y420" i="17"/>
  <c r="Y419" i="17"/>
  <c r="Y418" i="17"/>
  <c r="L419" i="17" l="1"/>
  <c r="L418" i="17"/>
  <c r="K416" i="17"/>
  <c r="L417" i="17"/>
  <c r="N96" i="20" l="1"/>
  <c r="N107" i="20" s="1"/>
  <c r="AK10" i="23" l="1"/>
  <c r="AK9" i="23"/>
  <c r="AK8" i="23"/>
  <c r="AJ10" i="23"/>
  <c r="AJ9" i="23"/>
  <c r="AJ8" i="23"/>
  <c r="AJ7" i="23"/>
  <c r="M411" i="16" l="1"/>
  <c r="M410" i="16"/>
  <c r="J409" i="16"/>
  <c r="O431" i="17"/>
  <c r="N431" i="17"/>
  <c r="L369" i="16"/>
  <c r="L418" i="16" s="1"/>
  <c r="L320" i="16" l="1"/>
  <c r="J565" i="16"/>
  <c r="L419" i="16" s="1"/>
  <c r="J564" i="16"/>
  <c r="L467" i="16" s="1"/>
  <c r="L516" i="16" s="1"/>
  <c r="L370" i="16" l="1"/>
  <c r="K86" i="24" l="1"/>
  <c r="Y368" i="17"/>
  <c r="Y367" i="17"/>
  <c r="S368" i="17"/>
  <c r="S367" i="17"/>
  <c r="K84" i="24"/>
  <c r="K81" i="24"/>
  <c r="J81" i="24"/>
  <c r="X366" i="17"/>
  <c r="X365" i="17"/>
  <c r="Y366" i="17"/>
  <c r="Y365" i="17"/>
  <c r="Z366" i="17"/>
  <c r="Z365" i="17"/>
  <c r="K372" i="16"/>
  <c r="K371" i="16"/>
  <c r="L161" i="16" l="1"/>
  <c r="L210" i="16" s="1"/>
  <c r="L259" i="16" s="1"/>
  <c r="L308" i="16" s="1"/>
  <c r="L357" i="16" s="1"/>
  <c r="L406" i="16" s="1"/>
  <c r="L455" i="16" s="1"/>
  <c r="L553" i="16" s="1"/>
  <c r="Y372" i="17"/>
  <c r="Y371" i="17"/>
  <c r="Y370" i="17"/>
  <c r="Y369" i="17"/>
  <c r="V366" i="17"/>
  <c r="V365" i="17"/>
  <c r="AB366" i="17"/>
  <c r="AB365" i="17"/>
  <c r="J20" i="7"/>
  <c r="L20" i="7" s="1"/>
  <c r="J30" i="7"/>
  <c r="J40" i="7"/>
  <c r="J70" i="7"/>
  <c r="N83" i="20"/>
  <c r="N94" i="20" s="1"/>
  <c r="N105" i="20" s="1"/>
  <c r="N116" i="20" s="1"/>
  <c r="M4" i="16" l="1"/>
  <c r="M53" i="16" s="1"/>
  <c r="M102" i="16" s="1"/>
  <c r="M151" i="16" s="1"/>
  <c r="M200" i="16" s="1"/>
  <c r="M249" i="16" s="1"/>
  <c r="M298" i="16" s="1"/>
  <c r="M347" i="16" s="1"/>
  <c r="M396" i="16" s="1"/>
  <c r="M445" i="16" s="1"/>
  <c r="M494" i="16" s="1"/>
  <c r="M3" i="16"/>
  <c r="M52" i="16" s="1"/>
  <c r="M101" i="16" s="1"/>
  <c r="M150" i="16" s="1"/>
  <c r="M199" i="16" s="1"/>
  <c r="M248" i="16" s="1"/>
  <c r="M297" i="16" s="1"/>
  <c r="M346" i="16" s="1"/>
  <c r="M395" i="16" s="1"/>
  <c r="M17" i="16"/>
  <c r="M66" i="16" s="1"/>
  <c r="M115" i="16" s="1"/>
  <c r="M164" i="16" s="1"/>
  <c r="M213" i="16" s="1"/>
  <c r="M262" i="16" s="1"/>
  <c r="M311" i="16" s="1"/>
  <c r="M360" i="16" s="1"/>
  <c r="M409" i="16" s="1"/>
  <c r="M458" i="16" s="1"/>
  <c r="M507" i="16" s="1"/>
  <c r="M16" i="16"/>
  <c r="M65" i="16" s="1"/>
  <c r="M114" i="16" s="1"/>
  <c r="M163" i="16" s="1"/>
  <c r="M212" i="16" s="1"/>
  <c r="M261" i="16" s="1"/>
  <c r="M310" i="16" s="1"/>
  <c r="M359" i="16" s="1"/>
  <c r="M408" i="16" s="1"/>
  <c r="M457" i="16" s="1"/>
  <c r="M506" i="16" s="1"/>
  <c r="M350" i="16" l="1"/>
  <c r="M351" i="16"/>
  <c r="L354" i="16"/>
  <c r="M354" i="16"/>
  <c r="L355" i="16"/>
  <c r="M355" i="16"/>
  <c r="L356" i="16"/>
  <c r="M356" i="16"/>
  <c r="M357" i="16"/>
  <c r="M406" i="16" s="1"/>
  <c r="M455" i="16" s="1"/>
  <c r="M552" i="16" s="1"/>
  <c r="M18" i="6" l="1"/>
  <c r="M27" i="6" s="1"/>
  <c r="M36" i="6" s="1"/>
  <c r="M45" i="6" s="1"/>
  <c r="M54" i="6" s="1"/>
  <c r="M63" i="6" s="1"/>
  <c r="M72" i="6" s="1"/>
  <c r="M81" i="6" s="1"/>
  <c r="M99" i="6" s="1"/>
  <c r="M108" i="6" s="1"/>
  <c r="M6" i="6"/>
  <c r="M15" i="6" s="1"/>
  <c r="M24" i="6" s="1"/>
  <c r="M33" i="6" s="1"/>
  <c r="M42" i="6" s="1"/>
  <c r="M51" i="6" s="1"/>
  <c r="M60" i="6" s="1"/>
  <c r="M69" i="6" s="1"/>
  <c r="M78" i="6" s="1"/>
  <c r="M87" i="6" s="1"/>
  <c r="M96" i="6" s="1"/>
  <c r="M105" i="6" s="1"/>
  <c r="M6" i="16"/>
  <c r="M5" i="16"/>
  <c r="M54" i="16" s="1"/>
  <c r="M103" i="16" s="1"/>
  <c r="M152" i="16" s="1"/>
  <c r="M201" i="16" s="1"/>
  <c r="M250" i="16" s="1"/>
  <c r="M299" i="16" s="1"/>
  <c r="L9" i="16"/>
  <c r="M9" i="16"/>
  <c r="M58" i="16" s="1"/>
  <c r="M107" i="16" s="1"/>
  <c r="M156" i="16" s="1"/>
  <c r="M205" i="16" s="1"/>
  <c r="M254" i="16" s="1"/>
  <c r="M303" i="16" s="1"/>
  <c r="L10" i="16"/>
  <c r="L59" i="16" s="1"/>
  <c r="L108" i="16" s="1"/>
  <c r="L157" i="16" s="1"/>
  <c r="M10" i="16"/>
  <c r="M59" i="16" s="1"/>
  <c r="M108" i="16" s="1"/>
  <c r="M157" i="16" s="1"/>
  <c r="M206" i="16" s="1"/>
  <c r="M255" i="16" s="1"/>
  <c r="M304" i="16" s="1"/>
  <c r="L134" i="16"/>
  <c r="L135" i="16"/>
  <c r="M138" i="16"/>
  <c r="M139" i="16"/>
  <c r="L141" i="16"/>
  <c r="M141" i="16"/>
  <c r="M161" i="16"/>
  <c r="L183" i="16"/>
  <c r="L184" i="16"/>
  <c r="M226" i="16"/>
  <c r="M227" i="16"/>
  <c r="M228" i="16"/>
  <c r="M229" i="16"/>
  <c r="L232" i="16"/>
  <c r="L233" i="16"/>
  <c r="M268" i="16"/>
  <c r="M270" i="16"/>
  <c r="L272" i="16"/>
  <c r="L321" i="16" s="1"/>
  <c r="L281" i="16"/>
  <c r="M281" i="16"/>
  <c r="L282" i="16"/>
  <c r="M282" i="16"/>
  <c r="M285" i="16"/>
  <c r="M286" i="16"/>
  <c r="L288" i="16"/>
  <c r="M288" i="16"/>
  <c r="M353" i="16" l="1"/>
  <c r="M402" i="16" s="1"/>
  <c r="M451" i="16" s="1"/>
  <c r="M548" i="16" s="1"/>
  <c r="M352" i="16"/>
  <c r="M401" i="16" s="1"/>
  <c r="M450" i="16" s="1"/>
  <c r="M547" i="16" s="1"/>
  <c r="M348" i="16"/>
  <c r="M397" i="16" s="1"/>
  <c r="M446" i="16" s="1"/>
  <c r="M543" i="16" s="1"/>
  <c r="L206" i="16"/>
  <c r="L255" i="16" s="1"/>
  <c r="L304" i="16" s="1"/>
  <c r="L58" i="16"/>
  <c r="L107" i="16" s="1"/>
  <c r="L156" i="16" s="1"/>
  <c r="L205" i="16" s="1"/>
  <c r="S382" i="17"/>
  <c r="R382" i="17"/>
  <c r="P382" i="17"/>
  <c r="O382" i="17"/>
  <c r="L382" i="17"/>
  <c r="J382" i="17"/>
  <c r="K75" i="24"/>
  <c r="K78" i="24"/>
  <c r="J78" i="24"/>
  <c r="K77" i="24"/>
  <c r="J77" i="24"/>
  <c r="K66" i="24"/>
  <c r="J66" i="24"/>
  <c r="K55" i="24"/>
  <c r="J55" i="24"/>
  <c r="K44" i="24"/>
  <c r="J44" i="24"/>
  <c r="K22" i="24"/>
  <c r="J22" i="24"/>
  <c r="K11" i="24"/>
  <c r="J11" i="24"/>
  <c r="L254" i="16" l="1"/>
  <c r="L303" i="16" s="1"/>
  <c r="L352" i="16" s="1"/>
  <c r="L401" i="16" s="1"/>
  <c r="L353" i="16"/>
  <c r="M11" i="7"/>
  <c r="M21" i="7" s="1"/>
  <c r="M31" i="7" s="1"/>
  <c r="M41" i="7" s="1"/>
  <c r="M51" i="7" s="1"/>
  <c r="M61" i="7" s="1"/>
  <c r="M71" i="7" s="1"/>
  <c r="M81" i="7" s="1"/>
  <c r="M90" i="7" s="1"/>
  <c r="M101" i="7" s="1"/>
  <c r="L402" i="16" l="1"/>
  <c r="L451" i="16" s="1"/>
  <c r="L500" i="16" s="1"/>
  <c r="L450" i="16"/>
  <c r="L499" i="16" s="1"/>
  <c r="L548" i="16" s="1"/>
  <c r="Y322" i="17"/>
  <c r="Y323" i="17"/>
  <c r="Y320" i="17"/>
  <c r="Y321" i="17"/>
  <c r="Y319" i="17"/>
  <c r="Y318" i="17"/>
  <c r="X317" i="17"/>
  <c r="X316" i="17"/>
  <c r="V317" i="17"/>
  <c r="V316" i="17"/>
  <c r="Y317" i="17"/>
  <c r="Y316" i="17"/>
  <c r="L468" i="16"/>
  <c r="L517" i="16" s="1"/>
  <c r="T43" i="26"/>
  <c r="S43" i="26"/>
  <c r="L565" i="16" l="1"/>
  <c r="K73" i="24"/>
  <c r="J59" i="24"/>
  <c r="K68" i="24"/>
  <c r="J68" i="24"/>
  <c r="X321" i="17"/>
  <c r="X319" i="17"/>
  <c r="V268" i="17"/>
  <c r="N74" i="20"/>
  <c r="N76" i="20"/>
  <c r="N87" i="20" s="1"/>
  <c r="N98" i="20" s="1"/>
  <c r="N109" i="20" s="1"/>
  <c r="N120" i="20" s="1"/>
  <c r="N73" i="20"/>
  <c r="N84" i="20" s="1"/>
  <c r="N95" i="20" s="1"/>
  <c r="N106" i="20" s="1"/>
  <c r="N117" i="20" s="1"/>
  <c r="AH21" i="22"/>
  <c r="M17" i="19"/>
  <c r="M20" i="19" s="1"/>
  <c r="M6" i="19"/>
  <c r="M9" i="19" s="1"/>
  <c r="M12" i="19" s="1"/>
  <c r="M15" i="19" s="1"/>
  <c r="M18" i="19" s="1"/>
  <c r="M21" i="19" s="1"/>
  <c r="H235" i="16"/>
  <c r="H284" i="16"/>
  <c r="H333" i="16"/>
  <c r="H382" i="16"/>
  <c r="H431" i="16"/>
  <c r="H480" i="16"/>
  <c r="H529" i="16"/>
  <c r="M24" i="19" l="1"/>
  <c r="M30" i="19" s="1"/>
  <c r="M33" i="19" s="1"/>
  <c r="M27" i="19"/>
  <c r="J70" i="24"/>
  <c r="K70" i="24"/>
  <c r="L330" i="16"/>
  <c r="L70" i="7"/>
  <c r="L80" i="7" s="1"/>
  <c r="L89" i="7" s="1"/>
  <c r="K70" i="7"/>
  <c r="M70" i="7" s="1"/>
  <c r="M80" i="7" s="1"/>
  <c r="M89" i="7" s="1"/>
  <c r="M36" i="10" l="1"/>
  <c r="M41" i="10" s="1"/>
  <c r="M46" i="10" s="1"/>
  <c r="M51" i="10" s="1"/>
  <c r="M56" i="10" s="1"/>
  <c r="S333" i="17"/>
  <c r="R333" i="17"/>
  <c r="P333" i="17"/>
  <c r="L333" i="17"/>
  <c r="Q7" i="27"/>
  <c r="Q14" i="27" s="1"/>
  <c r="P7" i="27"/>
  <c r="O7" i="27"/>
  <c r="N7" i="27"/>
  <c r="M7" i="27"/>
  <c r="M14" i="27" s="1"/>
  <c r="K64" i="24" l="1"/>
  <c r="K62" i="24" l="1"/>
  <c r="Y269" i="17" l="1"/>
  <c r="Y270" i="17"/>
  <c r="X267" i="17"/>
  <c r="X268" i="17"/>
  <c r="Y267" i="17"/>
  <c r="Y268" i="17"/>
  <c r="Z268" i="17"/>
  <c r="Z267" i="17"/>
  <c r="V267" i="17"/>
  <c r="AK6" i="23" l="1"/>
  <c r="AK7" i="23"/>
  <c r="N50" i="7"/>
  <c r="N49" i="7"/>
  <c r="N39" i="19"/>
  <c r="S284" i="17" l="1"/>
  <c r="O284" i="17"/>
  <c r="R284" i="17"/>
  <c r="P284" i="17"/>
  <c r="L284" i="17"/>
  <c r="L14" i="19" l="1"/>
  <c r="L17" i="19" s="1"/>
  <c r="L20" i="19" s="1"/>
  <c r="L23" i="19" s="1"/>
  <c r="L26" i="19" l="1"/>
  <c r="Y221" i="17"/>
  <c r="Y218" i="17"/>
  <c r="Y219" i="17"/>
  <c r="V218" i="17"/>
  <c r="V219" i="17"/>
  <c r="X218" i="17"/>
  <c r="X219" i="17"/>
  <c r="L29" i="19" l="1"/>
  <c r="L32" i="19" s="1"/>
  <c r="L35" i="19" s="1"/>
  <c r="AB7" i="27"/>
  <c r="AC7" i="27"/>
  <c r="AD7" i="27"/>
  <c r="AE7" i="27"/>
  <c r="AF7" i="27"/>
  <c r="AG7" i="27"/>
  <c r="AH7" i="27"/>
  <c r="AI7" i="27"/>
  <c r="AJ7" i="27"/>
  <c r="AK7" i="27"/>
  <c r="AL7" i="27"/>
  <c r="AM7" i="27"/>
  <c r="AN7" i="27"/>
  <c r="Y220" i="17" l="1"/>
  <c r="N46" i="9" l="1"/>
  <c r="Y225" i="17" l="1"/>
  <c r="Y224" i="17"/>
  <c r="Y223" i="17"/>
  <c r="Y222" i="17"/>
  <c r="K53" i="24" l="1"/>
  <c r="K51" i="24"/>
  <c r="K48" i="24"/>
  <c r="P26" i="11"/>
  <c r="O225" i="17" l="1"/>
  <c r="S225" i="17"/>
  <c r="X225" i="17"/>
  <c r="N223" i="17"/>
  <c r="S223" i="17"/>
  <c r="X223" i="17"/>
  <c r="N221" i="17"/>
  <c r="O221" i="17"/>
  <c r="S221" i="17"/>
  <c r="X221" i="17"/>
  <c r="N219" i="17"/>
  <c r="O219" i="17"/>
  <c r="S219" i="17"/>
  <c r="AJ5" i="23" l="1"/>
  <c r="AJ6" i="23"/>
  <c r="S235" i="17"/>
  <c r="N235" i="17"/>
  <c r="R235" i="17"/>
  <c r="P235" i="17"/>
  <c r="L235" i="17"/>
  <c r="J235" i="17"/>
  <c r="L5" i="16"/>
  <c r="L54" i="16" s="1"/>
  <c r="L103" i="16" s="1"/>
  <c r="L152" i="16" s="1"/>
  <c r="L201" i="16" s="1"/>
  <c r="L250" i="16" s="1"/>
  <c r="L299" i="16" s="1"/>
  <c r="M13" i="16"/>
  <c r="M62" i="16" s="1"/>
  <c r="L348" i="16" l="1"/>
  <c r="L397" i="16" s="1"/>
  <c r="L446" i="16" s="1"/>
  <c r="L495" i="16" s="1"/>
  <c r="L544" i="16" s="1"/>
  <c r="T25" i="26"/>
  <c r="S25" i="26"/>
  <c r="K42" i="24"/>
  <c r="K40" i="24"/>
  <c r="K37" i="24"/>
  <c r="Y175" i="17" l="1"/>
  <c r="Y176" i="17"/>
  <c r="V174" i="17"/>
  <c r="V173" i="17"/>
  <c r="Y174" i="17"/>
  <c r="Y173" i="17"/>
  <c r="Y171" i="17"/>
  <c r="Y172" i="17"/>
  <c r="X171" i="17"/>
  <c r="X172" i="17"/>
  <c r="W169" i="17"/>
  <c r="Y169" i="17"/>
  <c r="Z170" i="17"/>
  <c r="Z169" i="17"/>
  <c r="X170" i="17"/>
  <c r="O176" i="17"/>
  <c r="X176" i="17"/>
  <c r="N174" i="17"/>
  <c r="O174" i="17"/>
  <c r="S174" i="17"/>
  <c r="X174" i="17"/>
  <c r="O172" i="17"/>
  <c r="S172" i="17"/>
  <c r="N172" i="17"/>
  <c r="S170" i="17"/>
  <c r="O170" i="17"/>
  <c r="N170" i="17"/>
  <c r="Y170" i="17"/>
  <c r="V170" i="17" l="1"/>
  <c r="N39" i="7"/>
  <c r="N40" i="7"/>
  <c r="K40" i="7"/>
  <c r="AK5" i="23"/>
  <c r="AJ2" i="23"/>
  <c r="AJ3" i="23"/>
  <c r="AJ4" i="23"/>
  <c r="K177" i="16"/>
  <c r="L43" i="20"/>
  <c r="S21" i="11"/>
  <c r="S186" i="17"/>
  <c r="O186" i="17"/>
  <c r="N186" i="17"/>
  <c r="R186" i="17"/>
  <c r="P186" i="17"/>
  <c r="L186" i="17"/>
  <c r="K186" i="17"/>
  <c r="J186" i="17"/>
  <c r="K186" i="16"/>
  <c r="P4" i="27"/>
  <c r="P14" i="27" s="1"/>
  <c r="O4" i="27"/>
  <c r="O14" i="27" s="1"/>
  <c r="N4" i="27"/>
  <c r="N14" i="27" s="1"/>
  <c r="L4" i="27"/>
  <c r="L14" i="27" s="1"/>
  <c r="K4" i="27"/>
  <c r="K14" i="27" s="1"/>
  <c r="K31" i="24" l="1"/>
  <c r="K29" i="24"/>
  <c r="K26" i="24"/>
  <c r="L99" i="16" l="1"/>
  <c r="M99" i="16"/>
  <c r="M148" i="16" l="1"/>
  <c r="M197" i="16" s="1"/>
  <c r="M246" i="16" s="1"/>
  <c r="L148" i="16"/>
  <c r="L197" i="16" s="1"/>
  <c r="L246" i="16" s="1"/>
  <c r="L295" i="16" s="1"/>
  <c r="L344" i="16" s="1"/>
  <c r="L393" i="16" s="1"/>
  <c r="L442" i="16" s="1"/>
  <c r="L491" i="16" s="1"/>
  <c r="L540" i="16" s="1"/>
  <c r="L589" i="16" s="1"/>
  <c r="U13" i="11"/>
  <c r="U12" i="11"/>
  <c r="U8" i="11"/>
  <c r="U7" i="11"/>
  <c r="U3" i="11"/>
  <c r="U2" i="11"/>
  <c r="M2" i="10"/>
  <c r="M3" i="10"/>
  <c r="AA9" i="22"/>
  <c r="M7" i="19"/>
  <c r="M10" i="19" s="1"/>
  <c r="M13" i="19" s="1"/>
  <c r="M16" i="19" s="1"/>
  <c r="M19" i="19" s="1"/>
  <c r="M22" i="19" s="1"/>
  <c r="M25" i="19" s="1"/>
  <c r="M28" i="19" s="1"/>
  <c r="M31" i="19" s="1"/>
  <c r="M34" i="19" s="1"/>
  <c r="L7" i="19"/>
  <c r="L10" i="19" s="1"/>
  <c r="L13" i="19" s="1"/>
  <c r="L16" i="19" s="1"/>
  <c r="L19" i="19" s="1"/>
  <c r="L3" i="10"/>
  <c r="L8" i="10" s="1"/>
  <c r="L13" i="10" s="1"/>
  <c r="L18" i="10" s="1"/>
  <c r="M295" i="16" l="1"/>
  <c r="M344" i="16" s="1"/>
  <c r="M393" i="16" s="1"/>
  <c r="M442" i="16" s="1"/>
  <c r="M491" i="16" s="1"/>
  <c r="M540" i="16" s="1"/>
  <c r="L22" i="19"/>
  <c r="L23" i="10"/>
  <c r="L28" i="10" s="1"/>
  <c r="L33" i="10" s="1"/>
  <c r="L38" i="10" s="1"/>
  <c r="L43" i="10" s="1"/>
  <c r="L48" i="10" s="1"/>
  <c r="L53" i="10" s="1"/>
  <c r="L58" i="10" s="1"/>
  <c r="N28" i="20"/>
  <c r="AK4" i="23"/>
  <c r="AK3" i="23"/>
  <c r="AK2" i="23"/>
  <c r="M18" i="7"/>
  <c r="M17" i="7"/>
  <c r="M27" i="7" s="1"/>
  <c r="M16" i="7"/>
  <c r="M15" i="7"/>
  <c r="M14" i="7"/>
  <c r="M3" i="7"/>
  <c r="M13" i="7" s="1"/>
  <c r="M23" i="7" s="1"/>
  <c r="M33" i="7" s="1"/>
  <c r="Y127" i="17"/>
  <c r="Y126" i="17"/>
  <c r="Y124" i="17"/>
  <c r="Y125" i="17"/>
  <c r="Y121" i="17"/>
  <c r="Y120" i="17"/>
  <c r="Z121" i="17"/>
  <c r="Z120" i="17"/>
  <c r="V121" i="17"/>
  <c r="V120" i="17"/>
  <c r="X121" i="17"/>
  <c r="X120" i="17"/>
  <c r="V123" i="17"/>
  <c r="V122" i="17"/>
  <c r="Y123" i="17"/>
  <c r="Y122" i="17"/>
  <c r="X127" i="17"/>
  <c r="O127" i="17"/>
  <c r="O126" i="17"/>
  <c r="X123" i="17"/>
  <c r="S123" i="17"/>
  <c r="N121" i="17"/>
  <c r="O121" i="17"/>
  <c r="S121" i="17"/>
  <c r="L25" i="19" l="1"/>
  <c r="M43" i="7"/>
  <c r="M53" i="7" s="1"/>
  <c r="S137" i="17"/>
  <c r="P137" i="17"/>
  <c r="L137" i="17"/>
  <c r="N28" i="9"/>
  <c r="N111" i="9" s="1"/>
  <c r="O28" i="9"/>
  <c r="O111" i="9" s="1"/>
  <c r="S28" i="9"/>
  <c r="S111" i="9" s="1"/>
  <c r="R28" i="9"/>
  <c r="R111" i="9" s="1"/>
  <c r="Q28" i="9"/>
  <c r="Q111" i="9" s="1"/>
  <c r="P28" i="9"/>
  <c r="P111" i="9" s="1"/>
  <c r="M28" i="9"/>
  <c r="M111" i="9" s="1"/>
  <c r="L28" i="9"/>
  <c r="L111" i="9" s="1"/>
  <c r="J28" i="9"/>
  <c r="J111" i="9" s="1"/>
  <c r="K28" i="9"/>
  <c r="K111" i="9" s="1"/>
  <c r="AS7" i="23"/>
  <c r="AT8" i="23"/>
  <c r="AS9" i="23"/>
  <c r="AS8" i="23"/>
  <c r="L28" i="19" l="1"/>
  <c r="L31" i="19" s="1"/>
  <c r="L34" i="19" s="1"/>
  <c r="L37" i="19" s="1"/>
  <c r="M63" i="7"/>
  <c r="M73" i="7" s="1"/>
  <c r="M83" i="7" s="1"/>
  <c r="M93" i="7" s="1"/>
  <c r="M103" i="7" s="1"/>
  <c r="M113" i="7" s="1"/>
  <c r="AS10" i="23"/>
  <c r="K20" i="24"/>
  <c r="K18" i="24"/>
  <c r="K13" i="24"/>
  <c r="K15" i="24" s="1"/>
  <c r="X78" i="17"/>
  <c r="X77" i="17"/>
  <c r="Y78" i="17"/>
  <c r="Y77" i="17"/>
  <c r="X76" i="17"/>
  <c r="X75" i="17"/>
  <c r="Y76" i="17"/>
  <c r="Y75" i="17"/>
  <c r="Y73" i="17"/>
  <c r="Y74" i="17"/>
  <c r="X71" i="17"/>
  <c r="X72" i="17"/>
  <c r="Y71" i="17"/>
  <c r="Y72" i="17"/>
  <c r="M111" i="7" l="1"/>
  <c r="M121" i="7" s="1"/>
  <c r="L101" i="7"/>
  <c r="L111" i="7" s="1"/>
  <c r="L121" i="7" s="1"/>
  <c r="S88" i="17"/>
  <c r="O88" i="17"/>
  <c r="P88" i="17"/>
  <c r="L88" i="17"/>
  <c r="J88" i="17"/>
  <c r="H578" i="17"/>
  <c r="H529" i="17"/>
  <c r="H480" i="17"/>
  <c r="H431" i="17"/>
  <c r="H382" i="17"/>
  <c r="H333" i="17"/>
  <c r="H284" i="17"/>
  <c r="H235" i="17"/>
  <c r="H186" i="17"/>
  <c r="H137" i="17"/>
  <c r="H88" i="17"/>
  <c r="S39" i="17"/>
  <c r="O39" i="17"/>
  <c r="R39" i="17"/>
  <c r="P39" i="17"/>
  <c r="L39" i="17"/>
  <c r="J39" i="17"/>
  <c r="H39" i="17"/>
  <c r="H577" i="16"/>
  <c r="H186" i="16"/>
  <c r="H137" i="16"/>
  <c r="H88" i="16"/>
  <c r="H39" i="16"/>
  <c r="J577" i="16"/>
  <c r="J529" i="16"/>
  <c r="J480" i="16"/>
  <c r="J431" i="16"/>
  <c r="J382" i="16"/>
  <c r="J333" i="16"/>
  <c r="J284" i="16"/>
  <c r="J235" i="16"/>
  <c r="J186" i="16"/>
  <c r="J137" i="16"/>
  <c r="J88" i="16"/>
  <c r="J39" i="16"/>
  <c r="L39" i="16"/>
  <c r="M39" i="16"/>
  <c r="M88" i="16" s="1"/>
  <c r="M8" i="10"/>
  <c r="M13" i="10" s="1"/>
  <c r="M18" i="10" s="1"/>
  <c r="M23" i="10" s="1"/>
  <c r="M28" i="10" s="1"/>
  <c r="M33" i="10" s="1"/>
  <c r="M38" i="10" s="1"/>
  <c r="M43" i="10" s="1"/>
  <c r="M48" i="10" s="1"/>
  <c r="M53" i="10" s="1"/>
  <c r="M7" i="10"/>
  <c r="M12" i="10" s="1"/>
  <c r="M17" i="10" s="1"/>
  <c r="M22" i="10" s="1"/>
  <c r="M27" i="10" s="1"/>
  <c r="M32" i="10" s="1"/>
  <c r="M37" i="10" s="1"/>
  <c r="M42" i="10" s="1"/>
  <c r="M47" i="10" s="1"/>
  <c r="M52" i="10" s="1"/>
  <c r="M56" i="16"/>
  <c r="M105" i="16" s="1"/>
  <c r="M154" i="16" s="1"/>
  <c r="M203" i="16" s="1"/>
  <c r="M57" i="16"/>
  <c r="M106" i="16" s="1"/>
  <c r="M155" i="16" s="1"/>
  <c r="M204" i="16" s="1"/>
  <c r="T13" i="26"/>
  <c r="S13" i="26"/>
  <c r="AG3" i="22"/>
  <c r="AG9" i="22" s="1"/>
  <c r="M137" i="16" l="1"/>
  <c r="M186" i="16" s="1"/>
  <c r="M235" i="16" s="1"/>
  <c r="M284" i="16" s="1"/>
  <c r="M333" i="16" s="1"/>
  <c r="M382" i="16" s="1"/>
  <c r="M431" i="16" s="1"/>
  <c r="M480" i="16" s="1"/>
  <c r="M529" i="16" s="1"/>
  <c r="L88" i="16"/>
  <c r="L137" i="16" s="1"/>
  <c r="L186" i="16" s="1"/>
  <c r="L235" i="16" s="1"/>
  <c r="L284" i="16" s="1"/>
  <c r="U76" i="17"/>
  <c r="U75" i="17"/>
  <c r="V73" i="17"/>
  <c r="V74" i="17"/>
  <c r="X73" i="17"/>
  <c r="X74" i="17"/>
  <c r="V72" i="17" l="1"/>
  <c r="V71" i="17"/>
  <c r="L85" i="16"/>
  <c r="L36" i="16"/>
  <c r="AB71" i="17" l="1"/>
  <c r="AB72" i="17"/>
  <c r="J62" i="16" l="1"/>
  <c r="J61" i="16"/>
  <c r="J60" i="16"/>
  <c r="J66" i="16"/>
  <c r="J65" i="16"/>
  <c r="J64" i="16"/>
  <c r="J53" i="16"/>
  <c r="J52" i="16"/>
  <c r="J51" i="16"/>
  <c r="L51" i="16" s="1"/>
  <c r="AH2" i="22"/>
  <c r="O5" i="26"/>
  <c r="N5" i="26"/>
  <c r="M5" i="26"/>
  <c r="L5" i="26"/>
  <c r="K5" i="26"/>
  <c r="M12" i="7"/>
  <c r="L3" i="20"/>
  <c r="M5" i="19"/>
  <c r="L5" i="19"/>
  <c r="L333" i="16" l="1"/>
  <c r="L382" i="16" s="1"/>
  <c r="L431" i="16" s="1"/>
  <c r="L480" i="16" s="1"/>
  <c r="L529" i="16" s="1"/>
  <c r="M24" i="7"/>
  <c r="M34" i="7" s="1"/>
  <c r="M11" i="20"/>
  <c r="K29" i="22"/>
  <c r="T29" i="22"/>
  <c r="R29" i="22"/>
  <c r="K26" i="22"/>
  <c r="AH26" i="22" s="1"/>
  <c r="N23" i="22"/>
  <c r="AH23" i="22" s="1"/>
  <c r="T20" i="22"/>
  <c r="AH20" i="22" s="1"/>
  <c r="N17" i="22"/>
  <c r="R17" i="22"/>
  <c r="R14" i="22"/>
  <c r="K14" i="22"/>
  <c r="AH35" i="22"/>
  <c r="AH32" i="22"/>
  <c r="AH11" i="22"/>
  <c r="AH8" i="22"/>
  <c r="AH5" i="22"/>
  <c r="N9" i="20"/>
  <c r="L9" i="20"/>
  <c r="K125" i="20"/>
  <c r="K114" i="20"/>
  <c r="K103" i="20"/>
  <c r="K92" i="20"/>
  <c r="K81" i="20"/>
  <c r="K70" i="20"/>
  <c r="K59" i="20"/>
  <c r="K48" i="20"/>
  <c r="K37" i="20"/>
  <c r="K25" i="20"/>
  <c r="K15" i="20"/>
  <c r="L4" i="20"/>
  <c r="K4" i="20"/>
  <c r="N3" i="20"/>
  <c r="J39" i="19"/>
  <c r="L577" i="16" l="1"/>
  <c r="L578" i="16"/>
  <c r="M44" i="7"/>
  <c r="M54" i="7" s="1"/>
  <c r="AH17" i="22"/>
  <c r="AH29" i="22"/>
  <c r="M4" i="20"/>
  <c r="N4" i="20"/>
  <c r="AH14" i="22"/>
  <c r="L435" i="16"/>
  <c r="L478" i="16"/>
  <c r="L429" i="16"/>
  <c r="L380" i="16"/>
  <c r="L379" i="16"/>
  <c r="L331" i="16"/>
  <c r="L86" i="16"/>
  <c r="L37" i="16"/>
  <c r="S7" i="26"/>
  <c r="T7" i="26" s="1"/>
  <c r="L7" i="10"/>
  <c r="L12" i="10" s="1"/>
  <c r="M5" i="20"/>
  <c r="M16" i="20" s="1"/>
  <c r="M26" i="20" s="1"/>
  <c r="M38" i="20" s="1"/>
  <c r="M49" i="20" s="1"/>
  <c r="M60" i="20" s="1"/>
  <c r="M71" i="20" s="1"/>
  <c r="M82" i="20" s="1"/>
  <c r="M93" i="20" s="1"/>
  <c r="M104" i="20" s="1"/>
  <c r="M115" i="20" s="1"/>
  <c r="M126" i="20" s="1"/>
  <c r="J35" i="16"/>
  <c r="G50" i="17"/>
  <c r="K33" i="16"/>
  <c r="M33" i="16" s="1"/>
  <c r="K31" i="16"/>
  <c r="M31" i="16" s="1"/>
  <c r="L3" i="24"/>
  <c r="L14" i="24" s="1"/>
  <c r="L25" i="24" s="1"/>
  <c r="L36" i="24" s="1"/>
  <c r="L47" i="24" s="1"/>
  <c r="L58" i="24" s="1"/>
  <c r="M3" i="24"/>
  <c r="M14" i="24" s="1"/>
  <c r="M25" i="24" s="1"/>
  <c r="M36" i="24" s="1"/>
  <c r="M47" i="24" s="1"/>
  <c r="L4" i="24"/>
  <c r="M4" i="24"/>
  <c r="L7" i="24"/>
  <c r="M7" i="24"/>
  <c r="L8" i="24"/>
  <c r="L19" i="24" s="1"/>
  <c r="L30" i="24" s="1"/>
  <c r="L41" i="24" s="1"/>
  <c r="L52" i="24" s="1"/>
  <c r="L63" i="24" s="1"/>
  <c r="L74" i="24" s="1"/>
  <c r="L85" i="24" s="1"/>
  <c r="L96" i="24" s="1"/>
  <c r="L107" i="24" s="1"/>
  <c r="L118" i="24" s="1"/>
  <c r="M8" i="24"/>
  <c r="M19" i="24" s="1"/>
  <c r="M30" i="24" s="1"/>
  <c r="L9" i="24"/>
  <c r="M9" i="24"/>
  <c r="L10" i="24"/>
  <c r="L21" i="24" s="1"/>
  <c r="L32" i="24" s="1"/>
  <c r="L43" i="24" s="1"/>
  <c r="L54" i="24" s="1"/>
  <c r="L65" i="24" s="1"/>
  <c r="L76" i="24" s="1"/>
  <c r="L87" i="24" s="1"/>
  <c r="L98" i="24" s="1"/>
  <c r="L109" i="24" s="1"/>
  <c r="L120" i="24" s="1"/>
  <c r="M10" i="24"/>
  <c r="M21" i="24" s="1"/>
  <c r="M32" i="24" s="1"/>
  <c r="M43" i="24" s="1"/>
  <c r="M54" i="24" s="1"/>
  <c r="L11" i="24"/>
  <c r="L22" i="24" s="1"/>
  <c r="L33" i="24" s="1"/>
  <c r="L44" i="24" s="1"/>
  <c r="L55" i="24" s="1"/>
  <c r="L66" i="24" s="1"/>
  <c r="L77" i="24" s="1"/>
  <c r="L88" i="24" s="1"/>
  <c r="L99" i="24" s="1"/>
  <c r="L110" i="24" s="1"/>
  <c r="L121" i="24" s="1"/>
  <c r="M11" i="24"/>
  <c r="M22" i="24" s="1"/>
  <c r="M33" i="24" s="1"/>
  <c r="M44" i="24" s="1"/>
  <c r="M55" i="24" s="1"/>
  <c r="M66" i="24" s="1"/>
  <c r="M77" i="24" s="1"/>
  <c r="M88" i="24" s="1"/>
  <c r="M99" i="24" s="1"/>
  <c r="M110" i="24" s="1"/>
  <c r="M121" i="24" s="1"/>
  <c r="L12" i="24"/>
  <c r="L23" i="24" s="1"/>
  <c r="L34" i="24" s="1"/>
  <c r="L45" i="24" s="1"/>
  <c r="L56" i="24" s="1"/>
  <c r="L67" i="24" s="1"/>
  <c r="L78" i="24" s="1"/>
  <c r="L89" i="24" s="1"/>
  <c r="L100" i="24" s="1"/>
  <c r="L111" i="24" s="1"/>
  <c r="L122" i="24" s="1"/>
  <c r="M12" i="24"/>
  <c r="M23" i="24" s="1"/>
  <c r="M34" i="24" s="1"/>
  <c r="M45" i="24" s="1"/>
  <c r="M56" i="24" s="1"/>
  <c r="M67" i="24" s="1"/>
  <c r="M78" i="24" s="1"/>
  <c r="M89" i="24" s="1"/>
  <c r="M100" i="24" s="1"/>
  <c r="M111" i="24" s="1"/>
  <c r="M122" i="24" s="1"/>
  <c r="M2" i="24"/>
  <c r="M13" i="24" s="1"/>
  <c r="M24" i="24" s="1"/>
  <c r="M35" i="24" s="1"/>
  <c r="M46" i="24" s="1"/>
  <c r="M57" i="24" s="1"/>
  <c r="M68" i="24" s="1"/>
  <c r="M79" i="24" s="1"/>
  <c r="M90" i="24" s="1"/>
  <c r="M101" i="24" s="1"/>
  <c r="M112" i="24" s="1"/>
  <c r="L2" i="24"/>
  <c r="L13" i="24" s="1"/>
  <c r="L24" i="24" s="1"/>
  <c r="L35" i="24" s="1"/>
  <c r="L46" i="24" s="1"/>
  <c r="L57" i="24" s="1"/>
  <c r="L68" i="24" s="1"/>
  <c r="L79" i="24" s="1"/>
  <c r="L90" i="24" s="1"/>
  <c r="L101" i="24" s="1"/>
  <c r="L112" i="24" s="1"/>
  <c r="K65" i="20"/>
  <c r="K54" i="20"/>
  <c r="K43" i="20"/>
  <c r="K32" i="20"/>
  <c r="K21" i="20"/>
  <c r="M55" i="16"/>
  <c r="M104" i="16" s="1"/>
  <c r="M153" i="16" s="1"/>
  <c r="M202" i="16" s="1"/>
  <c r="M251" i="16" s="1"/>
  <c r="M300" i="16" s="1"/>
  <c r="L6" i="16"/>
  <c r="L55" i="16" s="1"/>
  <c r="L104" i="16" s="1"/>
  <c r="M19" i="20"/>
  <c r="M30" i="20" s="1"/>
  <c r="M41" i="20" s="1"/>
  <c r="M52" i="20" s="1"/>
  <c r="M63" i="20" s="1"/>
  <c r="M116" i="20"/>
  <c r="M127" i="20" s="1"/>
  <c r="M105" i="20"/>
  <c r="M94" i="20"/>
  <c r="M83" i="20"/>
  <c r="M72" i="20"/>
  <c r="M61" i="20"/>
  <c r="M50" i="20"/>
  <c r="M39" i="20"/>
  <c r="M27" i="20"/>
  <c r="M17" i="20"/>
  <c r="N10" i="20"/>
  <c r="K10" i="20"/>
  <c r="M10" i="20" s="1"/>
  <c r="L7" i="20"/>
  <c r="M128" i="20"/>
  <c r="M117" i="20"/>
  <c r="M106" i="20"/>
  <c r="M95" i="20"/>
  <c r="M84" i="20"/>
  <c r="M73" i="20"/>
  <c r="M62" i="20"/>
  <c r="M51" i="20"/>
  <c r="M40" i="20"/>
  <c r="M28" i="20"/>
  <c r="M18" i="20"/>
  <c r="M7" i="20"/>
  <c r="M123" i="20"/>
  <c r="M112" i="20"/>
  <c r="M101" i="20"/>
  <c r="M90" i="20"/>
  <c r="M79" i="20"/>
  <c r="M68" i="20"/>
  <c r="M57" i="20"/>
  <c r="M46" i="20"/>
  <c r="M35" i="20"/>
  <c r="M24" i="20"/>
  <c r="M13" i="20"/>
  <c r="M349" i="16" l="1"/>
  <c r="M398" i="16" s="1"/>
  <c r="M447" i="16" s="1"/>
  <c r="M544" i="16" s="1"/>
  <c r="L153" i="16"/>
  <c r="L202" i="16" s="1"/>
  <c r="L251" i="16" s="1"/>
  <c r="L300" i="16" s="1"/>
  <c r="L59" i="24"/>
  <c r="L69" i="24"/>
  <c r="M53" i="24"/>
  <c r="M65" i="24"/>
  <c r="M64" i="7"/>
  <c r="M74" i="7" s="1"/>
  <c r="M84" i="7" s="1"/>
  <c r="M74" i="20"/>
  <c r="M85" i="20" s="1"/>
  <c r="M96" i="20" s="1"/>
  <c r="M107" i="20" s="1"/>
  <c r="M118" i="20" s="1"/>
  <c r="M129" i="20" s="1"/>
  <c r="M48" i="24"/>
  <c r="M37" i="24"/>
  <c r="M42" i="24"/>
  <c r="M29" i="24"/>
  <c r="M41" i="24"/>
  <c r="L37" i="24"/>
  <c r="M31" i="24"/>
  <c r="M26" i="24"/>
  <c r="L26" i="24"/>
  <c r="L17" i="10"/>
  <c r="M20" i="24"/>
  <c r="M15" i="24"/>
  <c r="L15" i="24"/>
  <c r="M18" i="24"/>
  <c r="M21" i="20"/>
  <c r="M32" i="20" s="1"/>
  <c r="M43" i="20" s="1"/>
  <c r="M54" i="20" s="1"/>
  <c r="M65" i="20" s="1"/>
  <c r="N7" i="20"/>
  <c r="M15" i="20"/>
  <c r="M25" i="20" s="1"/>
  <c r="M37" i="20" s="1"/>
  <c r="M48" i="20" s="1"/>
  <c r="M59" i="20" s="1"/>
  <c r="J17" i="16"/>
  <c r="J16" i="16"/>
  <c r="L16" i="16" s="1"/>
  <c r="L65" i="16" s="1"/>
  <c r="L114" i="16" s="1"/>
  <c r="J15" i="16"/>
  <c r="M26" i="7"/>
  <c r="L16" i="7"/>
  <c r="M25" i="7"/>
  <c r="M35" i="7" s="1"/>
  <c r="L15" i="7"/>
  <c r="L14" i="7"/>
  <c r="L17" i="7"/>
  <c r="L18" i="7"/>
  <c r="L12" i="7"/>
  <c r="M22" i="7"/>
  <c r="M32" i="7" s="1"/>
  <c r="J6" i="19"/>
  <c r="L3" i="19"/>
  <c r="M94" i="7" l="1"/>
  <c r="M104" i="7" s="1"/>
  <c r="M114" i="7" s="1"/>
  <c r="L70" i="24"/>
  <c r="L80" i="24"/>
  <c r="L17" i="16"/>
  <c r="L66" i="16" s="1"/>
  <c r="L349" i="16"/>
  <c r="L398" i="16" s="1"/>
  <c r="L447" i="16" s="1"/>
  <c r="L496" i="16" s="1"/>
  <c r="M64" i="24"/>
  <c r="M76" i="24"/>
  <c r="M70" i="20"/>
  <c r="M81" i="20" s="1"/>
  <c r="M92" i="20" s="1"/>
  <c r="M103" i="20" s="1"/>
  <c r="M114" i="20" s="1"/>
  <c r="M125" i="20" s="1"/>
  <c r="M76" i="20"/>
  <c r="M87" i="20" s="1"/>
  <c r="M98" i="20" s="1"/>
  <c r="M109" i="20" s="1"/>
  <c r="M120" i="20" s="1"/>
  <c r="M131" i="20" s="1"/>
  <c r="M40" i="24"/>
  <c r="M52" i="24"/>
  <c r="M42" i="7"/>
  <c r="M52" i="7" s="1"/>
  <c r="M45" i="7"/>
  <c r="M55" i="7" s="1"/>
  <c r="L22" i="10"/>
  <c r="L27" i="10" s="1"/>
  <c r="L32" i="10" s="1"/>
  <c r="L37" i="10" s="1"/>
  <c r="L42" i="10" s="1"/>
  <c r="L47" i="10" s="1"/>
  <c r="L52" i="10" s="1"/>
  <c r="L57" i="10" s="1"/>
  <c r="L24" i="7"/>
  <c r="L34" i="7" s="1"/>
  <c r="L25" i="7"/>
  <c r="L35" i="7" s="1"/>
  <c r="L26" i="7"/>
  <c r="L36" i="7" s="1"/>
  <c r="L22" i="7"/>
  <c r="L32" i="7" s="1"/>
  <c r="M36" i="7"/>
  <c r="M28" i="7"/>
  <c r="M38" i="7" s="1"/>
  <c r="L28" i="7"/>
  <c r="L38" i="7" s="1"/>
  <c r="M37" i="7"/>
  <c r="L27" i="7"/>
  <c r="L37" i="7" s="1"/>
  <c r="L6" i="19"/>
  <c r="L9" i="19" s="1"/>
  <c r="L12" i="19" s="1"/>
  <c r="L15" i="19" s="1"/>
  <c r="M12" i="20"/>
  <c r="M23" i="20" s="1"/>
  <c r="M34" i="20" s="1"/>
  <c r="M50" i="6"/>
  <c r="M41" i="6"/>
  <c r="M32" i="6"/>
  <c r="M23" i="6"/>
  <c r="M14" i="6"/>
  <c r="J573" i="16"/>
  <c r="J571" i="16"/>
  <c r="J570" i="16"/>
  <c r="J569" i="16"/>
  <c r="J568" i="16"/>
  <c r="J563" i="16"/>
  <c r="J562" i="16"/>
  <c r="J561" i="16"/>
  <c r="J560" i="16"/>
  <c r="J559" i="16"/>
  <c r="J558" i="16"/>
  <c r="J557" i="16"/>
  <c r="J556" i="16"/>
  <c r="J555" i="16"/>
  <c r="J554" i="16"/>
  <c r="J553" i="16"/>
  <c r="J551" i="16"/>
  <c r="J550" i="16"/>
  <c r="J549" i="16"/>
  <c r="L549" i="16" s="1"/>
  <c r="J546" i="16"/>
  <c r="J545" i="16"/>
  <c r="J542" i="16"/>
  <c r="J541" i="16"/>
  <c r="J525" i="16"/>
  <c r="J515" i="16"/>
  <c r="J514" i="16"/>
  <c r="J513" i="16"/>
  <c r="J512" i="16"/>
  <c r="J511" i="16"/>
  <c r="J510" i="16"/>
  <c r="J509" i="16"/>
  <c r="J508" i="16"/>
  <c r="J507" i="16"/>
  <c r="J506" i="16"/>
  <c r="J505" i="16"/>
  <c r="J503" i="16"/>
  <c r="J502" i="16"/>
  <c r="J501" i="16"/>
  <c r="J498" i="16"/>
  <c r="J497" i="16"/>
  <c r="J494" i="16"/>
  <c r="J493" i="16"/>
  <c r="J492" i="16"/>
  <c r="J476" i="16"/>
  <c r="J470" i="16"/>
  <c r="J469" i="16"/>
  <c r="J466" i="16"/>
  <c r="J465" i="16"/>
  <c r="J464" i="16"/>
  <c r="J463" i="16"/>
  <c r="J462" i="16"/>
  <c r="J461" i="16"/>
  <c r="J460" i="16"/>
  <c r="J459" i="16"/>
  <c r="J458" i="16"/>
  <c r="J457" i="16"/>
  <c r="J454" i="16"/>
  <c r="J453" i="16"/>
  <c r="J452" i="16"/>
  <c r="J449" i="16"/>
  <c r="J448" i="16"/>
  <c r="J445" i="16"/>
  <c r="J444" i="16"/>
  <c r="J443" i="16"/>
  <c r="J427" i="16"/>
  <c r="J417" i="16"/>
  <c r="J416" i="16"/>
  <c r="J415" i="16"/>
  <c r="J414" i="16"/>
  <c r="J413" i="16"/>
  <c r="J412" i="16"/>
  <c r="J411" i="16"/>
  <c r="J410" i="16"/>
  <c r="J408" i="16"/>
  <c r="J405" i="16"/>
  <c r="J404" i="16"/>
  <c r="J403" i="16"/>
  <c r="J400" i="16"/>
  <c r="J399" i="16"/>
  <c r="J396" i="16"/>
  <c r="J395" i="16"/>
  <c r="J394" i="16"/>
  <c r="J378" i="16"/>
  <c r="J376" i="16"/>
  <c r="J375" i="16"/>
  <c r="J374" i="16"/>
  <c r="J373" i="16"/>
  <c r="J368" i="16"/>
  <c r="J367" i="16"/>
  <c r="J366" i="16"/>
  <c r="J365" i="16"/>
  <c r="J364" i="16"/>
  <c r="J363" i="16"/>
  <c r="J362" i="16"/>
  <c r="J361" i="16"/>
  <c r="J360" i="16"/>
  <c r="J359" i="16"/>
  <c r="J358" i="16"/>
  <c r="J351" i="16"/>
  <c r="L351" i="16" s="1"/>
  <c r="J350" i="16"/>
  <c r="L350" i="16" s="1"/>
  <c r="J347" i="16"/>
  <c r="J346" i="16"/>
  <c r="J345" i="16"/>
  <c r="J329" i="16"/>
  <c r="J327" i="16"/>
  <c r="J326" i="16"/>
  <c r="J325" i="16"/>
  <c r="J324" i="16"/>
  <c r="J319" i="16"/>
  <c r="J318" i="16"/>
  <c r="J317" i="16"/>
  <c r="J316" i="16"/>
  <c r="J315" i="16"/>
  <c r="J314" i="16"/>
  <c r="J313" i="16"/>
  <c r="J312" i="16"/>
  <c r="J311" i="16"/>
  <c r="J310" i="16"/>
  <c r="J302" i="16"/>
  <c r="J301" i="16"/>
  <c r="J298" i="16"/>
  <c r="J297" i="16"/>
  <c r="J296" i="16"/>
  <c r="J280" i="16"/>
  <c r="J278" i="16"/>
  <c r="J277" i="16"/>
  <c r="J276" i="16"/>
  <c r="J275" i="16"/>
  <c r="J270" i="16"/>
  <c r="J269" i="16"/>
  <c r="J268" i="16"/>
  <c r="J267" i="16"/>
  <c r="J266" i="16"/>
  <c r="J265" i="16"/>
  <c r="J262" i="16"/>
  <c r="J261" i="16"/>
  <c r="J253" i="16"/>
  <c r="J252" i="16"/>
  <c r="J249" i="16"/>
  <c r="J248" i="16"/>
  <c r="J247" i="16"/>
  <c r="J231" i="16"/>
  <c r="J229" i="16"/>
  <c r="J228" i="16"/>
  <c r="J227" i="16"/>
  <c r="J226" i="16"/>
  <c r="J221" i="16"/>
  <c r="J220" i="16"/>
  <c r="J219" i="16"/>
  <c r="J218" i="16"/>
  <c r="J217" i="16"/>
  <c r="J216" i="16"/>
  <c r="J213" i="16"/>
  <c r="J212" i="16"/>
  <c r="J211" i="16"/>
  <c r="J209" i="16"/>
  <c r="J208" i="16"/>
  <c r="J207" i="16"/>
  <c r="J204" i="16"/>
  <c r="J203" i="16"/>
  <c r="J200" i="16"/>
  <c r="J199" i="16"/>
  <c r="J198" i="16"/>
  <c r="J180" i="16"/>
  <c r="J179" i="16"/>
  <c r="J178" i="16"/>
  <c r="J177" i="16"/>
  <c r="J172" i="16"/>
  <c r="J171" i="16"/>
  <c r="J170" i="16"/>
  <c r="J169" i="16"/>
  <c r="J168" i="16"/>
  <c r="J167" i="16"/>
  <c r="J164" i="16"/>
  <c r="J163" i="16"/>
  <c r="L163" i="16" s="1"/>
  <c r="J162" i="16"/>
  <c r="J159" i="16"/>
  <c r="J158" i="16"/>
  <c r="J155" i="16"/>
  <c r="J154" i="16"/>
  <c r="J151" i="16"/>
  <c r="J150" i="16"/>
  <c r="J149" i="16"/>
  <c r="J133" i="16"/>
  <c r="J131" i="16"/>
  <c r="J130" i="16"/>
  <c r="J129" i="16"/>
  <c r="J128" i="16"/>
  <c r="J127" i="16"/>
  <c r="J126" i="16"/>
  <c r="J125" i="16"/>
  <c r="J124" i="16"/>
  <c r="J123" i="16"/>
  <c r="J122" i="16"/>
  <c r="J121" i="16"/>
  <c r="J120" i="16"/>
  <c r="J119" i="16"/>
  <c r="J118" i="16"/>
  <c r="J117" i="16"/>
  <c r="J116" i="16"/>
  <c r="J115" i="16"/>
  <c r="J113" i="16"/>
  <c r="J111" i="16"/>
  <c r="J110" i="16"/>
  <c r="J109" i="16"/>
  <c r="J106" i="16"/>
  <c r="J105" i="16"/>
  <c r="J102" i="16"/>
  <c r="J101" i="16"/>
  <c r="J100" i="16"/>
  <c r="J84" i="16"/>
  <c r="J82" i="16"/>
  <c r="J81" i="16"/>
  <c r="J80" i="16"/>
  <c r="J79" i="16"/>
  <c r="J78" i="16"/>
  <c r="J77" i="16"/>
  <c r="J76" i="16"/>
  <c r="J75" i="16"/>
  <c r="J74" i="16"/>
  <c r="J73" i="16"/>
  <c r="J72" i="16"/>
  <c r="J71" i="16"/>
  <c r="J70" i="16"/>
  <c r="J69" i="16"/>
  <c r="J68" i="16"/>
  <c r="J67" i="16"/>
  <c r="J57" i="16"/>
  <c r="J56" i="16"/>
  <c r="J19" i="16"/>
  <c r="J18" i="16"/>
  <c r="J13" i="16"/>
  <c r="J12" i="16"/>
  <c r="J11" i="16"/>
  <c r="J8" i="16"/>
  <c r="J7" i="16"/>
  <c r="J25" i="16"/>
  <c r="J24" i="16"/>
  <c r="J23" i="16"/>
  <c r="J22" i="16"/>
  <c r="J21" i="16"/>
  <c r="J20" i="16"/>
  <c r="J4" i="16"/>
  <c r="L4" i="16" s="1"/>
  <c r="L53" i="16" s="1"/>
  <c r="J3" i="16"/>
  <c r="L3" i="16" s="1"/>
  <c r="L52" i="16" s="1"/>
  <c r="J2" i="16"/>
  <c r="J61" i="10"/>
  <c r="J60" i="10"/>
  <c r="J56" i="10"/>
  <c r="J55" i="10"/>
  <c r="J51" i="10"/>
  <c r="J50" i="10"/>
  <c r="J46" i="10"/>
  <c r="J45" i="10"/>
  <c r="J41" i="10"/>
  <c r="J40" i="10"/>
  <c r="J36" i="10"/>
  <c r="J35" i="10"/>
  <c r="J31" i="10"/>
  <c r="J30" i="10"/>
  <c r="J26" i="10"/>
  <c r="J25" i="10"/>
  <c r="J21" i="10"/>
  <c r="J20" i="10"/>
  <c r="J16" i="10"/>
  <c r="J15" i="10"/>
  <c r="J11" i="10"/>
  <c r="J10" i="10"/>
  <c r="J6" i="10"/>
  <c r="J5" i="10"/>
  <c r="L420" i="16" l="1"/>
  <c r="L371" i="16"/>
  <c r="L545" i="16"/>
  <c r="L81" i="24"/>
  <c r="L91" i="24"/>
  <c r="M75" i="24"/>
  <c r="M87" i="24"/>
  <c r="L273" i="16"/>
  <c r="L102" i="16"/>
  <c r="L151" i="16" s="1"/>
  <c r="L200" i="16" s="1"/>
  <c r="L249" i="16" s="1"/>
  <c r="L298" i="16" s="1"/>
  <c r="L347" i="16" s="1"/>
  <c r="L396" i="16" s="1"/>
  <c r="L101" i="16"/>
  <c r="L150" i="16" s="1"/>
  <c r="L199" i="16" s="1"/>
  <c r="L248" i="16" s="1"/>
  <c r="L297" i="16" s="1"/>
  <c r="L346" i="16" s="1"/>
  <c r="L395" i="16" s="1"/>
  <c r="L115" i="16"/>
  <c r="L164" i="16" s="1"/>
  <c r="L213" i="16" s="1"/>
  <c r="L262" i="16" s="1"/>
  <c r="L311" i="16" s="1"/>
  <c r="L360" i="16" s="1"/>
  <c r="L409" i="16" s="1"/>
  <c r="L212" i="16"/>
  <c r="L261" i="16" s="1"/>
  <c r="L310" i="16" s="1"/>
  <c r="L359" i="16" s="1"/>
  <c r="L408" i="16" s="1"/>
  <c r="L457" i="16" s="1"/>
  <c r="L506" i="16" s="1"/>
  <c r="L555" i="16" s="1"/>
  <c r="L274" i="16"/>
  <c r="L323" i="16" s="1"/>
  <c r="L322" i="16"/>
  <c r="M51" i="24"/>
  <c r="M63" i="24"/>
  <c r="M65" i="7"/>
  <c r="M75" i="7" s="1"/>
  <c r="M85" i="7" s="1"/>
  <c r="M95" i="7" s="1"/>
  <c r="M105" i="7" s="1"/>
  <c r="M115" i="7" s="1"/>
  <c r="M62" i="7"/>
  <c r="M72" i="7" s="1"/>
  <c r="M82" i="7" s="1"/>
  <c r="M92" i="7" s="1"/>
  <c r="M102" i="7" s="1"/>
  <c r="M112" i="7" s="1"/>
  <c r="M46" i="7"/>
  <c r="M56" i="7" s="1"/>
  <c r="L46" i="7"/>
  <c r="L56" i="7" s="1"/>
  <c r="L44" i="7"/>
  <c r="L54" i="7" s="1"/>
  <c r="L47" i="7"/>
  <c r="L57" i="7" s="1"/>
  <c r="M48" i="7"/>
  <c r="M58" i="7" s="1"/>
  <c r="L45" i="7"/>
  <c r="L55" i="7" s="1"/>
  <c r="M47" i="7"/>
  <c r="M57" i="7" s="1"/>
  <c r="L42" i="7"/>
  <c r="L52" i="7" s="1"/>
  <c r="L48" i="7"/>
  <c r="L58" i="7" s="1"/>
  <c r="L18" i="19"/>
  <c r="L21" i="19" s="1"/>
  <c r="N9" i="19"/>
  <c r="L56" i="16"/>
  <c r="L57" i="16"/>
  <c r="M45" i="20"/>
  <c r="M56" i="20" s="1"/>
  <c r="M67" i="20" s="1"/>
  <c r="L11" i="10"/>
  <c r="L16" i="10" s="1"/>
  <c r="L21" i="10" s="1"/>
  <c r="L26" i="10" s="1"/>
  <c r="L31" i="10" s="1"/>
  <c r="L36" i="10" s="1"/>
  <c r="L41" i="10" s="1"/>
  <c r="L46" i="10" s="1"/>
  <c r="L51" i="10" s="1"/>
  <c r="L56" i="10" s="1"/>
  <c r="L61" i="10" s="1"/>
  <c r="M3" i="6"/>
  <c r="M4" i="6"/>
  <c r="M13" i="6" s="1"/>
  <c r="M22" i="6" s="1"/>
  <c r="M31" i="6" s="1"/>
  <c r="M40" i="6" s="1"/>
  <c r="M49" i="6" s="1"/>
  <c r="M58" i="6" s="1"/>
  <c r="M67" i="6" s="1"/>
  <c r="M76" i="6" s="1"/>
  <c r="M85" i="6" s="1"/>
  <c r="M94" i="6" s="1"/>
  <c r="M103" i="6" s="1"/>
  <c r="M5" i="6"/>
  <c r="M7" i="6"/>
  <c r="M16" i="6" s="1"/>
  <c r="M25" i="6" s="1"/>
  <c r="M34" i="6" s="1"/>
  <c r="M43" i="6" s="1"/>
  <c r="M52" i="6" s="1"/>
  <c r="M61" i="6" s="1"/>
  <c r="M79" i="6" s="1"/>
  <c r="M88" i="6" s="1"/>
  <c r="M97" i="6" s="1"/>
  <c r="M106" i="6" s="1"/>
  <c r="M8" i="6"/>
  <c r="M17" i="6" s="1"/>
  <c r="M26" i="6" s="1"/>
  <c r="M35" i="6" s="1"/>
  <c r="M44" i="6" s="1"/>
  <c r="M53" i="6" s="1"/>
  <c r="M62" i="6" s="1"/>
  <c r="M10" i="6"/>
  <c r="M19" i="6" s="1"/>
  <c r="M28" i="6" s="1"/>
  <c r="M37" i="6" s="1"/>
  <c r="M46" i="6" s="1"/>
  <c r="M55" i="6" s="1"/>
  <c r="M64" i="6" s="1"/>
  <c r="M82" i="6" s="1"/>
  <c r="M91" i="6" s="1"/>
  <c r="M100" i="6" s="1"/>
  <c r="M109" i="6" s="1"/>
  <c r="M11" i="6"/>
  <c r="M12" i="6"/>
  <c r="M21" i="6" s="1"/>
  <c r="M30" i="6" s="1"/>
  <c r="M39" i="6" s="1"/>
  <c r="M48" i="6" s="1"/>
  <c r="M57" i="6" s="1"/>
  <c r="M66" i="6" s="1"/>
  <c r="M75" i="6" s="1"/>
  <c r="M20" i="6"/>
  <c r="M29" i="6"/>
  <c r="M38" i="6"/>
  <c r="M47" i="6"/>
  <c r="M56" i="6"/>
  <c r="M83" i="6"/>
  <c r="M92" i="6"/>
  <c r="M101" i="6"/>
  <c r="M2" i="6"/>
  <c r="J108" i="6"/>
  <c r="L108" i="6" s="1"/>
  <c r="J107" i="6"/>
  <c r="L107" i="6" s="1"/>
  <c r="J106" i="6"/>
  <c r="J105" i="6"/>
  <c r="L105" i="6" s="1"/>
  <c r="J102" i="6"/>
  <c r="L102" i="6" s="1"/>
  <c r="J101" i="6"/>
  <c r="L101" i="6" s="1"/>
  <c r="J100" i="6"/>
  <c r="J99" i="6"/>
  <c r="L99" i="6" s="1"/>
  <c r="J98" i="6"/>
  <c r="L98" i="6" s="1"/>
  <c r="J97" i="6"/>
  <c r="J96" i="6"/>
  <c r="L96" i="6" s="1"/>
  <c r="L93" i="6"/>
  <c r="J92" i="6"/>
  <c r="L92" i="6" s="1"/>
  <c r="J90" i="6"/>
  <c r="L90" i="6" s="1"/>
  <c r="J89" i="6"/>
  <c r="L89" i="6" s="1"/>
  <c r="J88" i="6"/>
  <c r="J87" i="6"/>
  <c r="L87" i="6" s="1"/>
  <c r="J84" i="6"/>
  <c r="L84" i="6" s="1"/>
  <c r="J83" i="6"/>
  <c r="L83" i="6" s="1"/>
  <c r="J81" i="6"/>
  <c r="L81" i="6" s="1"/>
  <c r="J80" i="6"/>
  <c r="L80" i="6" s="1"/>
  <c r="J79" i="6"/>
  <c r="J78" i="6"/>
  <c r="L78" i="6" s="1"/>
  <c r="J75" i="6"/>
  <c r="J74" i="6"/>
  <c r="J73" i="6"/>
  <c r="J72" i="6"/>
  <c r="J71" i="6"/>
  <c r="J70" i="6"/>
  <c r="J69" i="6"/>
  <c r="J66" i="6"/>
  <c r="L66" i="6" s="1"/>
  <c r="J65" i="6"/>
  <c r="L65" i="6" s="1"/>
  <c r="J63" i="6"/>
  <c r="L63" i="6" s="1"/>
  <c r="J62" i="6"/>
  <c r="L62" i="6" s="1"/>
  <c r="J61" i="6"/>
  <c r="J60" i="6"/>
  <c r="L60" i="6" s="1"/>
  <c r="J57" i="6"/>
  <c r="L57" i="6" s="1"/>
  <c r="J56" i="6"/>
  <c r="L56" i="6" s="1"/>
  <c r="J55" i="6"/>
  <c r="J54" i="6"/>
  <c r="L54" i="6" s="1"/>
  <c r="J53" i="6"/>
  <c r="L53" i="6" s="1"/>
  <c r="J52" i="6"/>
  <c r="J51" i="6"/>
  <c r="L51" i="6" s="1"/>
  <c r="J48" i="6"/>
  <c r="L48" i="6" s="1"/>
  <c r="J47" i="6"/>
  <c r="L47" i="6" s="1"/>
  <c r="J46" i="6"/>
  <c r="J45" i="6"/>
  <c r="L45" i="6" s="1"/>
  <c r="J44" i="6"/>
  <c r="L44" i="6" s="1"/>
  <c r="J43" i="6"/>
  <c r="J42" i="6"/>
  <c r="L42" i="6" s="1"/>
  <c r="J39" i="6"/>
  <c r="L39" i="6" s="1"/>
  <c r="J38" i="6"/>
  <c r="L38" i="6" s="1"/>
  <c r="J36" i="6"/>
  <c r="L36" i="6" s="1"/>
  <c r="J35" i="6"/>
  <c r="L35" i="6" s="1"/>
  <c r="J34" i="6"/>
  <c r="J33" i="6"/>
  <c r="L33" i="6" s="1"/>
  <c r="J30" i="6"/>
  <c r="L30" i="6" s="1"/>
  <c r="J29" i="6"/>
  <c r="L29" i="6" s="1"/>
  <c r="J27" i="6"/>
  <c r="L27" i="6" s="1"/>
  <c r="J26" i="6"/>
  <c r="L26" i="6" s="1"/>
  <c r="J25" i="6"/>
  <c r="J24" i="6"/>
  <c r="L24" i="6" s="1"/>
  <c r="J21" i="6"/>
  <c r="L21" i="6" s="1"/>
  <c r="J20" i="6"/>
  <c r="L20" i="6" s="1"/>
  <c r="J18" i="6"/>
  <c r="L18" i="6" s="1"/>
  <c r="J17" i="6"/>
  <c r="L17" i="6" s="1"/>
  <c r="J16" i="6"/>
  <c r="J15" i="6"/>
  <c r="L15" i="6" s="1"/>
  <c r="J11" i="6"/>
  <c r="J8" i="6"/>
  <c r="J7" i="6"/>
  <c r="J6" i="6"/>
  <c r="J3" i="6"/>
  <c r="J2" i="6"/>
  <c r="K2" i="1"/>
  <c r="L2" i="1" s="1"/>
  <c r="N2" i="1" s="1"/>
  <c r="K3" i="1"/>
  <c r="L3" i="1" s="1"/>
  <c r="N3" i="1" s="1"/>
  <c r="K4" i="1"/>
  <c r="M4" i="1" s="1"/>
  <c r="K5" i="1"/>
  <c r="K6" i="1"/>
  <c r="L6" i="1" s="1"/>
  <c r="N6" i="1" s="1"/>
  <c r="K7" i="1"/>
  <c r="L7" i="1" s="1"/>
  <c r="N7" i="1" s="1"/>
  <c r="K8" i="1"/>
  <c r="M8" i="1" s="1"/>
  <c r="K9" i="1"/>
  <c r="L9" i="1" s="1"/>
  <c r="N9" i="1" s="1"/>
  <c r="K10" i="1"/>
  <c r="M10" i="1" s="1"/>
  <c r="K11" i="1"/>
  <c r="L11" i="1" s="1"/>
  <c r="N11" i="1" s="1"/>
  <c r="K12" i="1"/>
  <c r="L12" i="1" s="1"/>
  <c r="N12" i="1" s="1"/>
  <c r="K13" i="1"/>
  <c r="L13" i="1" s="1"/>
  <c r="N13" i="1" s="1"/>
  <c r="K14" i="1"/>
  <c r="L14" i="1" s="1"/>
  <c r="N14" i="1" s="1"/>
  <c r="K15" i="1"/>
  <c r="L15" i="1" s="1"/>
  <c r="N15" i="1" s="1"/>
  <c r="K16" i="1"/>
  <c r="L16" i="1" s="1"/>
  <c r="N16" i="1" s="1"/>
  <c r="K17" i="1"/>
  <c r="M17" i="1" s="1"/>
  <c r="K18" i="1"/>
  <c r="K19" i="1"/>
  <c r="L19" i="1" s="1"/>
  <c r="N19" i="1" s="1"/>
  <c r="K20" i="1"/>
  <c r="L20" i="1" s="1"/>
  <c r="N20" i="1" s="1"/>
  <c r="K21" i="1"/>
  <c r="M21" i="1" s="1"/>
  <c r="K22" i="1"/>
  <c r="M22" i="1" s="1"/>
  <c r="K23" i="1"/>
  <c r="M23" i="1" s="1"/>
  <c r="K24" i="1"/>
  <c r="L24" i="1" s="1"/>
  <c r="N24" i="1" s="1"/>
  <c r="K25" i="1"/>
  <c r="L25" i="1" s="1"/>
  <c r="N25" i="1" s="1"/>
  <c r="K26" i="1"/>
  <c r="L26" i="1" s="1"/>
  <c r="N26" i="1" s="1"/>
  <c r="K27" i="1"/>
  <c r="L27" i="1" s="1"/>
  <c r="N27" i="1" s="1"/>
  <c r="K28" i="1"/>
  <c r="K29" i="1"/>
  <c r="L29" i="1" s="1"/>
  <c r="N29" i="1" s="1"/>
  <c r="K30" i="1"/>
  <c r="L30" i="1" s="1"/>
  <c r="N30" i="1" s="1"/>
  <c r="K31" i="1"/>
  <c r="M31" i="1" s="1"/>
  <c r="K32" i="1"/>
  <c r="L32" i="1" s="1"/>
  <c r="N32" i="1" s="1"/>
  <c r="K33" i="1"/>
  <c r="L33" i="1" s="1"/>
  <c r="N33" i="1" s="1"/>
  <c r="K34" i="1"/>
  <c r="L34" i="1" s="1"/>
  <c r="N34" i="1" s="1"/>
  <c r="K35" i="1"/>
  <c r="M35" i="1" s="1"/>
  <c r="K36" i="1"/>
  <c r="M36" i="1" s="1"/>
  <c r="K37" i="1"/>
  <c r="L37" i="1" s="1"/>
  <c r="N37" i="1" s="1"/>
  <c r="K38" i="1"/>
  <c r="M38" i="1" s="1"/>
  <c r="K39" i="1"/>
  <c r="L39" i="1" s="1"/>
  <c r="N39" i="1" s="1"/>
  <c r="K40" i="1"/>
  <c r="L40" i="1" s="1"/>
  <c r="N40" i="1" s="1"/>
  <c r="K41" i="1"/>
  <c r="K42" i="1"/>
  <c r="L42" i="1" s="1"/>
  <c r="N42" i="1" s="1"/>
  <c r="K43" i="1"/>
  <c r="L43" i="1" s="1"/>
  <c r="N43" i="1" s="1"/>
  <c r="K44" i="1"/>
  <c r="M44" i="1" s="1"/>
  <c r="K45" i="1"/>
  <c r="L45" i="1" s="1"/>
  <c r="N45" i="1" s="1"/>
  <c r="K46" i="1"/>
  <c r="M46" i="1" s="1"/>
  <c r="K47" i="1"/>
  <c r="L47" i="1" s="1"/>
  <c r="N47" i="1" s="1"/>
  <c r="K48" i="1"/>
  <c r="M48" i="1" s="1"/>
  <c r="K49" i="1"/>
  <c r="L49" i="1" s="1"/>
  <c r="N49" i="1" s="1"/>
  <c r="K50" i="1"/>
  <c r="L50" i="1" s="1"/>
  <c r="N50" i="1" s="1"/>
  <c r="K51" i="1"/>
  <c r="L51" i="1" s="1"/>
  <c r="N51" i="1" s="1"/>
  <c r="K52" i="1"/>
  <c r="L52" i="1" s="1"/>
  <c r="N52" i="1" s="1"/>
  <c r="K53" i="1"/>
  <c r="L53" i="1" s="1"/>
  <c r="N53" i="1" s="1"/>
  <c r="K54" i="1"/>
  <c r="K55" i="1"/>
  <c r="M55" i="1" s="1"/>
  <c r="K56" i="1"/>
  <c r="L56" i="1" s="1"/>
  <c r="N56" i="1" s="1"/>
  <c r="K57" i="1"/>
  <c r="M57" i="1" s="1"/>
  <c r="K58" i="1"/>
  <c r="M58" i="1" s="1"/>
  <c r="K59" i="1"/>
  <c r="M59" i="1" s="1"/>
  <c r="K60" i="1"/>
  <c r="L60" i="1" s="1"/>
  <c r="N60" i="1" s="1"/>
  <c r="K61" i="1"/>
  <c r="L61" i="1" s="1"/>
  <c r="N61" i="1" s="1"/>
  <c r="K62" i="1"/>
  <c r="L62" i="1" s="1"/>
  <c r="N62" i="1" s="1"/>
  <c r="K63" i="1"/>
  <c r="L63" i="1" s="1"/>
  <c r="N63" i="1" s="1"/>
  <c r="K64" i="1"/>
  <c r="K65" i="1"/>
  <c r="L65" i="1" s="1"/>
  <c r="N65" i="1" s="1"/>
  <c r="K66" i="1"/>
  <c r="L66" i="1" s="1"/>
  <c r="N66" i="1" s="1"/>
  <c r="K67" i="1"/>
  <c r="M67" i="1" s="1"/>
  <c r="K68" i="1"/>
  <c r="M68" i="1" s="1"/>
  <c r="K69" i="1"/>
  <c r="L69" i="1" s="1"/>
  <c r="N69" i="1" s="1"/>
  <c r="K70" i="1"/>
  <c r="L70" i="1" s="1"/>
  <c r="N70" i="1" s="1"/>
  <c r="K71" i="1"/>
  <c r="M71" i="1" s="1"/>
  <c r="K72" i="1"/>
  <c r="M72" i="1" s="1"/>
  <c r="K73" i="1"/>
  <c r="L73" i="1" s="1"/>
  <c r="N73" i="1" s="1"/>
  <c r="K74" i="1"/>
  <c r="L74" i="1" s="1"/>
  <c r="N74" i="1" s="1"/>
  <c r="K75" i="1"/>
  <c r="L75" i="1" s="1"/>
  <c r="N75" i="1" s="1"/>
  <c r="K76" i="1"/>
  <c r="L76" i="1" s="1"/>
  <c r="N76" i="1" s="1"/>
  <c r="K77" i="1"/>
  <c r="K78" i="1"/>
  <c r="L78" i="1" s="1"/>
  <c r="N78" i="1" s="1"/>
  <c r="K79" i="1"/>
  <c r="L79" i="1" s="1"/>
  <c r="N79" i="1" s="1"/>
  <c r="K80" i="1"/>
  <c r="M80" i="1" s="1"/>
  <c r="K81" i="1"/>
  <c r="M81" i="1" s="1"/>
  <c r="K82" i="1"/>
  <c r="M82" i="1" s="1"/>
  <c r="K83" i="1"/>
  <c r="L83" i="1" s="1"/>
  <c r="N83" i="1" s="1"/>
  <c r="K84" i="1"/>
  <c r="L84" i="1" s="1"/>
  <c r="N84" i="1" s="1"/>
  <c r="K85" i="1"/>
  <c r="M85" i="1" s="1"/>
  <c r="K86" i="1"/>
  <c r="L86" i="1" s="1"/>
  <c r="N86" i="1" s="1"/>
  <c r="K87" i="1"/>
  <c r="L87" i="1" s="1"/>
  <c r="N87" i="1" s="1"/>
  <c r="K88" i="1"/>
  <c r="L88" i="1" s="1"/>
  <c r="N88" i="1" s="1"/>
  <c r="K89" i="1"/>
  <c r="L89" i="1" s="1"/>
  <c r="N89" i="1" s="1"/>
  <c r="K90" i="1"/>
  <c r="K91" i="1"/>
  <c r="L91" i="1" s="1"/>
  <c r="N91" i="1" s="1"/>
  <c r="K92" i="1"/>
  <c r="L92" i="1" s="1"/>
  <c r="N92" i="1" s="1"/>
  <c r="K93" i="1"/>
  <c r="M93" i="1" s="1"/>
  <c r="K94" i="1"/>
  <c r="L94" i="1" s="1"/>
  <c r="N94" i="1" s="1"/>
  <c r="K95" i="1"/>
  <c r="L95" i="1" s="1"/>
  <c r="N95" i="1" s="1"/>
  <c r="K96" i="1"/>
  <c r="K97" i="1"/>
  <c r="L97" i="1" s="1"/>
  <c r="N97" i="1" s="1"/>
  <c r="K98" i="1"/>
  <c r="M98" i="1" s="1"/>
  <c r="K99" i="1"/>
  <c r="L99" i="1" s="1"/>
  <c r="N99" i="1" s="1"/>
  <c r="K100" i="1"/>
  <c r="L100" i="1" s="1"/>
  <c r="N100" i="1" s="1"/>
  <c r="K101" i="1"/>
  <c r="L101" i="1" s="1"/>
  <c r="N101" i="1" s="1"/>
  <c r="K102" i="1"/>
  <c r="K103" i="1"/>
  <c r="L103" i="1" s="1"/>
  <c r="N103" i="1" s="1"/>
  <c r="K104" i="1"/>
  <c r="K105" i="1"/>
  <c r="K106" i="1"/>
  <c r="L106" i="1" s="1"/>
  <c r="N106" i="1" s="1"/>
  <c r="K107" i="1"/>
  <c r="K108" i="1"/>
  <c r="K109" i="1"/>
  <c r="L109" i="1" s="1"/>
  <c r="N109" i="1" s="1"/>
  <c r="K110" i="1"/>
  <c r="L110" i="1" s="1"/>
  <c r="N110" i="1" s="1"/>
  <c r="K111" i="1"/>
  <c r="M111" i="1" s="1"/>
  <c r="K112" i="1"/>
  <c r="L112" i="1" s="1"/>
  <c r="N112" i="1" s="1"/>
  <c r="K113" i="1"/>
  <c r="K114" i="1"/>
  <c r="L114" i="1" s="1"/>
  <c r="N114" i="1" s="1"/>
  <c r="K115" i="1"/>
  <c r="L115" i="1" s="1"/>
  <c r="N115" i="1" s="1"/>
  <c r="K116" i="1"/>
  <c r="L116" i="1" s="1"/>
  <c r="N116" i="1" s="1"/>
  <c r="K117" i="1"/>
  <c r="L117" i="1" s="1"/>
  <c r="N117" i="1" s="1"/>
  <c r="K118" i="1"/>
  <c r="M118" i="1" s="1"/>
  <c r="K119" i="1"/>
  <c r="L119" i="1" s="1"/>
  <c r="N119" i="1" s="1"/>
  <c r="K120" i="1"/>
  <c r="L120" i="1" s="1"/>
  <c r="N120" i="1" s="1"/>
  <c r="K121" i="1"/>
  <c r="K122" i="1"/>
  <c r="L122" i="1" s="1"/>
  <c r="N122" i="1" s="1"/>
  <c r="K123" i="1"/>
  <c r="L123" i="1" s="1"/>
  <c r="N123" i="1" s="1"/>
  <c r="K124" i="1"/>
  <c r="M124" i="1" s="1"/>
  <c r="K125" i="1"/>
  <c r="L125" i="1" s="1"/>
  <c r="N125" i="1" s="1"/>
  <c r="K126" i="1"/>
  <c r="M126" i="1" s="1"/>
  <c r="K127" i="1"/>
  <c r="L127" i="1" s="1"/>
  <c r="N127" i="1" s="1"/>
  <c r="K128" i="1"/>
  <c r="L128" i="1" s="1"/>
  <c r="N128" i="1" s="1"/>
  <c r="K129" i="1"/>
  <c r="M129" i="1" s="1"/>
  <c r="K130" i="1"/>
  <c r="L130" i="1" s="1"/>
  <c r="N130" i="1" s="1"/>
  <c r="K131" i="1"/>
  <c r="L131" i="1" s="1"/>
  <c r="N131" i="1" s="1"/>
  <c r="K132" i="1"/>
  <c r="L132" i="1" s="1"/>
  <c r="N132" i="1" s="1"/>
  <c r="K133" i="1"/>
  <c r="L133" i="1" s="1"/>
  <c r="N133" i="1" s="1"/>
  <c r="K134" i="1"/>
  <c r="K135" i="1"/>
  <c r="L135" i="1" s="1"/>
  <c r="N135" i="1" s="1"/>
  <c r="K136" i="1"/>
  <c r="L136" i="1" s="1"/>
  <c r="N136" i="1" s="1"/>
  <c r="K137" i="1"/>
  <c r="L137" i="1" s="1"/>
  <c r="N137" i="1" s="1"/>
  <c r="K138" i="1"/>
  <c r="M138" i="1" s="1"/>
  <c r="K139" i="1"/>
  <c r="M139" i="1" s="1"/>
  <c r="K140" i="1"/>
  <c r="L140" i="1" s="1"/>
  <c r="N140" i="1" s="1"/>
  <c r="K141" i="1"/>
  <c r="L141" i="1" s="1"/>
  <c r="N141" i="1" s="1"/>
  <c r="K142" i="1"/>
  <c r="M142" i="1" s="1"/>
  <c r="K143" i="1"/>
  <c r="K144" i="1"/>
  <c r="K145" i="1"/>
  <c r="L145" i="1" s="1"/>
  <c r="N145" i="1" s="1"/>
  <c r="K146" i="1"/>
  <c r="L146" i="1" s="1"/>
  <c r="N146" i="1" s="1"/>
  <c r="K147" i="1"/>
  <c r="M147" i="1" s="1"/>
  <c r="K148" i="1"/>
  <c r="M148" i="1" s="1"/>
  <c r="K149" i="1"/>
  <c r="K150" i="1"/>
  <c r="L150" i="1" s="1"/>
  <c r="N150" i="1" s="1"/>
  <c r="K151" i="1"/>
  <c r="L151" i="1" s="1"/>
  <c r="N151" i="1" s="1"/>
  <c r="K152" i="1"/>
  <c r="L152" i="1" s="1"/>
  <c r="N152" i="1" s="1"/>
  <c r="K153" i="1"/>
  <c r="L153" i="1" s="1"/>
  <c r="N153" i="1" s="1"/>
  <c r="K154" i="1"/>
  <c r="L154" i="1" s="1"/>
  <c r="N154" i="1" s="1"/>
  <c r="K155" i="1"/>
  <c r="L155" i="1" s="1"/>
  <c r="N155" i="1" s="1"/>
  <c r="K156" i="1"/>
  <c r="M156" i="1" s="1"/>
  <c r="K157" i="1"/>
  <c r="K158" i="1"/>
  <c r="L158" i="1" s="1"/>
  <c r="N158" i="1" s="1"/>
  <c r="K159" i="1"/>
  <c r="L159" i="1" s="1"/>
  <c r="N159" i="1" s="1"/>
  <c r="K160" i="1"/>
  <c r="M160" i="1" s="1"/>
  <c r="K161" i="1"/>
  <c r="L161" i="1" s="1"/>
  <c r="N161" i="1" s="1"/>
  <c r="K162" i="1"/>
  <c r="M162" i="1" s="1"/>
  <c r="K163" i="1"/>
  <c r="L163" i="1" s="1"/>
  <c r="N163" i="1" s="1"/>
  <c r="K164" i="1"/>
  <c r="L164" i="1" s="1"/>
  <c r="N164" i="1" s="1"/>
  <c r="K165" i="1"/>
  <c r="M165" i="1" s="1"/>
  <c r="K166" i="1"/>
  <c r="L166" i="1" s="1"/>
  <c r="N166" i="1" s="1"/>
  <c r="K167" i="1"/>
  <c r="L167" i="1" s="1"/>
  <c r="N167" i="1" s="1"/>
  <c r="K168" i="1"/>
  <c r="M168" i="1" s="1"/>
  <c r="K169" i="1"/>
  <c r="L169" i="1" s="1"/>
  <c r="N169" i="1" s="1"/>
  <c r="K170" i="1"/>
  <c r="K171" i="1"/>
  <c r="L171" i="1" s="1"/>
  <c r="N171" i="1" s="1"/>
  <c r="K172" i="1"/>
  <c r="L172" i="1" s="1"/>
  <c r="N172" i="1" s="1"/>
  <c r="K173" i="1"/>
  <c r="L173" i="1" s="1"/>
  <c r="N173" i="1" s="1"/>
  <c r="K174" i="1"/>
  <c r="L174" i="1" s="1"/>
  <c r="N174" i="1" s="1"/>
  <c r="K175" i="1"/>
  <c r="M175" i="1" s="1"/>
  <c r="K176" i="1"/>
  <c r="L176" i="1" s="1"/>
  <c r="N176" i="1" s="1"/>
  <c r="K177" i="1"/>
  <c r="L177" i="1" s="1"/>
  <c r="N177" i="1" s="1"/>
  <c r="K178" i="1"/>
  <c r="M178" i="1" s="1"/>
  <c r="K179" i="1"/>
  <c r="K180" i="1"/>
  <c r="K181" i="1"/>
  <c r="L181" i="1" s="1"/>
  <c r="N181" i="1" s="1"/>
  <c r="K182" i="1"/>
  <c r="L182" i="1" s="1"/>
  <c r="N182" i="1" s="1"/>
  <c r="K183" i="1"/>
  <c r="M183" i="1" s="1"/>
  <c r="K184" i="1"/>
  <c r="M184" i="1" s="1"/>
  <c r="K185" i="1"/>
  <c r="K186" i="1"/>
  <c r="L186" i="1" s="1"/>
  <c r="N186" i="1" s="1"/>
  <c r="K187" i="1"/>
  <c r="L187" i="1" s="1"/>
  <c r="N187" i="1" s="1"/>
  <c r="K188" i="1"/>
  <c r="L188" i="1" s="1"/>
  <c r="N188" i="1" s="1"/>
  <c r="K189" i="1"/>
  <c r="L189" i="1" s="1"/>
  <c r="N189" i="1" s="1"/>
  <c r="K190" i="1"/>
  <c r="L190" i="1" s="1"/>
  <c r="N190" i="1" s="1"/>
  <c r="K191" i="1"/>
  <c r="L191" i="1" s="1"/>
  <c r="N191" i="1" s="1"/>
  <c r="K192" i="1"/>
  <c r="M192" i="1" s="1"/>
  <c r="K193" i="1"/>
  <c r="K194" i="1"/>
  <c r="L194" i="1" s="1"/>
  <c r="N194" i="1" s="1"/>
  <c r="K195" i="1"/>
  <c r="L195" i="1" s="1"/>
  <c r="N195" i="1" s="1"/>
  <c r="K196" i="1"/>
  <c r="M196" i="1" s="1"/>
  <c r="K197" i="1"/>
  <c r="L197" i="1" s="1"/>
  <c r="N197" i="1" s="1"/>
  <c r="K198" i="1"/>
  <c r="M198" i="1" s="1"/>
  <c r="K199" i="1"/>
  <c r="M199" i="1" s="1"/>
  <c r="K200" i="1"/>
  <c r="L200" i="1" s="1"/>
  <c r="N200" i="1" s="1"/>
  <c r="K201" i="1"/>
  <c r="M201" i="1" s="1"/>
  <c r="K202" i="1"/>
  <c r="K203" i="1"/>
  <c r="L203" i="1" s="1"/>
  <c r="N203" i="1" s="1"/>
  <c r="K204" i="1"/>
  <c r="L204" i="1" s="1"/>
  <c r="N204" i="1" s="1"/>
  <c r="K205" i="1"/>
  <c r="L205" i="1" s="1"/>
  <c r="N205" i="1" s="1"/>
  <c r="K206" i="1"/>
  <c r="L206" i="1" s="1"/>
  <c r="N206" i="1" s="1"/>
  <c r="K207" i="1"/>
  <c r="L207" i="1" s="1"/>
  <c r="N207" i="1" s="1"/>
  <c r="K208" i="1"/>
  <c r="K209" i="1"/>
  <c r="M209" i="1" s="1"/>
  <c r="K210" i="1"/>
  <c r="L210" i="1" s="1"/>
  <c r="N210" i="1" s="1"/>
  <c r="K211" i="1"/>
  <c r="K212" i="1"/>
  <c r="M212" i="1" s="1"/>
  <c r="K213" i="1"/>
  <c r="M213" i="1" s="1"/>
  <c r="K214" i="1"/>
  <c r="M214" i="1" s="1"/>
  <c r="K215" i="1"/>
  <c r="L215" i="1" s="1"/>
  <c r="N215" i="1" s="1"/>
  <c r="K216" i="1"/>
  <c r="L216" i="1" s="1"/>
  <c r="N216" i="1" s="1"/>
  <c r="K217" i="1"/>
  <c r="M217" i="1" s="1"/>
  <c r="K218" i="1"/>
  <c r="L218" i="1" s="1"/>
  <c r="N218" i="1" s="1"/>
  <c r="K219" i="1"/>
  <c r="M219" i="1" s="1"/>
  <c r="K220" i="1"/>
  <c r="L220" i="1" s="1"/>
  <c r="N220" i="1" s="1"/>
  <c r="K221" i="1"/>
  <c r="L221" i="1" s="1"/>
  <c r="N221" i="1" s="1"/>
  <c r="K222" i="1"/>
  <c r="M222" i="1" s="1"/>
  <c r="K223" i="1"/>
  <c r="M223" i="1" s="1"/>
  <c r="K224" i="1"/>
  <c r="K225" i="1"/>
  <c r="L225" i="1" s="1"/>
  <c r="N225" i="1" s="1"/>
  <c r="K226" i="1"/>
  <c r="L226" i="1" s="1"/>
  <c r="N226" i="1" s="1"/>
  <c r="K227" i="1"/>
  <c r="M227" i="1" s="1"/>
  <c r="K228" i="1"/>
  <c r="L228" i="1" s="1"/>
  <c r="N228" i="1" s="1"/>
  <c r="K229" i="1"/>
  <c r="M229" i="1" s="1"/>
  <c r="K230" i="1"/>
  <c r="L230" i="1" s="1"/>
  <c r="N230" i="1" s="1"/>
  <c r="K231" i="1"/>
  <c r="M231" i="1" s="1"/>
  <c r="K232" i="1"/>
  <c r="L232" i="1" s="1"/>
  <c r="N232" i="1" s="1"/>
  <c r="K233" i="1"/>
  <c r="L233" i="1" s="1"/>
  <c r="N233" i="1" s="1"/>
  <c r="K234" i="1"/>
  <c r="L234" i="1" s="1"/>
  <c r="N234" i="1" s="1"/>
  <c r="K235" i="1"/>
  <c r="M235" i="1" s="1"/>
  <c r="K236" i="1"/>
  <c r="M236" i="1" s="1"/>
  <c r="K237" i="1"/>
  <c r="K238" i="1"/>
  <c r="M238" i="1" s="1"/>
  <c r="K239" i="1"/>
  <c r="L239" i="1" s="1"/>
  <c r="N239" i="1" s="1"/>
  <c r="K240" i="1"/>
  <c r="M240" i="1" s="1"/>
  <c r="K241" i="1"/>
  <c r="M241" i="1" s="1"/>
  <c r="K242" i="1"/>
  <c r="M242" i="1" s="1"/>
  <c r="K243" i="1"/>
  <c r="L243" i="1" s="1"/>
  <c r="N243" i="1" s="1"/>
  <c r="K244" i="1"/>
  <c r="L244" i="1" s="1"/>
  <c r="N244" i="1" s="1"/>
  <c r="K245" i="1"/>
  <c r="L245" i="1" s="1"/>
  <c r="N245" i="1" s="1"/>
  <c r="K246" i="1"/>
  <c r="L246" i="1" s="1"/>
  <c r="N246" i="1" s="1"/>
  <c r="K247" i="1"/>
  <c r="K248" i="1"/>
  <c r="M248" i="1" s="1"/>
  <c r="K249" i="1"/>
  <c r="M249" i="1" s="1"/>
  <c r="K250" i="1"/>
  <c r="M250" i="1" s="1"/>
  <c r="K251" i="1"/>
  <c r="L251" i="1" s="1"/>
  <c r="N251" i="1" s="1"/>
  <c r="K252" i="1"/>
  <c r="L252" i="1" s="1"/>
  <c r="N252" i="1" s="1"/>
  <c r="K253" i="1"/>
  <c r="M253" i="1" s="1"/>
  <c r="K254" i="1"/>
  <c r="L254" i="1" s="1"/>
  <c r="N254" i="1" s="1"/>
  <c r="K255" i="1"/>
  <c r="M255" i="1" s="1"/>
  <c r="K256" i="1"/>
  <c r="L256" i="1" s="1"/>
  <c r="N256" i="1" s="1"/>
  <c r="K257" i="1"/>
  <c r="L257" i="1" s="1"/>
  <c r="N257" i="1" s="1"/>
  <c r="K258" i="1"/>
  <c r="L258" i="1" s="1"/>
  <c r="N258" i="1" s="1"/>
  <c r="K259" i="1"/>
  <c r="L259" i="1" s="1"/>
  <c r="N259" i="1" s="1"/>
  <c r="K260" i="1"/>
  <c r="K261" i="1"/>
  <c r="L261" i="1" s="1"/>
  <c r="N261" i="1" s="1"/>
  <c r="K262" i="1"/>
  <c r="L262" i="1" s="1"/>
  <c r="N262" i="1" s="1"/>
  <c r="K263" i="1"/>
  <c r="K264" i="1"/>
  <c r="L264" i="1" s="1"/>
  <c r="N264" i="1" s="1"/>
  <c r="K265" i="1"/>
  <c r="L265" i="1" s="1"/>
  <c r="N265" i="1" s="1"/>
  <c r="K266" i="1"/>
  <c r="K267" i="1"/>
  <c r="L267" i="1" s="1"/>
  <c r="N267" i="1" s="1"/>
  <c r="K268" i="1"/>
  <c r="M268" i="1" s="1"/>
  <c r="K269" i="1"/>
  <c r="K270" i="1"/>
  <c r="L270" i="1" s="1"/>
  <c r="N270" i="1" s="1"/>
  <c r="K271" i="1"/>
  <c r="M271" i="1" s="1"/>
  <c r="K272" i="1"/>
  <c r="K273" i="1"/>
  <c r="M273" i="1" s="1"/>
  <c r="K274" i="1"/>
  <c r="M274" i="1" s="1"/>
  <c r="K275" i="1"/>
  <c r="K276" i="1"/>
  <c r="L276" i="1" s="1"/>
  <c r="N276" i="1" s="1"/>
  <c r="K277" i="1"/>
  <c r="M277" i="1" s="1"/>
  <c r="K278" i="1"/>
  <c r="K279" i="1"/>
  <c r="L279" i="1" s="1"/>
  <c r="N279" i="1" s="1"/>
  <c r="K280" i="1"/>
  <c r="M280" i="1" s="1"/>
  <c r="K281" i="1"/>
  <c r="K282" i="1"/>
  <c r="L282" i="1" s="1"/>
  <c r="N282" i="1" s="1"/>
  <c r="K283" i="1"/>
  <c r="M283" i="1" s="1"/>
  <c r="K284" i="1"/>
  <c r="K285" i="1"/>
  <c r="M285" i="1" s="1"/>
  <c r="K286" i="1"/>
  <c r="M286" i="1" s="1"/>
  <c r="K287" i="1"/>
  <c r="K288" i="1"/>
  <c r="M288" i="1" s="1"/>
  <c r="K289" i="1"/>
  <c r="M289" i="1" s="1"/>
  <c r="K290" i="1"/>
  <c r="K291" i="1"/>
  <c r="L291" i="1" s="1"/>
  <c r="N291" i="1" s="1"/>
  <c r="K292" i="1"/>
  <c r="M292" i="1" s="1"/>
  <c r="K293" i="1"/>
  <c r="K294" i="1"/>
  <c r="L294" i="1" s="1"/>
  <c r="N294" i="1" s="1"/>
  <c r="K295" i="1"/>
  <c r="M295" i="1" s="1"/>
  <c r="K296" i="1"/>
  <c r="K297" i="1"/>
  <c r="M297" i="1" s="1"/>
  <c r="K298" i="1"/>
  <c r="M298" i="1" s="1"/>
  <c r="K299" i="1"/>
  <c r="K300" i="1"/>
  <c r="L300" i="1" s="1"/>
  <c r="N300" i="1" s="1"/>
  <c r="K301" i="1"/>
  <c r="M301" i="1" s="1"/>
  <c r="K302" i="1"/>
  <c r="K303" i="1"/>
  <c r="M303" i="1" s="1"/>
  <c r="K304" i="1"/>
  <c r="L304" i="1" s="1"/>
  <c r="N304" i="1" s="1"/>
  <c r="K305" i="1"/>
  <c r="L305" i="1" s="1"/>
  <c r="N305" i="1" s="1"/>
  <c r="K306" i="1"/>
  <c r="K307" i="1"/>
  <c r="K308" i="1"/>
  <c r="L308" i="1" s="1"/>
  <c r="N308" i="1" s="1"/>
  <c r="K309" i="1"/>
  <c r="M309" i="1" s="1"/>
  <c r="K310" i="1"/>
  <c r="K311" i="1"/>
  <c r="L311" i="1" s="1"/>
  <c r="N311" i="1" s="1"/>
  <c r="K312" i="1"/>
  <c r="L312" i="1" s="1"/>
  <c r="N312" i="1" s="1"/>
  <c r="K313" i="1"/>
  <c r="M313" i="1" s="1"/>
  <c r="K314" i="1"/>
  <c r="M314" i="1" s="1"/>
  <c r="K315" i="1"/>
  <c r="L315" i="1" s="1"/>
  <c r="N315" i="1" s="1"/>
  <c r="K316" i="1"/>
  <c r="L316" i="1" s="1"/>
  <c r="N316" i="1" s="1"/>
  <c r="K317" i="1"/>
  <c r="M317" i="1" s="1"/>
  <c r="K318" i="1"/>
  <c r="M318" i="1" s="1"/>
  <c r="K319" i="1"/>
  <c r="M319" i="1" s="1"/>
  <c r="K320" i="1"/>
  <c r="M320" i="1" s="1"/>
  <c r="K321" i="1"/>
  <c r="M321" i="1" s="1"/>
  <c r="K322" i="1"/>
  <c r="M322" i="1" s="1"/>
  <c r="K323" i="1"/>
  <c r="L323" i="1" s="1"/>
  <c r="N323" i="1" s="1"/>
  <c r="K324" i="1"/>
  <c r="M324" i="1" s="1"/>
  <c r="K325" i="1"/>
  <c r="L325" i="1" s="1"/>
  <c r="N325" i="1" s="1"/>
  <c r="K326" i="1"/>
  <c r="M326" i="1" s="1"/>
  <c r="K327" i="1"/>
  <c r="L327" i="1" s="1"/>
  <c r="N327" i="1" s="1"/>
  <c r="K328" i="1"/>
  <c r="L328" i="1" s="1"/>
  <c r="N328" i="1" s="1"/>
  <c r="K329" i="1"/>
  <c r="L329" i="1" s="1"/>
  <c r="N329" i="1" s="1"/>
  <c r="K330" i="1"/>
  <c r="L330" i="1" s="1"/>
  <c r="N330" i="1" s="1"/>
  <c r="K331" i="1"/>
  <c r="L331" i="1" s="1"/>
  <c r="N331" i="1" s="1"/>
  <c r="K332" i="1"/>
  <c r="M332" i="1" s="1"/>
  <c r="K333" i="1"/>
  <c r="M333" i="1" s="1"/>
  <c r="K334" i="1"/>
  <c r="M334" i="1" s="1"/>
  <c r="K335" i="1"/>
  <c r="M335" i="1" s="1"/>
  <c r="K336" i="1"/>
  <c r="L336" i="1" s="1"/>
  <c r="N336" i="1" s="1"/>
  <c r="K337" i="1"/>
  <c r="L337" i="1" s="1"/>
  <c r="N337" i="1" s="1"/>
  <c r="K338" i="1"/>
  <c r="L338" i="1" s="1"/>
  <c r="N338" i="1" s="1"/>
  <c r="K339" i="1"/>
  <c r="M339" i="1" s="1"/>
  <c r="K340" i="1"/>
  <c r="L340" i="1" s="1"/>
  <c r="N340" i="1" s="1"/>
  <c r="K341" i="1"/>
  <c r="L341" i="1" s="1"/>
  <c r="N341" i="1" s="1"/>
  <c r="K342" i="1"/>
  <c r="M342" i="1" s="1"/>
  <c r="K343" i="1"/>
  <c r="L343" i="1" s="1"/>
  <c r="N343" i="1" s="1"/>
  <c r="K344" i="1"/>
  <c r="L344" i="1" s="1"/>
  <c r="N344" i="1" s="1"/>
  <c r="K345" i="1"/>
  <c r="M345" i="1" s="1"/>
  <c r="K346" i="1"/>
  <c r="L346" i="1" s="1"/>
  <c r="N346" i="1" s="1"/>
  <c r="K347" i="1"/>
  <c r="L347" i="1" s="1"/>
  <c r="N347" i="1" s="1"/>
  <c r="K348" i="1"/>
  <c r="M348" i="1" s="1"/>
  <c r="K349" i="1"/>
  <c r="L349" i="1" s="1"/>
  <c r="N349" i="1" s="1"/>
  <c r="K350" i="1"/>
  <c r="L350" i="1" s="1"/>
  <c r="N350" i="1" s="1"/>
  <c r="K351" i="1"/>
  <c r="M351" i="1" s="1"/>
  <c r="K352" i="1"/>
  <c r="M352" i="1" s="1"/>
  <c r="K353" i="1"/>
  <c r="L353" i="1" s="1"/>
  <c r="N353" i="1" s="1"/>
  <c r="K354" i="1"/>
  <c r="M354" i="1" s="1"/>
  <c r="K355" i="1"/>
  <c r="L355" i="1" s="1"/>
  <c r="N355" i="1" s="1"/>
  <c r="K356" i="1"/>
  <c r="L356" i="1" s="1"/>
  <c r="N356" i="1" s="1"/>
  <c r="K357" i="1"/>
  <c r="M357" i="1" s="1"/>
  <c r="K358" i="1"/>
  <c r="L358" i="1" s="1"/>
  <c r="N358" i="1" s="1"/>
  <c r="K359" i="1"/>
  <c r="L359" i="1" s="1"/>
  <c r="N359" i="1" s="1"/>
  <c r="K360" i="1"/>
  <c r="M360" i="1" s="1"/>
  <c r="K361" i="1"/>
  <c r="L361" i="1" s="1"/>
  <c r="N361" i="1" s="1"/>
  <c r="K362" i="1"/>
  <c r="L362" i="1" s="1"/>
  <c r="N362" i="1" s="1"/>
  <c r="K363" i="1"/>
  <c r="M363" i="1" s="1"/>
  <c r="K364" i="1"/>
  <c r="M364" i="1" s="1"/>
  <c r="K365" i="1"/>
  <c r="L365" i="1" s="1"/>
  <c r="N365" i="1" s="1"/>
  <c r="K366" i="1"/>
  <c r="M366" i="1" s="1"/>
  <c r="K367" i="1"/>
  <c r="L367" i="1" s="1"/>
  <c r="N367" i="1" s="1"/>
  <c r="K368" i="1"/>
  <c r="L368" i="1" s="1"/>
  <c r="N368" i="1" s="1"/>
  <c r="K369" i="1"/>
  <c r="M369" i="1" s="1"/>
  <c r="K370" i="1"/>
  <c r="L370" i="1" s="1"/>
  <c r="N370" i="1" s="1"/>
  <c r="K371" i="1"/>
  <c r="L371" i="1" s="1"/>
  <c r="N371" i="1" s="1"/>
  <c r="K372" i="1"/>
  <c r="M372" i="1" s="1"/>
  <c r="K373" i="1"/>
  <c r="L373" i="1" s="1"/>
  <c r="N373" i="1" s="1"/>
  <c r="K374" i="1"/>
  <c r="L374" i="1" s="1"/>
  <c r="N374" i="1" s="1"/>
  <c r="K375" i="1"/>
  <c r="M375" i="1" s="1"/>
  <c r="K376" i="1"/>
  <c r="L376" i="1" s="1"/>
  <c r="N376" i="1" s="1"/>
  <c r="K377" i="1"/>
  <c r="L377" i="1" s="1"/>
  <c r="N377" i="1" s="1"/>
  <c r="K378" i="1"/>
  <c r="M378" i="1" s="1"/>
  <c r="K379" i="1"/>
  <c r="L379" i="1" s="1"/>
  <c r="N379" i="1" s="1"/>
  <c r="K380" i="1"/>
  <c r="L380" i="1" s="1"/>
  <c r="N380" i="1" s="1"/>
  <c r="K381" i="1"/>
  <c r="M381" i="1" s="1"/>
  <c r="K382" i="1"/>
  <c r="L382" i="1" s="1"/>
  <c r="N382" i="1" s="1"/>
  <c r="K383" i="1"/>
  <c r="L383" i="1" s="1"/>
  <c r="N383" i="1" s="1"/>
  <c r="K384" i="1"/>
  <c r="M384" i="1" s="1"/>
  <c r="K385" i="1"/>
  <c r="L385" i="1" s="1"/>
  <c r="N385" i="1" s="1"/>
  <c r="K386" i="1"/>
  <c r="L386" i="1" s="1"/>
  <c r="N386" i="1" s="1"/>
  <c r="K387" i="1"/>
  <c r="M387" i="1" s="1"/>
  <c r="K388" i="1"/>
  <c r="L388" i="1" s="1"/>
  <c r="N388" i="1" s="1"/>
  <c r="K389" i="1"/>
  <c r="L389" i="1" s="1"/>
  <c r="N389" i="1" s="1"/>
  <c r="K390" i="1"/>
  <c r="M390" i="1" s="1"/>
  <c r="K391" i="1"/>
  <c r="L391" i="1" s="1"/>
  <c r="N391" i="1" s="1"/>
  <c r="K392" i="1"/>
  <c r="L392" i="1" s="1"/>
  <c r="N392" i="1" s="1"/>
  <c r="K393" i="1"/>
  <c r="M393" i="1" s="1"/>
  <c r="K394" i="1"/>
  <c r="L394" i="1" s="1"/>
  <c r="N394" i="1" s="1"/>
  <c r="K395" i="1"/>
  <c r="L395" i="1" s="1"/>
  <c r="N395" i="1" s="1"/>
  <c r="K396" i="1"/>
  <c r="M396" i="1" s="1"/>
  <c r="K397" i="1"/>
  <c r="L397" i="1" s="1"/>
  <c r="N397" i="1" s="1"/>
  <c r="K398" i="1"/>
  <c r="L398" i="1" s="1"/>
  <c r="N398" i="1" s="1"/>
  <c r="K399" i="1"/>
  <c r="M399" i="1" s="1"/>
  <c r="K400" i="1"/>
  <c r="L400" i="1" s="1"/>
  <c r="N400" i="1" s="1"/>
  <c r="K401" i="1"/>
  <c r="L401" i="1" s="1"/>
  <c r="N401" i="1" s="1"/>
  <c r="K402" i="1"/>
  <c r="L402" i="1" s="1"/>
  <c r="N402" i="1" s="1"/>
  <c r="K403" i="1"/>
  <c r="L403" i="1" s="1"/>
  <c r="N403" i="1" s="1"/>
  <c r="K404" i="1"/>
  <c r="L404" i="1" s="1"/>
  <c r="N404" i="1" s="1"/>
  <c r="K405" i="1"/>
  <c r="L405" i="1" s="1"/>
  <c r="N405" i="1" s="1"/>
  <c r="K406" i="1"/>
  <c r="M406" i="1" s="1"/>
  <c r="K407" i="1"/>
  <c r="K408" i="1"/>
  <c r="K409" i="1"/>
  <c r="L409" i="1" s="1"/>
  <c r="N409" i="1" s="1"/>
  <c r="K410" i="1"/>
  <c r="L410" i="1" s="1"/>
  <c r="N410" i="1" s="1"/>
  <c r="K411" i="1"/>
  <c r="K412" i="1"/>
  <c r="L412" i="1" s="1"/>
  <c r="N412" i="1" s="1"/>
  <c r="K413" i="1"/>
  <c r="M413" i="1" s="1"/>
  <c r="K414" i="1"/>
  <c r="L414" i="1" s="1"/>
  <c r="N414" i="1" s="1"/>
  <c r="K415" i="1"/>
  <c r="L415" i="1" s="1"/>
  <c r="N415" i="1" s="1"/>
  <c r="K416" i="1"/>
  <c r="K417" i="1"/>
  <c r="L417" i="1" s="1"/>
  <c r="N417" i="1" s="1"/>
  <c r="M71" i="6" l="1"/>
  <c r="M80" i="6" s="1"/>
  <c r="M89" i="6" s="1"/>
  <c r="M107" i="6" s="1"/>
  <c r="L92" i="24"/>
  <c r="L102" i="24"/>
  <c r="M86" i="24"/>
  <c r="M98" i="24"/>
  <c r="M84" i="6"/>
  <c r="M93" i="6" s="1"/>
  <c r="M102" i="6" s="1"/>
  <c r="L372" i="16"/>
  <c r="L421" i="16" s="1"/>
  <c r="M62" i="24"/>
  <c r="M74" i="24"/>
  <c r="L62" i="7"/>
  <c r="L72" i="7" s="1"/>
  <c r="L82" i="7" s="1"/>
  <c r="L92" i="7" s="1"/>
  <c r="L102" i="7" s="1"/>
  <c r="L112" i="7" s="1"/>
  <c r="M67" i="7"/>
  <c r="M77" i="7" s="1"/>
  <c r="M87" i="7" s="1"/>
  <c r="L68" i="7"/>
  <c r="L78" i="7" s="1"/>
  <c r="L91" i="7" s="1"/>
  <c r="L98" i="7" s="1"/>
  <c r="L108" i="7" s="1"/>
  <c r="L118" i="7" s="1"/>
  <c r="M66" i="7"/>
  <c r="M76" i="7" s="1"/>
  <c r="L65" i="7"/>
  <c r="L75" i="7" s="1"/>
  <c r="L85" i="7" s="1"/>
  <c r="L95" i="7" s="1"/>
  <c r="L105" i="7" s="1"/>
  <c r="L115" i="7" s="1"/>
  <c r="M68" i="7"/>
  <c r="M78" i="7" s="1"/>
  <c r="M91" i="7" s="1"/>
  <c r="M98" i="7" s="1"/>
  <c r="M118" i="7" s="1"/>
  <c r="L67" i="7"/>
  <c r="L77" i="7" s="1"/>
  <c r="L87" i="7" s="1"/>
  <c r="L97" i="7" s="1"/>
  <c r="L107" i="7" s="1"/>
  <c r="L117" i="7" s="1"/>
  <c r="L64" i="7"/>
  <c r="L74" i="7" s="1"/>
  <c r="L84" i="7" s="1"/>
  <c r="L94" i="7" s="1"/>
  <c r="L66" i="7"/>
  <c r="L76" i="7" s="1"/>
  <c r="L86" i="7" s="1"/>
  <c r="L106" i="7" s="1"/>
  <c r="L116" i="7" s="1"/>
  <c r="M78" i="20"/>
  <c r="M89" i="20" s="1"/>
  <c r="M100" i="20" s="1"/>
  <c r="M111" i="20" s="1"/>
  <c r="M122" i="20" s="1"/>
  <c r="M133" i="20" s="1"/>
  <c r="M11" i="1"/>
  <c r="M146" i="1"/>
  <c r="M140" i="1"/>
  <c r="L320" i="1"/>
  <c r="N320" i="1" s="1"/>
  <c r="M32" i="1"/>
  <c r="M89" i="1"/>
  <c r="L303" i="1"/>
  <c r="N303" i="1" s="1"/>
  <c r="L301" i="1"/>
  <c r="N301" i="1" s="1"/>
  <c r="L357" i="1"/>
  <c r="N357" i="1" s="1"/>
  <c r="L22" i="1"/>
  <c r="N22" i="1" s="1"/>
  <c r="M412" i="1"/>
  <c r="M262" i="1"/>
  <c r="M226" i="1"/>
  <c r="M294" i="1"/>
  <c r="M328" i="1"/>
  <c r="L241" i="1"/>
  <c r="N241" i="1" s="1"/>
  <c r="L71" i="1"/>
  <c r="N71" i="1" s="1"/>
  <c r="M26" i="1"/>
  <c r="L393" i="1"/>
  <c r="N393" i="1" s="1"/>
  <c r="L318" i="1"/>
  <c r="N318" i="1" s="1"/>
  <c r="L138" i="1"/>
  <c r="N138" i="1" s="1"/>
  <c r="M355" i="1"/>
  <c r="L345" i="1"/>
  <c r="N345" i="1" s="1"/>
  <c r="L280" i="1"/>
  <c r="N280" i="1" s="1"/>
  <c r="M362" i="1"/>
  <c r="L406" i="1"/>
  <c r="N406" i="1" s="1"/>
  <c r="L363" i="1"/>
  <c r="N363" i="1" s="1"/>
  <c r="M100" i="1"/>
  <c r="M400" i="1"/>
  <c r="L381" i="1"/>
  <c r="N381" i="1" s="1"/>
  <c r="L324" i="1"/>
  <c r="N324" i="1" s="1"/>
  <c r="L288" i="1"/>
  <c r="N288" i="1" s="1"/>
  <c r="L268" i="1"/>
  <c r="N268" i="1" s="1"/>
  <c r="L217" i="1"/>
  <c r="N217" i="1" s="1"/>
  <c r="M15" i="1"/>
  <c r="M370" i="1"/>
  <c r="L249" i="1"/>
  <c r="N249" i="1" s="1"/>
  <c r="L184" i="1"/>
  <c r="N184" i="1" s="1"/>
  <c r="M145" i="1"/>
  <c r="L118" i="1"/>
  <c r="N118" i="1" s="1"/>
  <c r="M24" i="1"/>
  <c r="L352" i="1"/>
  <c r="N352" i="1" s="1"/>
  <c r="M315" i="1"/>
  <c r="L295" i="1"/>
  <c r="N295" i="1" s="1"/>
  <c r="M267" i="1"/>
  <c r="M128" i="1"/>
  <c r="L4" i="1"/>
  <c r="N4" i="1" s="1"/>
  <c r="L322" i="1"/>
  <c r="N322" i="1" s="1"/>
  <c r="L286" i="1"/>
  <c r="N286" i="1" s="1"/>
  <c r="M257" i="1"/>
  <c r="L192" i="1"/>
  <c r="N192" i="1" s="1"/>
  <c r="M161" i="1"/>
  <c r="M151" i="1"/>
  <c r="L85" i="1"/>
  <c r="N85" i="1" s="1"/>
  <c r="M40" i="1"/>
  <c r="L313" i="1"/>
  <c r="N313" i="1" s="1"/>
  <c r="M265" i="1"/>
  <c r="L201" i="1"/>
  <c r="N201" i="1" s="1"/>
  <c r="M2" i="1"/>
  <c r="L142" i="1"/>
  <c r="N142" i="1" s="1"/>
  <c r="M394" i="1"/>
  <c r="L375" i="1"/>
  <c r="N375" i="1" s="1"/>
  <c r="M337" i="1"/>
  <c r="L38" i="1"/>
  <c r="N38" i="1" s="1"/>
  <c r="L319" i="1"/>
  <c r="N319" i="1" s="1"/>
  <c r="M291" i="1"/>
  <c r="L271" i="1"/>
  <c r="N271" i="1" s="1"/>
  <c r="L178" i="1"/>
  <c r="N178" i="1" s="1"/>
  <c r="M112" i="1"/>
  <c r="M47" i="1"/>
  <c r="M9" i="1"/>
  <c r="M382" i="1"/>
  <c r="M279" i="1"/>
  <c r="L364" i="1"/>
  <c r="N364" i="1" s="1"/>
  <c r="M232" i="1"/>
  <c r="L48" i="1"/>
  <c r="N48" i="1" s="1"/>
  <c r="M84" i="1"/>
  <c r="M75" i="1"/>
  <c r="L55" i="1"/>
  <c r="N55" i="1" s="1"/>
  <c r="M3" i="1"/>
  <c r="L387" i="1"/>
  <c r="N387" i="1" s="1"/>
  <c r="M344" i="1"/>
  <c r="M207" i="1"/>
  <c r="M187" i="1"/>
  <c r="L168" i="1"/>
  <c r="N168" i="1" s="1"/>
  <c r="M83" i="1"/>
  <c r="M343" i="1"/>
  <c r="M133" i="1"/>
  <c r="M401" i="1"/>
  <c r="L235" i="1"/>
  <c r="N235" i="1" s="1"/>
  <c r="L156" i="1"/>
  <c r="N156" i="1" s="1"/>
  <c r="M125" i="1"/>
  <c r="M88" i="1"/>
  <c r="L81" i="1"/>
  <c r="N81" i="1" s="1"/>
  <c r="M51" i="1"/>
  <c r="M33" i="1"/>
  <c r="M25" i="1"/>
  <c r="M386" i="1"/>
  <c r="M380" i="1"/>
  <c r="M373" i="1"/>
  <c r="M361" i="1"/>
  <c r="L348" i="1"/>
  <c r="N348" i="1" s="1"/>
  <c r="L335" i="1"/>
  <c r="N335" i="1" s="1"/>
  <c r="M327" i="1"/>
  <c r="M316" i="1"/>
  <c r="L309" i="1"/>
  <c r="N309" i="1" s="1"/>
  <c r="L285" i="1"/>
  <c r="N285" i="1" s="1"/>
  <c r="L277" i="1"/>
  <c r="N277" i="1" s="1"/>
  <c r="L231" i="1"/>
  <c r="N231" i="1" s="1"/>
  <c r="L198" i="1"/>
  <c r="N198" i="1" s="1"/>
  <c r="L68" i="1"/>
  <c r="N68" i="1" s="1"/>
  <c r="L46" i="1"/>
  <c r="N46" i="1" s="1"/>
  <c r="L17" i="1"/>
  <c r="N17" i="1" s="1"/>
  <c r="M414" i="1"/>
  <c r="M392" i="1"/>
  <c r="L354" i="1"/>
  <c r="N354" i="1" s="1"/>
  <c r="L321" i="1"/>
  <c r="N321" i="1" s="1"/>
  <c r="L238" i="1"/>
  <c r="N238" i="1" s="1"/>
  <c r="L223" i="1"/>
  <c r="N223" i="1" s="1"/>
  <c r="M190" i="1"/>
  <c r="M174" i="1"/>
  <c r="M137" i="1"/>
  <c r="M131" i="1"/>
  <c r="L31" i="1"/>
  <c r="N31" i="1" s="1"/>
  <c r="M379" i="1"/>
  <c r="L366" i="1"/>
  <c r="N366" i="1" s="1"/>
  <c r="L334" i="1"/>
  <c r="N334" i="1" s="1"/>
  <c r="M308" i="1"/>
  <c r="L253" i="1"/>
  <c r="N253" i="1" s="1"/>
  <c r="M244" i="1"/>
  <c r="M230" i="1"/>
  <c r="M115" i="1"/>
  <c r="M106" i="1"/>
  <c r="L67" i="1"/>
  <c r="N67" i="1" s="1"/>
  <c r="L58" i="1"/>
  <c r="N58" i="1" s="1"/>
  <c r="L36" i="1"/>
  <c r="N36" i="1" s="1"/>
  <c r="L23" i="1"/>
  <c r="N23" i="1" s="1"/>
  <c r="M391" i="1"/>
  <c r="L384" i="1"/>
  <c r="N384" i="1" s="1"/>
  <c r="L372" i="1"/>
  <c r="N372" i="1" s="1"/>
  <c r="M353" i="1"/>
  <c r="M346" i="1"/>
  <c r="L326" i="1"/>
  <c r="N326" i="1" s="1"/>
  <c r="L298" i="1"/>
  <c r="N298" i="1" s="1"/>
  <c r="L222" i="1"/>
  <c r="N222" i="1" s="1"/>
  <c r="L148" i="1"/>
  <c r="N148" i="1" s="1"/>
  <c r="L413" i="1"/>
  <c r="N413" i="1" s="1"/>
  <c r="L274" i="1"/>
  <c r="N274" i="1" s="1"/>
  <c r="M259" i="1"/>
  <c r="M252" i="1"/>
  <c r="M243" i="1"/>
  <c r="M163" i="1"/>
  <c r="M155" i="1"/>
  <c r="M135" i="1"/>
  <c r="L129" i="1"/>
  <c r="N129" i="1" s="1"/>
  <c r="M86" i="1"/>
  <c r="L72" i="1"/>
  <c r="N72" i="1" s="1"/>
  <c r="M66" i="1"/>
  <c r="M49" i="1"/>
  <c r="M43" i="1"/>
  <c r="L396" i="1"/>
  <c r="N396" i="1" s="1"/>
  <c r="M383" i="1"/>
  <c r="M371" i="1"/>
  <c r="L339" i="1"/>
  <c r="N339" i="1" s="1"/>
  <c r="L297" i="1"/>
  <c r="N297" i="1" s="1"/>
  <c r="M221" i="1"/>
  <c r="L212" i="1"/>
  <c r="N212" i="1" s="1"/>
  <c r="M195" i="1"/>
  <c r="L147" i="1"/>
  <c r="N147" i="1" s="1"/>
  <c r="M141" i="1"/>
  <c r="L80" i="1"/>
  <c r="N80" i="1" s="1"/>
  <c r="L35" i="1"/>
  <c r="N35" i="1" s="1"/>
  <c r="M61" i="1"/>
  <c r="L7" i="6"/>
  <c r="L16" i="6" s="1"/>
  <c r="L25" i="6" s="1"/>
  <c r="L34" i="6" s="1"/>
  <c r="L43" i="6" s="1"/>
  <c r="L52" i="6" s="1"/>
  <c r="L61" i="6" s="1"/>
  <c r="L70" i="6" s="1"/>
  <c r="L79" i="6" s="1"/>
  <c r="L88" i="6" s="1"/>
  <c r="L97" i="6" s="1"/>
  <c r="L106" i="6" s="1"/>
  <c r="L2" i="6"/>
  <c r="L6" i="6"/>
  <c r="L8" i="6"/>
  <c r="L3" i="6"/>
  <c r="L9" i="6"/>
  <c r="M397" i="1"/>
  <c r="M388" i="1"/>
  <c r="M376" i="1"/>
  <c r="M367" i="1"/>
  <c r="M358" i="1"/>
  <c r="M349" i="1"/>
  <c r="M340" i="1"/>
  <c r="M325" i="1"/>
  <c r="M276" i="1"/>
  <c r="M218" i="1"/>
  <c r="M186" i="1"/>
  <c r="M169" i="1"/>
  <c r="M114" i="1"/>
  <c r="M97" i="1"/>
  <c r="M91" i="1"/>
  <c r="M76" i="1"/>
  <c r="M62" i="1"/>
  <c r="M12" i="1"/>
  <c r="M415" i="1"/>
  <c r="M304" i="1"/>
  <c r="L292" i="1"/>
  <c r="N292" i="1" s="1"/>
  <c r="L236" i="1"/>
  <c r="N236" i="1" s="1"/>
  <c r="M164" i="1"/>
  <c r="M152" i="1"/>
  <c r="M109" i="1"/>
  <c r="M395" i="1"/>
  <c r="M374" i="1"/>
  <c r="M365" i="1"/>
  <c r="M356" i="1"/>
  <c r="M347" i="1"/>
  <c r="M338" i="1"/>
  <c r="L333" i="1"/>
  <c r="N333" i="1" s="1"/>
  <c r="M323" i="1"/>
  <c r="L273" i="1"/>
  <c r="N273" i="1" s="1"/>
  <c r="M261" i="1"/>
  <c r="M256" i="1"/>
  <c r="M251" i="1"/>
  <c r="M239" i="1"/>
  <c r="M234" i="1"/>
  <c r="M228" i="1"/>
  <c r="M216" i="1"/>
  <c r="L209" i="1"/>
  <c r="N209" i="1" s="1"/>
  <c r="M173" i="1"/>
  <c r="M167" i="1"/>
  <c r="M136" i="1"/>
  <c r="M132" i="1"/>
  <c r="M94" i="1"/>
  <c r="M79" i="1"/>
  <c r="M70" i="1"/>
  <c r="M50" i="1"/>
  <c r="L21" i="1"/>
  <c r="N21" i="1" s="1"/>
  <c r="M177" i="1"/>
  <c r="M154" i="1"/>
  <c r="M150" i="1"/>
  <c r="M127" i="1"/>
  <c r="M120" i="1"/>
  <c r="M99" i="1"/>
  <c r="M74" i="1"/>
  <c r="M60" i="1"/>
  <c r="M45" i="1"/>
  <c r="M30" i="1"/>
  <c r="M404" i="1"/>
  <c r="L399" i="1"/>
  <c r="N399" i="1" s="1"/>
  <c r="L390" i="1"/>
  <c r="N390" i="1" s="1"/>
  <c r="L378" i="1"/>
  <c r="N378" i="1" s="1"/>
  <c r="L369" i="1"/>
  <c r="N369" i="1" s="1"/>
  <c r="L360" i="1"/>
  <c r="N360" i="1" s="1"/>
  <c r="L351" i="1"/>
  <c r="N351" i="1" s="1"/>
  <c r="L342" i="1"/>
  <c r="N342" i="1" s="1"/>
  <c r="L332" i="1"/>
  <c r="N332" i="1" s="1"/>
  <c r="L289" i="1"/>
  <c r="N289" i="1" s="1"/>
  <c r="L283" i="1"/>
  <c r="N283" i="1" s="1"/>
  <c r="L255" i="1"/>
  <c r="N255" i="1" s="1"/>
  <c r="M215" i="1"/>
  <c r="M182" i="1"/>
  <c r="M78" i="1"/>
  <c r="M65" i="1"/>
  <c r="M39" i="1"/>
  <c r="M14" i="1"/>
  <c r="M87" i="1"/>
  <c r="M34" i="1"/>
  <c r="M19" i="1"/>
  <c r="M403" i="1"/>
  <c r="M398" i="1"/>
  <c r="M389" i="1"/>
  <c r="M385" i="1"/>
  <c r="M377" i="1"/>
  <c r="M368" i="1"/>
  <c r="M359" i="1"/>
  <c r="M350" i="1"/>
  <c r="M341" i="1"/>
  <c r="M305" i="1"/>
  <c r="M300" i="1"/>
  <c r="M282" i="1"/>
  <c r="M254" i="1"/>
  <c r="L219" i="1"/>
  <c r="N219" i="1" s="1"/>
  <c r="M181" i="1"/>
  <c r="L165" i="1"/>
  <c r="N165" i="1" s="1"/>
  <c r="M110" i="1"/>
  <c r="M73" i="1"/>
  <c r="L59" i="1"/>
  <c r="N59" i="1" s="1"/>
  <c r="M53" i="1"/>
  <c r="L44" i="1"/>
  <c r="N44" i="1" s="1"/>
  <c r="M13" i="1"/>
  <c r="M336" i="1"/>
  <c r="L317" i="1"/>
  <c r="N317" i="1" s="1"/>
  <c r="M270" i="1"/>
  <c r="L248" i="1"/>
  <c r="N248" i="1" s="1"/>
  <c r="L242" i="1"/>
  <c r="N242" i="1" s="1"/>
  <c r="M225" i="1"/>
  <c r="L213" i="1"/>
  <c r="N213" i="1" s="1"/>
  <c r="M176" i="1"/>
  <c r="M153" i="1"/>
  <c r="M119" i="1"/>
  <c r="M103" i="1"/>
  <c r="L82" i="1"/>
  <c r="N82" i="1" s="1"/>
  <c r="L10" i="1"/>
  <c r="N10" i="1" s="1"/>
  <c r="L306" i="1"/>
  <c r="N306" i="1" s="1"/>
  <c r="M306" i="1"/>
  <c r="M411" i="1"/>
  <c r="L411" i="1"/>
  <c r="N411" i="1" s="1"/>
  <c r="M416" i="1"/>
  <c r="L416" i="1"/>
  <c r="N416" i="1" s="1"/>
  <c r="L408" i="1"/>
  <c r="N408" i="1" s="1"/>
  <c r="M408" i="1"/>
  <c r="L407" i="1"/>
  <c r="N407" i="1" s="1"/>
  <c r="M407" i="1"/>
  <c r="L307" i="1"/>
  <c r="N307" i="1" s="1"/>
  <c r="M307" i="1"/>
  <c r="L144" i="1"/>
  <c r="N144" i="1" s="1"/>
  <c r="M144" i="1"/>
  <c r="M330" i="1"/>
  <c r="L299" i="1"/>
  <c r="N299" i="1" s="1"/>
  <c r="M299" i="1"/>
  <c r="M104" i="1"/>
  <c r="L104" i="1"/>
  <c r="N104" i="1" s="1"/>
  <c r="L287" i="1"/>
  <c r="N287" i="1" s="1"/>
  <c r="M287" i="1"/>
  <c r="L275" i="1"/>
  <c r="N275" i="1" s="1"/>
  <c r="M275" i="1"/>
  <c r="L310" i="1"/>
  <c r="N310" i="1" s="1"/>
  <c r="M310" i="1"/>
  <c r="L263" i="1"/>
  <c r="N263" i="1" s="1"/>
  <c r="M263" i="1"/>
  <c r="L193" i="1"/>
  <c r="N193" i="1" s="1"/>
  <c r="M193" i="1"/>
  <c r="M189" i="1"/>
  <c r="L185" i="1"/>
  <c r="N185" i="1" s="1"/>
  <c r="M185" i="1"/>
  <c r="M172" i="1"/>
  <c r="L160" i="1"/>
  <c r="N160" i="1" s="1"/>
  <c r="L143" i="1"/>
  <c r="N143" i="1" s="1"/>
  <c r="M143" i="1"/>
  <c r="L139" i="1"/>
  <c r="N139" i="1" s="1"/>
  <c r="M95" i="1"/>
  <c r="L57" i="1"/>
  <c r="N57" i="1" s="1"/>
  <c r="M20" i="1"/>
  <c r="L5" i="1"/>
  <c r="N5" i="1" s="1"/>
  <c r="M5" i="1"/>
  <c r="L96" i="1"/>
  <c r="N96" i="1" s="1"/>
  <c r="M96" i="1"/>
  <c r="L247" i="1"/>
  <c r="N247" i="1" s="1"/>
  <c r="M247" i="1"/>
  <c r="L121" i="1"/>
  <c r="N121" i="1" s="1"/>
  <c r="M121" i="1"/>
  <c r="M405" i="1"/>
  <c r="M402" i="1"/>
  <c r="L302" i="1"/>
  <c r="N302" i="1" s="1"/>
  <c r="M302" i="1"/>
  <c r="L290" i="1"/>
  <c r="N290" i="1" s="1"/>
  <c r="M290" i="1"/>
  <c r="L278" i="1"/>
  <c r="N278" i="1" s="1"/>
  <c r="M278" i="1"/>
  <c r="L266" i="1"/>
  <c r="N266" i="1" s="1"/>
  <c r="M266" i="1"/>
  <c r="M246" i="1"/>
  <c r="L208" i="1"/>
  <c r="N208" i="1" s="1"/>
  <c r="M208" i="1"/>
  <c r="M204" i="1"/>
  <c r="M197" i="1"/>
  <c r="M188" i="1"/>
  <c r="L180" i="1"/>
  <c r="N180" i="1" s="1"/>
  <c r="M180" i="1"/>
  <c r="M159" i="1"/>
  <c r="L134" i="1"/>
  <c r="N134" i="1" s="1"/>
  <c r="M134" i="1"/>
  <c r="M130" i="1"/>
  <c r="L126" i="1"/>
  <c r="N126" i="1" s="1"/>
  <c r="M117" i="1"/>
  <c r="L113" i="1"/>
  <c r="N113" i="1" s="1"/>
  <c r="M113" i="1"/>
  <c r="L77" i="1"/>
  <c r="N77" i="1" s="1"/>
  <c r="M77" i="1"/>
  <c r="M69" i="1"/>
  <c r="M56" i="1"/>
  <c r="M410" i="1"/>
  <c r="M329" i="1"/>
  <c r="M258" i="1"/>
  <c r="M200" i="1"/>
  <c r="M171" i="1"/>
  <c r="L108" i="1"/>
  <c r="N108" i="1" s="1"/>
  <c r="M108" i="1"/>
  <c r="L90" i="1"/>
  <c r="N90" i="1" s="1"/>
  <c r="M90" i="1"/>
  <c r="L28" i="1"/>
  <c r="N28" i="1" s="1"/>
  <c r="M28" i="1"/>
  <c r="M312" i="1"/>
  <c r="L250" i="1"/>
  <c r="N250" i="1" s="1"/>
  <c r="M245" i="1"/>
  <c r="M233" i="1"/>
  <c r="L229" i="1"/>
  <c r="N229" i="1" s="1"/>
  <c r="M220" i="1"/>
  <c r="M203" i="1"/>
  <c r="L196" i="1"/>
  <c r="N196" i="1" s="1"/>
  <c r="L179" i="1"/>
  <c r="N179" i="1" s="1"/>
  <c r="M179" i="1"/>
  <c r="L175" i="1"/>
  <c r="N175" i="1" s="1"/>
  <c r="M116" i="1"/>
  <c r="L102" i="1"/>
  <c r="N102" i="1" s="1"/>
  <c r="M102" i="1"/>
  <c r="L98" i="1"/>
  <c r="N98" i="1" s="1"/>
  <c r="L64" i="1"/>
  <c r="N64" i="1" s="1"/>
  <c r="M64" i="1"/>
  <c r="L41" i="1"/>
  <c r="N41" i="1" s="1"/>
  <c r="M41" i="1"/>
  <c r="M37" i="1"/>
  <c r="M27" i="1"/>
  <c r="L237" i="1"/>
  <c r="N237" i="1" s="1"/>
  <c r="M237" i="1"/>
  <c r="L224" i="1"/>
  <c r="N224" i="1" s="1"/>
  <c r="M224" i="1"/>
  <c r="M191" i="1"/>
  <c r="L183" i="1"/>
  <c r="N183" i="1" s="1"/>
  <c r="M158" i="1"/>
  <c r="L107" i="1"/>
  <c r="N107" i="1" s="1"/>
  <c r="M107" i="1"/>
  <c r="M101" i="1"/>
  <c r="M63" i="1"/>
  <c r="L18" i="1"/>
  <c r="N18" i="1" s="1"/>
  <c r="M18" i="1"/>
  <c r="L260" i="1"/>
  <c r="N260" i="1" s="1"/>
  <c r="M260" i="1"/>
  <c r="L281" i="1"/>
  <c r="N281" i="1" s="1"/>
  <c r="M281" i="1"/>
  <c r="L269" i="1"/>
  <c r="N269" i="1" s="1"/>
  <c r="M269" i="1"/>
  <c r="L211" i="1"/>
  <c r="N211" i="1" s="1"/>
  <c r="M211" i="1"/>
  <c r="L170" i="1"/>
  <c r="N170" i="1" s="1"/>
  <c r="M170" i="1"/>
  <c r="M210" i="1"/>
  <c r="L199" i="1"/>
  <c r="N199" i="1" s="1"/>
  <c r="M166" i="1"/>
  <c r="L162" i="1"/>
  <c r="N162" i="1" s="1"/>
  <c r="L157" i="1"/>
  <c r="N157" i="1" s="1"/>
  <c r="M157" i="1"/>
  <c r="L124" i="1"/>
  <c r="N124" i="1" s="1"/>
  <c r="L111" i="1"/>
  <c r="N111" i="1" s="1"/>
  <c r="L93" i="1"/>
  <c r="N93" i="1" s="1"/>
  <c r="L54" i="1"/>
  <c r="N54" i="1" s="1"/>
  <c r="M54" i="1"/>
  <c r="L8" i="1"/>
  <c r="N8" i="1" s="1"/>
  <c r="M331" i="1"/>
  <c r="M311" i="1"/>
  <c r="L296" i="1"/>
  <c r="N296" i="1" s="1"/>
  <c r="M296" i="1"/>
  <c r="L272" i="1"/>
  <c r="N272" i="1" s="1"/>
  <c r="M272" i="1"/>
  <c r="M264" i="1"/>
  <c r="L149" i="1"/>
  <c r="N149" i="1" s="1"/>
  <c r="M149" i="1"/>
  <c r="L293" i="1"/>
  <c r="N293" i="1" s="1"/>
  <c r="M293" i="1"/>
  <c r="M417" i="1"/>
  <c r="M409" i="1"/>
  <c r="L284" i="1"/>
  <c r="N284" i="1" s="1"/>
  <c r="M284" i="1"/>
  <c r="M206" i="1"/>
  <c r="L314" i="1"/>
  <c r="N314" i="1" s="1"/>
  <c r="L240" i="1"/>
  <c r="N240" i="1" s="1"/>
  <c r="L227" i="1"/>
  <c r="N227" i="1" s="1"/>
  <c r="L214" i="1"/>
  <c r="N214" i="1" s="1"/>
  <c r="M202" i="1"/>
  <c r="L202" i="1"/>
  <c r="N202" i="1" s="1"/>
  <c r="M194" i="1"/>
  <c r="M123" i="1"/>
  <c r="L105" i="1"/>
  <c r="N105" i="1" s="1"/>
  <c r="M105" i="1"/>
  <c r="M92" i="1"/>
  <c r="M7" i="1"/>
  <c r="M52" i="1"/>
  <c r="M42" i="1"/>
  <c r="M29" i="1"/>
  <c r="M16" i="1"/>
  <c r="M6" i="1"/>
  <c r="M122" i="1"/>
  <c r="M205" i="1"/>
  <c r="L103" i="24" l="1"/>
  <c r="L113" i="24"/>
  <c r="L114" i="24" s="1"/>
  <c r="L518" i="16"/>
  <c r="L566" i="16" s="1"/>
  <c r="L519" i="16"/>
  <c r="M97" i="7"/>
  <c r="M107" i="7" s="1"/>
  <c r="M117" i="7" s="1"/>
  <c r="M97" i="24"/>
  <c r="M109" i="24"/>
  <c r="L104" i="7"/>
  <c r="L114" i="7" s="1"/>
  <c r="M86" i="7"/>
  <c r="M73" i="24"/>
  <c r="M85" i="24"/>
  <c r="M96" i="24" s="1"/>
  <c r="L24" i="19"/>
  <c r="L27" i="19" s="1"/>
  <c r="L30" i="19" s="1"/>
  <c r="L33" i="19" s="1"/>
  <c r="L36" i="19" s="1"/>
  <c r="M58" i="24"/>
  <c r="K59" i="24"/>
  <c r="M108" i="24" l="1"/>
  <c r="M120" i="24"/>
  <c r="M119" i="24" s="1"/>
  <c r="L568" i="16"/>
  <c r="L567" i="16"/>
  <c r="M96" i="7"/>
  <c r="M106" i="7" s="1"/>
  <c r="M116" i="7" s="1"/>
  <c r="M95" i="24"/>
  <c r="M107" i="24"/>
  <c r="M84" i="24"/>
  <c r="M59" i="24"/>
  <c r="M69" i="24"/>
  <c r="M106" i="24" l="1"/>
  <c r="M118" i="24"/>
  <c r="M117" i="24" s="1"/>
  <c r="M70" i="24"/>
  <c r="M80" i="24"/>
  <c r="M81" i="24" l="1"/>
  <c r="M91" i="24"/>
  <c r="M92" i="24" l="1"/>
  <c r="M102" i="24"/>
  <c r="M103" i="24" l="1"/>
  <c r="M113" i="24"/>
  <c r="M114"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Kamonlapob Sathiti (SDM)</author>
  </authors>
  <commentList>
    <comment ref="H11" authorId="0" shapeId="0" xr:uid="{ED821657-4A1F-4B33-91A7-C6A126C54F9E}">
      <text>
        <r>
          <rPr>
            <sz val="11"/>
            <color theme="1"/>
            <rFont val="Aptos Narrow"/>
            <family val="2"/>
            <scheme val="minor"/>
          </rPr>
          <t>This target is PD only not including PC, PE and QC</t>
        </r>
      </text>
    </comment>
    <comment ref="H21" authorId="0" shapeId="0" xr:uid="{59E1FCA3-09CD-452F-8FE9-7291CB95BDEA}">
      <text>
        <r>
          <rPr>
            <sz val="11"/>
            <color theme="1"/>
            <rFont val="Aptos Narrow"/>
            <family val="2"/>
            <scheme val="minor"/>
          </rPr>
          <t>This target is PD only not including PC, PE and QC</t>
        </r>
      </text>
    </comment>
    <comment ref="H31" authorId="0" shapeId="0" xr:uid="{496F6FFF-F415-4776-AB4D-22B82ED63794}">
      <text>
        <r>
          <rPr>
            <sz val="11"/>
            <color theme="1"/>
            <rFont val="Aptos Narrow"/>
            <family val="2"/>
            <scheme val="minor"/>
          </rPr>
          <t>This target is PD only not including PC, PE and QC</t>
        </r>
      </text>
    </comment>
    <comment ref="H41" authorId="0" shapeId="0" xr:uid="{E3C60E80-0586-4013-8197-320803BF02CE}">
      <text>
        <r>
          <rPr>
            <sz val="11"/>
            <color theme="1"/>
            <rFont val="Aptos Narrow"/>
            <family val="2"/>
            <scheme val="minor"/>
          </rPr>
          <t>This target is PD only not including PC, PE and QC</t>
        </r>
      </text>
    </comment>
    <comment ref="H51" authorId="0" shapeId="0" xr:uid="{2118FE94-8470-4ABF-AC23-907EFDE8A85A}">
      <text>
        <r>
          <rPr>
            <sz val="11"/>
            <color theme="1"/>
            <rFont val="Aptos Narrow"/>
            <family val="2"/>
            <scheme val="minor"/>
          </rPr>
          <t>This target is PD only not including PC, PE and QC</t>
        </r>
      </text>
    </comment>
    <comment ref="H61" authorId="0" shapeId="0" xr:uid="{8868149B-CE2A-47A1-99AC-93377439B428}">
      <text>
        <r>
          <rPr>
            <sz val="11"/>
            <color theme="1"/>
            <rFont val="Aptos Narrow"/>
            <family val="2"/>
            <scheme val="minor"/>
          </rPr>
          <t>This target is PD only not including PC, PE and QC</t>
        </r>
      </text>
    </comment>
    <comment ref="H71" authorId="0" shapeId="0" xr:uid="{A4309977-62AA-4337-9FDD-3EC9479524CD}">
      <text>
        <r>
          <rPr>
            <sz val="11"/>
            <color theme="1"/>
            <rFont val="Aptos Narrow"/>
            <family val="2"/>
            <scheme val="minor"/>
          </rPr>
          <t>This target is PD only not including PC, PE and QC</t>
        </r>
      </text>
    </comment>
    <comment ref="H81" authorId="0" shapeId="0" xr:uid="{D6FEC894-CB57-4648-826D-E1419597E4E0}">
      <text>
        <r>
          <rPr>
            <sz val="11"/>
            <color theme="1"/>
            <rFont val="Aptos Narrow"/>
            <family val="2"/>
            <scheme val="minor"/>
          </rPr>
          <t>This target is PD only not including PC, PE and QC</t>
        </r>
      </text>
    </comment>
    <comment ref="H90" authorId="0" shapeId="0" xr:uid="{76A8F073-8FF3-4DA2-8CFC-32BFA65609F3}">
      <text>
        <r>
          <rPr>
            <sz val="11"/>
            <color theme="1"/>
            <rFont val="Aptos Narrow"/>
            <family val="2"/>
            <scheme val="minor"/>
          </rPr>
          <t>This target is PD only not including PC, PE and QC</t>
        </r>
      </text>
    </comment>
    <comment ref="H101" authorId="0" shapeId="0" xr:uid="{6DDED493-1CC4-41A1-9647-6E5AED144EA5}">
      <text>
        <r>
          <rPr>
            <sz val="11"/>
            <color theme="1"/>
            <rFont val="Aptos Narrow"/>
            <family val="2"/>
            <scheme val="minor"/>
          </rPr>
          <t xml:space="preserve">This target is </t>
        </r>
        <r>
          <rPr>
            <u/>
            <sz val="11"/>
            <color theme="1"/>
            <rFont val="Aptos Narrow"/>
            <family val="2"/>
            <scheme val="minor"/>
          </rPr>
          <t>PD</t>
        </r>
        <r>
          <rPr>
            <sz val="11"/>
            <color theme="1"/>
            <rFont val="Aptos Narrow"/>
            <family val="2"/>
            <scheme val="minor"/>
          </rPr>
          <t xml:space="preserve"> only 
(not including PC, PE &amp; QC)</t>
        </r>
      </text>
    </comment>
    <comment ref="H111" authorId="0" shapeId="0" xr:uid="{33C73E4C-EB04-4965-86E7-F56CD647314E}">
      <text>
        <r>
          <rPr>
            <sz val="11"/>
            <color theme="1"/>
            <rFont val="Aptos Narrow"/>
            <family val="2"/>
            <scheme val="minor"/>
          </rPr>
          <t>This target is PD only not including PC, PE and QC</t>
        </r>
      </text>
    </comment>
    <comment ref="H121" authorId="0" shapeId="0" xr:uid="{D3B15F28-3123-455A-84C1-2A183F46D6F6}">
      <text>
        <r>
          <rPr>
            <sz val="11"/>
            <color theme="1"/>
            <rFont val="Aptos Narrow"/>
            <family val="2"/>
            <scheme val="minor"/>
          </rPr>
          <t>This target is PD only not including PC, PE and QC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Kamonlapob Sathiti (SDM)</author>
  </authors>
  <commentList>
    <comment ref="H2" authorId="0" shapeId="0" xr:uid="{9287C067-7F8E-43A3-8B24-1ED93CF70CD8}">
      <text>
        <r>
          <rPr>
            <sz val="11"/>
            <color theme="1"/>
            <rFont val="Aptos Narrow"/>
            <family val="2"/>
            <scheme val="minor"/>
          </rPr>
          <t>This target is PD only not including PC, PE and QC</t>
        </r>
      </text>
    </comment>
    <comment ref="H3" authorId="0" shapeId="0" xr:uid="{8B2E40F3-A444-4D0C-B002-34780999CCEF}">
      <text>
        <r>
          <rPr>
            <sz val="11"/>
            <color theme="1"/>
            <rFont val="Aptos Narrow"/>
            <family val="2"/>
            <scheme val="minor"/>
          </rPr>
          <t>This target is PD only not including PC, PE and QC</t>
        </r>
      </text>
    </comment>
    <comment ref="H4" authorId="0" shapeId="0" xr:uid="{8F7F4B61-171A-4F22-AB53-31FB513F5083}">
      <text>
        <r>
          <rPr>
            <sz val="11"/>
            <color theme="1"/>
            <rFont val="Aptos Narrow"/>
            <family val="2"/>
            <scheme val="minor"/>
          </rPr>
          <t>This target is PD only not including PC, PE and QC</t>
        </r>
      </text>
    </comment>
    <comment ref="H5" authorId="0" shapeId="0" xr:uid="{53CFEE1F-35BB-4B05-A90D-9FADF7A204A7}">
      <text>
        <r>
          <rPr>
            <sz val="11"/>
            <color theme="1"/>
            <rFont val="Aptos Narrow"/>
            <family val="2"/>
            <scheme val="minor"/>
          </rPr>
          <t>This target is PD only not including PC, PE and QC</t>
        </r>
      </text>
    </comment>
    <comment ref="H6" authorId="0" shapeId="0" xr:uid="{27733254-8D63-471A-A644-045B3361B346}">
      <text>
        <r>
          <rPr>
            <sz val="11"/>
            <color theme="1"/>
            <rFont val="Aptos Narrow"/>
            <family val="2"/>
            <scheme val="minor"/>
          </rPr>
          <t>This target is PD only not including PC, PE and QC</t>
        </r>
      </text>
    </comment>
    <comment ref="H7" authorId="0" shapeId="0" xr:uid="{3D1A0275-63A1-44C6-834C-D76D3437C46D}">
      <text>
        <r>
          <rPr>
            <sz val="11"/>
            <color theme="1"/>
            <rFont val="Aptos Narrow"/>
            <family val="2"/>
            <scheme val="minor"/>
          </rPr>
          <t>This target is PD only not including PC, PE and QC</t>
        </r>
      </text>
    </comment>
    <comment ref="H8" authorId="0" shapeId="0" xr:uid="{11F12DD8-FEB3-467F-A323-A71E100E9263}">
      <text>
        <r>
          <rPr>
            <sz val="11"/>
            <color theme="1"/>
            <rFont val="Aptos Narrow"/>
            <family val="2"/>
            <scheme val="minor"/>
          </rPr>
          <t>This target is PD only not including PC, PE and QC</t>
        </r>
      </text>
    </comment>
    <comment ref="H9" authorId="0" shapeId="0" xr:uid="{12C17735-0F61-4D31-84F9-D38EE88EB64E}">
      <text>
        <r>
          <rPr>
            <sz val="11"/>
            <color theme="1"/>
            <rFont val="Aptos Narrow"/>
            <family val="2"/>
            <scheme val="minor"/>
          </rPr>
          <t>This target is PD only not including PC, PE and QC</t>
        </r>
      </text>
    </comment>
    <comment ref="H10" authorId="0" shapeId="0" xr:uid="{337C4644-F05B-49F1-95B9-E73DF8D19906}">
      <text>
        <r>
          <rPr>
            <sz val="11"/>
            <color theme="1"/>
            <rFont val="Aptos Narrow"/>
            <family val="2"/>
            <scheme val="minor"/>
          </rPr>
          <t>This target is PD only not including PC, PE and QC</t>
        </r>
      </text>
    </comment>
    <comment ref="H11" authorId="0" shapeId="0" xr:uid="{73CCCA21-334F-475A-AEF4-8C252694FA77}">
      <text>
        <r>
          <rPr>
            <sz val="11"/>
            <color theme="1"/>
            <rFont val="Aptos Narrow"/>
            <family val="2"/>
            <scheme val="minor"/>
          </rPr>
          <t>This target is PD only not including PC, PE and QC</t>
        </r>
      </text>
    </comment>
    <comment ref="H12" authorId="0" shapeId="0" xr:uid="{F8379D5B-D783-404B-B077-D83F892275A1}">
      <text>
        <r>
          <rPr>
            <sz val="11"/>
            <color theme="1"/>
            <rFont val="Aptos Narrow"/>
            <family val="2"/>
            <scheme val="minor"/>
          </rPr>
          <t>This target is PD only not including PC, PE and QC</t>
        </r>
      </text>
    </comment>
    <comment ref="H13" authorId="0" shapeId="0" xr:uid="{10FA2FC0-8418-4B85-A866-895E949F9BB6}">
      <text>
        <r>
          <rPr>
            <sz val="11"/>
            <color theme="1"/>
            <rFont val="Aptos Narrow"/>
            <family val="2"/>
            <scheme val="minor"/>
          </rPr>
          <t>This target is PD only not including PC, PE and QC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Taweewat Kosriyarakwong (SDM)</author>
  </authors>
  <commentList>
    <comment ref="H6" authorId="0" shapeId="0" xr:uid="{8D8C7D38-6C26-42F4-A753-E4E7BAFB5257}">
      <text>
        <r>
          <rPr>
            <sz val="11"/>
            <color theme="1"/>
            <rFont val="Aptos Narrow"/>
            <family val="2"/>
            <scheme val="minor"/>
          </rPr>
          <t xml:space="preserve">Calculate from
Actual FY24 Apr-Feb + Forecast Mar = 15.3MB
FY25 50% from FY24
= 15.3/2
= 7.65 MB/year
= 0.64 MB/month </t>
        </r>
      </text>
    </comment>
    <comment ref="H11" authorId="0" shapeId="0" xr:uid="{1A7A30E6-1006-4619-B6AA-DD9253CDF9DD}">
      <text>
        <r>
          <rPr>
            <sz val="11"/>
            <color theme="1"/>
            <rFont val="Aptos Narrow"/>
            <family val="2"/>
            <scheme val="minor"/>
          </rPr>
          <t xml:space="preserve">Calculate from
Actual FY24 Apr-Feb + Forecast Mar = 15.3MB
FY25 50% from FY24
= 15.3/2
= 7.65 MB/year
= 0.64 MB/month </t>
        </r>
      </text>
    </comment>
    <comment ref="H16" authorId="0" shapeId="0" xr:uid="{8579510C-B48C-448A-A9C8-88BBEE65A9C9}">
      <text>
        <r>
          <rPr>
            <sz val="11"/>
            <color theme="1"/>
            <rFont val="Aptos Narrow"/>
            <family val="2"/>
            <scheme val="minor"/>
          </rPr>
          <t xml:space="preserve">Calculate from
Actual FY24 Apr-Feb + Forecast Mar = 15.3MB
FY25 50% from FY24
= 15.3/2
= 7.65 MB/year
= 0.64 MB/month </t>
        </r>
      </text>
    </comment>
    <comment ref="H21" authorId="0" shapeId="0" xr:uid="{6B3DEE11-A83F-42D5-99D7-A3E20C22CF22}">
      <text>
        <r>
          <rPr>
            <sz val="11"/>
            <color theme="1"/>
            <rFont val="Aptos Narrow"/>
            <family val="2"/>
            <scheme val="minor"/>
          </rPr>
          <t xml:space="preserve">Calculate from
Actual FY24 Apr-Feb + Forecast Mar = 15.3MB
FY25 50% from FY24
= 15.3/2
= 7.65 MB/year
= 0.64 MB/month </t>
        </r>
      </text>
    </comment>
    <comment ref="H26" authorId="0" shapeId="0" xr:uid="{BA25AF7B-2825-4A98-88B9-26C5646D5FAA}">
      <text>
        <r>
          <rPr>
            <sz val="11"/>
            <color theme="1"/>
            <rFont val="Aptos Narrow"/>
            <family val="2"/>
            <scheme val="minor"/>
          </rPr>
          <t xml:space="preserve">Calculate from
Actual FY24 Apr-Feb + Forecast Mar = 15.3MB
FY25 50% from FY24
= 15.3/2
= 7.65 MB/year
= 0.64 MB/month </t>
        </r>
      </text>
    </comment>
    <comment ref="H31" authorId="0" shapeId="0" xr:uid="{CB4E4D92-40A1-46EA-BBAE-E3E0A10D8902}">
      <text>
        <r>
          <rPr>
            <sz val="11"/>
            <color theme="1"/>
            <rFont val="Aptos Narrow"/>
            <family val="2"/>
            <scheme val="minor"/>
          </rPr>
          <t xml:space="preserve">Calculate from
Actual FY24 Apr-Feb + Forecast Mar = 15.3MB
FY25 50% from FY24
= 15.3/2
= 7.65 MB/year
= 0.64 MB/month </t>
        </r>
      </text>
    </comment>
    <comment ref="H36" authorId="0" shapeId="0" xr:uid="{294BC9D9-356D-4BF5-A616-C08154D1B9FD}">
      <text>
        <r>
          <rPr>
            <sz val="11"/>
            <color theme="1"/>
            <rFont val="Aptos Narrow"/>
            <family val="2"/>
            <scheme val="minor"/>
          </rPr>
          <t xml:space="preserve">Calculate from
Actual FY24 Apr-Feb + Forecast Mar = 15.3MB
FY25 50% from FY24
= 15.3/2
= 7.65 MB/year
= 0.64 MB/month </t>
        </r>
      </text>
    </comment>
    <comment ref="H41" authorId="0" shapeId="0" xr:uid="{7C732358-CE43-4A84-8047-9D0AFFD7475C}">
      <text>
        <r>
          <rPr>
            <sz val="11"/>
            <color theme="1"/>
            <rFont val="Aptos Narrow"/>
            <family val="2"/>
            <scheme val="minor"/>
          </rPr>
          <t xml:space="preserve">Calculate from
Actual FY24 Apr-Feb + Forecast Mar = 15.3MB
FY25 50% from FY24
= 15.3/2
= 7.65 MB/year
= 0.64 MB/month </t>
        </r>
      </text>
    </comment>
    <comment ref="H46" authorId="0" shapeId="0" xr:uid="{EBEF42AE-1139-444C-9360-5E786133043C}">
      <text>
        <r>
          <rPr>
            <sz val="11"/>
            <color theme="1"/>
            <rFont val="Aptos Narrow"/>
            <family val="2"/>
            <scheme val="minor"/>
          </rPr>
          <t xml:space="preserve">Calculate from
Actual FY24 Apr-Feb + Forecast Mar = 15.3MB
FY25 50% from FY24
= 15.3/2
= 7.65 MB/year
= 0.64 MB/month </t>
        </r>
      </text>
    </comment>
    <comment ref="H51" authorId="0" shapeId="0" xr:uid="{55F12E55-6BAC-4F4A-956C-DD9B622BCEED}">
      <text>
        <r>
          <rPr>
            <sz val="11"/>
            <color theme="1"/>
            <rFont val="Aptos Narrow"/>
            <family val="2"/>
            <scheme val="minor"/>
          </rPr>
          <t xml:space="preserve">Calculate from
Actual FY24 Apr-Feb + Forecast Mar = 15.3MB
FY25 50% from FY24
= 15.3/2
= 7.65 MB/year
= 0.64 MB/month </t>
        </r>
      </text>
    </comment>
    <comment ref="H56" authorId="0" shapeId="0" xr:uid="{87C486CE-06A9-4302-95BE-24244C385472}">
      <text>
        <r>
          <rPr>
            <sz val="11"/>
            <color theme="1"/>
            <rFont val="Aptos Narrow"/>
            <family val="2"/>
            <scheme val="minor"/>
          </rPr>
          <t xml:space="preserve">Calculate from
Actual FY24 Apr-Feb + Forecast Mar = 15.3MB
FY25 50% from FY24
= 15.3/2
= 7.65 MB/year
= 0.64 MB/month </t>
        </r>
      </text>
    </comment>
    <comment ref="H61" authorId="0" shapeId="0" xr:uid="{2F5D12C7-073E-4715-835A-35AFC8A84EBD}">
      <text>
        <r>
          <rPr>
            <sz val="11"/>
            <color theme="1"/>
            <rFont val="Aptos Narrow"/>
            <family val="2"/>
            <scheme val="minor"/>
          </rPr>
          <t xml:space="preserve">Calculate from
Actual FY24 Apr-Feb + Forecast Mar = 15.3MB
FY25 50% from FY24
= 15.3/2
= 7.65 MB/year
= 0.64 MB/month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Taweewat Kosriyarakwong (SDM)</author>
  </authors>
  <commentList>
    <comment ref="H6" authorId="0" shapeId="0" xr:uid="{156FF46B-493E-4ABB-978C-9FC05EC2B038}">
      <text>
        <r>
          <rPr>
            <sz val="11"/>
            <color theme="1"/>
            <rFont val="Aptos Narrow"/>
            <family val="2"/>
            <scheme val="minor"/>
          </rPr>
          <t xml:space="preserve">Calculate from
Actual FY24 Apr-Feb + Forecast Mar = 15.3MB
FY25 50% from FY24
= 15.3/2
= 7.65 MB/year
= 0.64 MB/month </t>
        </r>
      </text>
    </comment>
    <comment ref="H11" authorId="0" shapeId="0" xr:uid="{69B84DF2-8B04-4038-BC0B-97E29D6960A1}">
      <text>
        <r>
          <rPr>
            <sz val="11"/>
            <color theme="1"/>
            <rFont val="Aptos Narrow"/>
            <family val="2"/>
            <scheme val="minor"/>
          </rPr>
          <t xml:space="preserve">Calculate from
Actual FY24 Apr-Feb + Forecast Mar = 15.3MB
FY25 50% from FY24
= 15.3/2
= 7.65 MB/year
= 0.64 MB/month </t>
        </r>
      </text>
    </comment>
    <comment ref="H16" authorId="0" shapeId="0" xr:uid="{33D60F75-B1E9-4CAA-A937-6F6BAC3F266C}">
      <text>
        <r>
          <rPr>
            <sz val="11"/>
            <color theme="1"/>
            <rFont val="Aptos Narrow"/>
            <family val="2"/>
            <scheme val="minor"/>
          </rPr>
          <t xml:space="preserve">Calculate from
Actual FY24 Apr-Feb + Forecast Mar = 15.3MB
FY25 50% from FY24
= 15.3/2
= 7.65 MB/year
= 0.64 MB/month </t>
        </r>
      </text>
    </comment>
    <comment ref="H21" authorId="0" shapeId="0" xr:uid="{7F514589-7CFE-4815-AC97-3F19FAFA7AB5}">
      <text>
        <r>
          <rPr>
            <sz val="11"/>
            <color theme="1"/>
            <rFont val="Aptos Narrow"/>
            <family val="2"/>
            <scheme val="minor"/>
          </rPr>
          <t xml:space="preserve">Calculate from
Actual FY24 Apr-Feb + Forecast Mar = 15.3MB
FY25 50% from FY24
= 15.3/2
= 7.65 MB/year
= 0.64 MB/month </t>
        </r>
      </text>
    </comment>
    <comment ref="H26" authorId="0" shapeId="0" xr:uid="{356C8F9E-C321-4CA7-A047-F538713D7DC7}">
      <text>
        <r>
          <rPr>
            <sz val="11"/>
            <color theme="1"/>
            <rFont val="Aptos Narrow"/>
            <family val="2"/>
            <scheme val="minor"/>
          </rPr>
          <t xml:space="preserve">Calculate from
Actual FY24 Apr-Feb + Forecast Mar = 15.3MB
FY25 50% from FY24
= 15.3/2
= 7.65 MB/year
= 0.64 MB/month </t>
        </r>
      </text>
    </comment>
    <comment ref="H31" authorId="0" shapeId="0" xr:uid="{D746B9AF-5424-4049-BD7D-A11000286DB0}">
      <text>
        <r>
          <rPr>
            <sz val="11"/>
            <color theme="1"/>
            <rFont val="Aptos Narrow"/>
            <family val="2"/>
            <scheme val="minor"/>
          </rPr>
          <t xml:space="preserve">Calculate from
Actual FY24 Apr-Feb + Forecast Mar = 15.3MB
FY25 50% from FY24
= 15.3/2
= 7.65 MB/year
= 0.64 MB/month </t>
        </r>
      </text>
    </comment>
    <comment ref="H36" authorId="0" shapeId="0" xr:uid="{E225C0A6-937B-45BB-8480-B733351E7218}">
      <text>
        <r>
          <rPr>
            <sz val="11"/>
            <color theme="1"/>
            <rFont val="Aptos Narrow"/>
            <family val="2"/>
            <scheme val="minor"/>
          </rPr>
          <t xml:space="preserve">Calculate from
Actual FY24 Apr-Feb + Forecast Mar = 15.3MB
FY25 50% from FY24
= 15.3/2
= 7.65 MB/year
= 0.64 MB/month </t>
        </r>
      </text>
    </comment>
    <comment ref="H41" authorId="0" shapeId="0" xr:uid="{8945AB34-7810-408F-BC20-3A3A63388AE6}">
      <text>
        <r>
          <rPr>
            <sz val="11"/>
            <color theme="1"/>
            <rFont val="Aptos Narrow"/>
            <family val="2"/>
            <scheme val="minor"/>
          </rPr>
          <t xml:space="preserve">Calculate from
Actual FY24 Apr-Feb + Forecast Mar = 15.3MB
FY25 50% from FY24
= 15.3/2
= 7.65 MB/year
= 0.64 MB/month </t>
        </r>
      </text>
    </comment>
    <comment ref="H46" authorId="0" shapeId="0" xr:uid="{7DB5B133-0CD3-44CF-8930-6BC1257CD14A}">
      <text>
        <r>
          <rPr>
            <sz val="11"/>
            <color theme="1"/>
            <rFont val="Aptos Narrow"/>
            <family val="2"/>
            <scheme val="minor"/>
          </rPr>
          <t xml:space="preserve">Calculate from
Actual FY24 Apr-Feb + Forecast Mar = 15.3MB
FY25 50% from FY24
= 15.3/2
= 7.65 MB/year
= 0.64 MB/month </t>
        </r>
      </text>
    </comment>
    <comment ref="H51" authorId="0" shapeId="0" xr:uid="{5C62F0F8-9070-4545-915C-37317920DE37}">
      <text>
        <r>
          <rPr>
            <sz val="11"/>
            <color theme="1"/>
            <rFont val="Aptos Narrow"/>
            <family val="2"/>
            <scheme val="minor"/>
          </rPr>
          <t xml:space="preserve">Calculate from
Actual FY24 Apr-Feb + Forecast Mar = 15.3MB
FY25 50% from FY24
= 15.3/2
= 7.65 MB/year
= 0.64 MB/month </t>
        </r>
      </text>
    </comment>
    <comment ref="H56" authorId="0" shapeId="0" xr:uid="{EBED1A91-AEF8-425B-8DC0-45578DD00BE4}">
      <text>
        <r>
          <rPr>
            <sz val="11"/>
            <color theme="1"/>
            <rFont val="Aptos Narrow"/>
            <family val="2"/>
            <scheme val="minor"/>
          </rPr>
          <t xml:space="preserve">Calculate from
Actual FY24 Apr-Feb + Forecast Mar = 15.3MB
FY25 50% from FY24
= 15.3/2
= 7.65 MB/year
= 0.64 MB/month </t>
        </r>
      </text>
    </comment>
    <comment ref="H61" authorId="0" shapeId="0" xr:uid="{8AE155F1-72DD-41A5-968F-A81905FF10C5}">
      <text>
        <r>
          <rPr>
            <sz val="11"/>
            <color theme="1"/>
            <rFont val="Aptos Narrow"/>
            <family val="2"/>
            <scheme val="minor"/>
          </rPr>
          <t xml:space="preserve">Calculate from
Actual FY24 Apr-Feb + Forecast Mar = 15.3MB
FY25 50% from FY24
= 15.3/2
= 7.65 MB/year
= 0.64 MB/month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Janchai Hormchuen (SDM)</author>
    <author>Jittiporn Tangkitsanguan (SDM)</author>
    <author>tc={19E7D83B-A305-4B99-AA67-12F2AF903DBA}</author>
    <author>Sirirath Muangnongwa (SDM)</author>
  </authors>
  <commentList>
    <comment ref="D22" authorId="0" shapeId="0" xr:uid="{DD6E940A-42A5-4114-96F1-D9FAC4E01477}">
      <text>
        <r>
          <rPr>
            <b/>
            <sz val="9"/>
            <color indexed="81"/>
            <rFont val="Tahoma"/>
            <family val="2"/>
          </rPr>
          <t xml:space="preserve">no record invoice on system
</t>
        </r>
      </text>
    </comment>
    <comment ref="D24" authorId="0" shapeId="0" xr:uid="{FBD578B7-BE80-453A-BEA1-386A74DBD8DB}">
      <text>
        <r>
          <rPr>
            <b/>
            <sz val="9"/>
            <color indexed="81"/>
            <rFont val="Tahoma"/>
            <family val="2"/>
          </rPr>
          <t>waiting approve, no submit  with over start using date</t>
        </r>
      </text>
    </comment>
    <comment ref="D120" authorId="0" shapeId="0" xr:uid="{408C4D59-7F2F-47FA-A0F3-879B3B124D4A}">
      <text>
        <r>
          <rPr>
            <b/>
            <sz val="9"/>
            <color indexed="81"/>
            <rFont val="Tahoma"/>
            <family val="2"/>
          </rPr>
          <t xml:space="preserve">no record invoice on system
</t>
        </r>
      </text>
    </comment>
    <comment ref="D122" authorId="0" shapeId="0" xr:uid="{0FE2E5FA-0137-4FCE-BA00-8F3C1F9A8809}">
      <text>
        <r>
          <rPr>
            <b/>
            <sz val="9"/>
            <color indexed="81"/>
            <rFont val="Tahoma"/>
            <family val="2"/>
          </rPr>
          <t>waiting approve, no submit  with over start using date</t>
        </r>
      </text>
    </comment>
    <comment ref="D169" authorId="0" shapeId="0" xr:uid="{6C295632-4352-4935-B0A0-B0BD6215B111}">
      <text>
        <r>
          <rPr>
            <b/>
            <sz val="9"/>
            <color indexed="81"/>
            <rFont val="Tahoma"/>
            <family val="2"/>
          </rPr>
          <t xml:space="preserve">no record invoice on system
</t>
        </r>
      </text>
    </comment>
    <comment ref="D171" authorId="0" shapeId="0" xr:uid="{ED939070-1890-4102-B11E-1A8BF4B5E179}">
      <text>
        <r>
          <rPr>
            <b/>
            <sz val="9"/>
            <color indexed="81"/>
            <rFont val="Tahoma"/>
            <family val="2"/>
          </rPr>
          <t>waiting approve, no submit  with over start using date</t>
        </r>
      </text>
    </comment>
    <comment ref="J222" authorId="1" shapeId="0" xr:uid="{E8087BF1-ED38-4D5F-83F9-7BF0C26B33A1}">
      <text>
        <r>
          <rPr>
            <b/>
            <sz val="9"/>
            <color indexed="81"/>
            <rFont val="Tahoma"/>
            <family val="2"/>
          </rPr>
          <t>Jittiporn Tangkitsanguan (SDM):</t>
        </r>
        <r>
          <rPr>
            <sz val="9"/>
            <color indexed="81"/>
            <rFont val="Tahoma"/>
            <family val="2"/>
          </rPr>
          <t xml:space="preserve">
ในเดือนมีเคสที่เกิน 1ปี As of Month กี่เคส
</t>
        </r>
      </text>
    </comment>
    <comment ref="K222" authorId="1" shapeId="0" xr:uid="{3902FB50-1EEF-4322-9A68-6D3BE5D2B524}">
      <text>
        <r>
          <rPr>
            <b/>
            <sz val="9"/>
            <color indexed="81"/>
            <rFont val="Tahoma"/>
            <family val="2"/>
          </rPr>
          <t>Jittiporn Tangkitsanguan (SDM):</t>
        </r>
        <r>
          <rPr>
            <sz val="9"/>
            <color indexed="81"/>
            <rFont val="Tahoma"/>
            <family val="2"/>
          </rPr>
          <t xml:space="preserve">
มีกี่เคสที่โอนได้สำหรับเคสที่เกิน 1 ปี ของ Aug'25</t>
        </r>
      </text>
    </comment>
    <comment ref="O222" authorId="0" shapeId="0" xr:uid="{AD2D7656-5930-4E95-81A3-2A025CA888EF}">
      <text>
        <r>
          <rPr>
            <b/>
            <sz val="9"/>
            <color indexed="81"/>
            <rFont val="Tahoma"/>
            <family val="2"/>
          </rPr>
          <t>สำหรับรายการที่ Over Reviese plan ให้ใส่เหตุผลด้วยว่าเป็นเพราะอะไร</t>
        </r>
      </text>
    </comment>
    <comment ref="J271" authorId="1" shapeId="0" xr:uid="{B52F3992-5918-4364-BA6D-81448613AC33}">
      <text>
        <r>
          <rPr>
            <b/>
            <sz val="9"/>
            <color indexed="81"/>
            <rFont val="Tahoma"/>
            <family val="2"/>
          </rPr>
          <t>Jittiporn Tangkitsanguan (SDM):</t>
        </r>
        <r>
          <rPr>
            <sz val="9"/>
            <color indexed="81"/>
            <rFont val="Tahoma"/>
            <family val="2"/>
          </rPr>
          <t xml:space="preserve">
Data ที่เกิน1ปี ที่เป็นเดือน9 และกรอกของเดินถัดไปจนเดือน3</t>
        </r>
      </text>
    </comment>
    <comment ref="M271" authorId="1" shapeId="0" xr:uid="{9B32221B-1B11-4FFA-A359-EA2207B40766}">
      <text>
        <r>
          <rPr>
            <b/>
            <sz val="9"/>
            <color indexed="81"/>
            <rFont val="Tahoma"/>
            <family val="2"/>
          </rPr>
          <t>Jittiporn Tangkitsanguan (SDM):</t>
        </r>
        <r>
          <rPr>
            <sz val="9"/>
            <color indexed="81"/>
            <rFont val="Tahoma"/>
            <family val="2"/>
          </rPr>
          <t xml:space="preserve">
กรอกยอดคงเหลือในแต่ละเดือน</t>
        </r>
      </text>
    </comment>
    <comment ref="O271" authorId="0" shapeId="0" xr:uid="{B8AE5EFB-8245-484D-93A7-C1145FC0B226}">
      <text>
        <r>
          <rPr>
            <b/>
            <sz val="9"/>
            <color indexed="81"/>
            <rFont val="Tahoma"/>
            <family val="2"/>
          </rPr>
          <t>สำหรับรายการที่ Over Reviese plan ให้ใส่เหตุผลด้วยว่าเป็นเพราะอะไร</t>
        </r>
      </text>
    </comment>
    <comment ref="M320" authorId="1" shapeId="0" xr:uid="{F3BAEE13-C4B8-4EA0-B7AD-CDA4D50CA328}">
      <text>
        <r>
          <rPr>
            <b/>
            <sz val="9"/>
            <color indexed="81"/>
            <rFont val="Tahoma"/>
            <family val="2"/>
          </rPr>
          <t>Jittiporn Tangkitsanguan (SDM):</t>
        </r>
        <r>
          <rPr>
            <sz val="9"/>
            <color indexed="81"/>
            <rFont val="Tahoma"/>
            <family val="2"/>
          </rPr>
          <t xml:space="preserve">
Add on Oct'25 = 20 case
</t>
        </r>
      </text>
    </comment>
    <comment ref="O320" authorId="2" shapeId="0" xr:uid="{19E7D83B-A305-4B99-AA67-12F2AF903DBA}">
      <text>
        <t>[Threaded comment]
Your version of Excel allows you to read this threaded comment; however, any edits to it will get removed if the file is opened in a newer version of Excel. Learn more: https://go.microsoft.com/fwlink/?linkid=870924
Comment:
    1. รายการที่ Over revised plan ที่ไม่ได้ตามเป้าหมาย 2. มีรายใหม่เกินมาเพิ่ม ให้ใส่ส่วนงาน ยอดและรายละเอียดของสิ้นทรัพย์ที่ปัญหา</t>
      </text>
    </comment>
    <comment ref="M321" authorId="3" shapeId="0" xr:uid="{F0153784-62CB-4169-923C-624A1EE0129D}">
      <text>
        <r>
          <rPr>
            <b/>
            <sz val="9"/>
            <color indexed="81"/>
            <rFont val="Tahoma"/>
            <family val="2"/>
          </rPr>
          <t>Sirirath Muangnongwa (SDM):</t>
        </r>
        <r>
          <rPr>
            <sz val="9"/>
            <color indexed="81"/>
            <rFont val="Tahoma"/>
            <family val="2"/>
          </rPr>
          <t xml:space="preserve">
ยอดนี้จะต้องเท่ากับยอด end of เดือนนั้นๆ โดยรวมกับรายการที่ตั้ง Targetไว้ในแต่ละเดือนแล้ว
</t>
        </r>
      </text>
    </comment>
    <comment ref="J369" authorId="0" shapeId="0" xr:uid="{9A311634-F47A-4C1C-A4C2-1FDD5FD3A5FC}">
      <text>
        <r>
          <rPr>
            <b/>
            <sz val="12"/>
            <color indexed="81"/>
            <rFont val="Tahoma"/>
            <family val="2"/>
          </rPr>
          <t>Target (Data end of Sep.25) + รายการใหม่ที่เพิ่งเข้ามาในเดือนนี้เฉพาะรายการที่มีการตั้งTarget ว่าต้องการโอนภายใน Mar.26</t>
        </r>
      </text>
    </comment>
    <comment ref="K369" authorId="0" shapeId="0" xr:uid="{09D2A13D-5DC5-4CF2-8406-AF14E57E14D2}">
      <text>
        <r>
          <rPr>
            <b/>
            <sz val="12"/>
            <color indexed="81"/>
            <rFont val="Tahoma"/>
            <family val="2"/>
          </rPr>
          <t>รายการที่สามารถ completed ได้ในเดือนนี้ทั้งหมด (ไม่ได้สนใจว่าจะรายการนั้นจะรวมอยู่ในรายการที่ตั้งTarget ไว้หรือไม่ หรือจะอยู่ในเดือนที่ยังไม่ถึงก็ตาม)</t>
        </r>
        <r>
          <rPr>
            <b/>
            <sz val="9"/>
            <color indexed="81"/>
            <rFont val="Tahoma"/>
            <family val="2"/>
          </rPr>
          <t xml:space="preserve">
</t>
        </r>
      </text>
    </comment>
    <comment ref="M369" authorId="0" shapeId="0" xr:uid="{C2908A20-E6EB-4054-A315-680277BE2EF1}">
      <text>
        <r>
          <rPr>
            <b/>
            <sz val="14"/>
            <color indexed="81"/>
            <rFont val="Tahoma"/>
            <family val="2"/>
          </rPr>
          <t>ยอดที่ยังค้างอยู่จนกระทั่งถึงเดือนปัจจุบัน
โดยช่อง Accu result + Forcast = ยอด End of month ของ CIP report
Sun: กรอกตรงๆ ยอดจะต้องเท่า End of month</t>
        </r>
      </text>
    </comment>
    <comment ref="N369" authorId="0" shapeId="0" xr:uid="{65482EF9-15D0-45F2-BC6B-17984E5D4E35}">
      <text>
        <r>
          <rPr>
            <sz val="9"/>
            <color indexed="81"/>
            <rFont val="Tahoma"/>
            <family val="2"/>
          </rPr>
          <t xml:space="preserve">รายการ ใหม่ที่เพิ่งเข้ามาในเดือนนี้
</t>
        </r>
      </text>
    </comment>
    <comment ref="O369" authorId="1" shapeId="0" xr:uid="{8D60F101-2138-4C6A-A58D-423E94DED549}">
      <text>
        <r>
          <rPr>
            <b/>
            <sz val="9"/>
            <color indexed="81"/>
            <rFont val="Tahoma"/>
            <family val="2"/>
          </rPr>
          <t>Jittiporn Tangkitsanguan (SDM):</t>
        </r>
        <r>
          <rPr>
            <sz val="9"/>
            <color indexed="81"/>
            <rFont val="Tahoma"/>
            <family val="2"/>
          </rPr>
          <t xml:space="preserve">
Plan 1
Advance Dec 2
for new last 10 case from 20
New case 5 …................
P'Si แจ้ง 11/12/25</t>
        </r>
      </text>
    </comment>
    <comment ref="M370" authorId="3" shapeId="0" xr:uid="{ADBB2868-122D-4F6C-9AAB-DF1DF2F3872D}">
      <text>
        <r>
          <rPr>
            <b/>
            <sz val="9"/>
            <color indexed="81"/>
            <rFont val="Tahoma"/>
            <family val="2"/>
          </rPr>
          <t>Sirirath Muangnongwa (SDM):</t>
        </r>
        <r>
          <rPr>
            <sz val="9"/>
            <color indexed="81"/>
            <rFont val="Tahoma"/>
            <family val="2"/>
          </rPr>
          <t xml:space="preserve">
ยอดนี้จะต้องเท่ากับยอด end of เดือนนั้นๆ โดยรวมกับรายการที่ตั้ง Targetไว้ในแต่ละเดือนแล้ว
</t>
        </r>
      </text>
    </comment>
    <comment ref="K371" authorId="1" shapeId="0" xr:uid="{F8FC051D-7A93-40EC-A93C-64ED56472619}">
      <text>
        <r>
          <rPr>
            <b/>
            <sz val="9"/>
            <color indexed="81"/>
            <rFont val="Tahoma"/>
            <family val="2"/>
          </rPr>
          <t>Jittiporn Tangkitsanguan (SDM):</t>
        </r>
        <r>
          <rPr>
            <sz val="9"/>
            <color indexed="81"/>
            <rFont val="Tahoma"/>
            <family val="2"/>
          </rPr>
          <t xml:space="preserve">
plan=1, Dec=2,Mar=3</t>
        </r>
      </text>
    </comment>
    <comment ref="M418" authorId="1" shapeId="0" xr:uid="{5DB34431-C167-4125-AD39-734888631C9B}">
      <text>
        <r>
          <rPr>
            <b/>
            <sz val="9"/>
            <color indexed="81"/>
            <rFont val="Tahoma"/>
            <family val="2"/>
          </rPr>
          <t>Jittiporn Tangkitsanguan (SDM):</t>
        </r>
        <r>
          <rPr>
            <sz val="9"/>
            <color indexed="81"/>
            <rFont val="Tahoma"/>
            <family val="2"/>
          </rPr>
          <t xml:space="preserve">
ทั้งหมด 26 Case-2CaseinFY26</t>
        </r>
      </text>
    </comment>
    <comment ref="M420" authorId="1" shapeId="0" xr:uid="{B719EA33-3B7D-44EA-92FE-3951FE4228E0}">
      <text>
        <r>
          <rPr>
            <b/>
            <sz val="9"/>
            <color indexed="81"/>
            <rFont val="Tahoma"/>
            <family val="2"/>
          </rPr>
          <t>Jittiporn Tangkitsanguan (SDM):</t>
        </r>
        <r>
          <rPr>
            <sz val="9"/>
            <color indexed="81"/>
            <rFont val="Tahoma"/>
            <family val="2"/>
          </rPr>
          <t xml:space="preserve">
หัก รายการ transfer ปี26</t>
        </r>
      </text>
    </comment>
    <comment ref="J467" authorId="1" shapeId="0" xr:uid="{95BAE151-4162-469C-ABCC-7B2141164083}">
      <text>
        <r>
          <rPr>
            <b/>
            <sz val="9"/>
            <color indexed="81"/>
            <rFont val="Tahoma"/>
            <family val="2"/>
          </rPr>
          <t>Jittiporn Tangkitsanguan (SDM):</t>
        </r>
        <r>
          <rPr>
            <sz val="9"/>
            <color indexed="81"/>
            <rFont val="Tahoma"/>
            <family val="2"/>
          </rPr>
          <t xml:space="preserve">
ทำ Advanceแล้วในเดือน12 =1Case(0.36MB)</t>
        </r>
      </text>
    </comment>
    <comment ref="M467" authorId="1" shapeId="0" xr:uid="{6B2A75A3-D0BB-42B3-A208-67824F1C0632}">
      <text>
        <r>
          <rPr>
            <b/>
            <sz val="9"/>
            <color indexed="81"/>
            <rFont val="Tahoma"/>
            <family val="2"/>
          </rPr>
          <t>Jittiporn Tangkitsanguan (SDM):</t>
        </r>
        <r>
          <rPr>
            <sz val="9"/>
            <color indexed="81"/>
            <rFont val="Tahoma"/>
            <family val="2"/>
          </rPr>
          <t xml:space="preserve">
ทั้งหมด 10 Case - 3case FY26</t>
        </r>
      </text>
    </comment>
    <comment ref="J516" authorId="1" shapeId="0" xr:uid="{3FE607B7-0120-4F78-B12F-D5742214FDF2}">
      <text>
        <r>
          <rPr>
            <b/>
            <sz val="9"/>
            <color indexed="81"/>
            <rFont val="Tahoma"/>
            <family val="2"/>
          </rPr>
          <t>Jittiporn Tangkitsanguan (SDM):</t>
        </r>
        <r>
          <rPr>
            <sz val="9"/>
            <color indexed="81"/>
            <rFont val="Tahoma"/>
            <family val="2"/>
          </rPr>
          <t xml:space="preserve">
ทำ Advanceแล้วในเดือน1 =15Case(26.83MB)</t>
        </r>
      </text>
    </comment>
    <comment ref="M516" authorId="1" shapeId="0" xr:uid="{939D595C-8D22-4B7E-9C2B-A3EFA6A52FA9}">
      <text>
        <r>
          <rPr>
            <b/>
            <sz val="9"/>
            <color indexed="81"/>
            <rFont val="Tahoma"/>
            <family val="2"/>
          </rPr>
          <t>Jittiporn Tangkitsanguan (SDM):</t>
        </r>
        <r>
          <rPr>
            <sz val="9"/>
            <color indexed="81"/>
            <rFont val="Tahoma"/>
            <family val="2"/>
          </rPr>
          <t xml:space="preserve">
ทั้งหมด 7 Case - 4case FY26</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Janchai Hormchuen (SDM)</author>
    <author>Arunee Srisawad (SDM)</author>
    <author>Jittiporn Tangkitsanguan (SDM)</author>
    <author>Thanaphorn Kulchan (SDM)</author>
  </authors>
  <commentList>
    <comment ref="D120" authorId="0" shapeId="0" xr:uid="{B8154610-42E5-4647-A581-F1A10A8FBE90}">
      <text>
        <r>
          <rPr>
            <b/>
            <sz val="9"/>
            <color indexed="81"/>
            <rFont val="Tahoma"/>
            <family val="2"/>
          </rPr>
          <t xml:space="preserve">no record invoice on system
</t>
        </r>
      </text>
    </comment>
    <comment ref="X120" authorId="1" shapeId="0" xr:uid="{0548D889-2BDB-4A54-82EF-C304FFBB307A}">
      <text>
        <r>
          <rPr>
            <b/>
            <sz val="9"/>
            <color indexed="81"/>
            <rFont val="Tahoma"/>
            <family val="2"/>
          </rPr>
          <t>Arunee Srisawad (SDM):</t>
        </r>
        <r>
          <rPr>
            <sz val="9"/>
            <color indexed="81"/>
            <rFont val="Tahoma"/>
            <family val="2"/>
          </rPr>
          <t xml:space="preserve">
SKD-PU =32 
attractive = 7
</t>
        </r>
      </text>
    </comment>
    <comment ref="X121" authorId="0" shapeId="0" xr:uid="{BA570084-4CCA-4EF9-B4B9-C588E99AA808}">
      <text>
        <r>
          <rPr>
            <b/>
            <sz val="9"/>
            <color indexed="81"/>
            <rFont val="Tahoma"/>
            <family val="2"/>
          </rPr>
          <t>Renovation =147MB</t>
        </r>
      </text>
    </comment>
    <comment ref="D122" authorId="0" shapeId="0" xr:uid="{F85FC544-8068-42E5-A1DC-4DA886CF10A1}">
      <text>
        <r>
          <rPr>
            <b/>
            <sz val="9"/>
            <color indexed="81"/>
            <rFont val="Tahoma"/>
            <family val="2"/>
          </rPr>
          <t>waiting approve, no submit  with over start using date</t>
        </r>
      </text>
    </comment>
    <comment ref="D124" authorId="1" shapeId="0" xr:uid="{4CF3827B-A831-45FC-A9E8-31D493C944A2}">
      <text>
        <r>
          <rPr>
            <sz val="9"/>
            <color indexed="81"/>
            <rFont val="Tahoma"/>
            <family val="2"/>
          </rPr>
          <t>1.00 - 1.49 Year</t>
        </r>
      </text>
    </comment>
    <comment ref="D126" authorId="1" shapeId="0" xr:uid="{46BE8368-867D-42E9-9005-57548530BF44}">
      <text>
        <r>
          <rPr>
            <sz val="9"/>
            <color indexed="81"/>
            <rFont val="Tahoma"/>
            <family val="2"/>
          </rPr>
          <t>&gt; 1.50 Year</t>
        </r>
      </text>
    </comment>
    <comment ref="D169" authorId="0" shapeId="0" xr:uid="{21D209D3-56AA-4D33-A29B-16B0468783A3}">
      <text>
        <r>
          <rPr>
            <b/>
            <sz val="9"/>
            <color indexed="81"/>
            <rFont val="Tahoma"/>
            <family val="2"/>
          </rPr>
          <t xml:space="preserve">Status:no record invoice on system
</t>
        </r>
      </text>
    </comment>
    <comment ref="W169" authorId="2" shapeId="0" xr:uid="{9C39617F-73D5-42E2-BF08-02E5E2E377C7}">
      <text>
        <r>
          <rPr>
            <b/>
            <sz val="9"/>
            <color indexed="81"/>
            <rFont val="Tahoma"/>
            <family val="2"/>
          </rPr>
          <t>Jittiporn Tangkitsanguan (SDM):</t>
        </r>
        <r>
          <rPr>
            <sz val="9"/>
            <color indexed="81"/>
            <rFont val="Tahoma"/>
            <family val="2"/>
          </rPr>
          <t xml:space="preserve">
SDM = 10 , 1.5MB
</t>
        </r>
      </text>
    </comment>
    <comment ref="X169" authorId="2" shapeId="0" xr:uid="{456F6D9A-CE76-4AA6-B048-6EB2AC6C9035}">
      <text>
        <r>
          <rPr>
            <b/>
            <sz val="9"/>
            <color indexed="81"/>
            <rFont val="Tahoma"/>
            <family val="2"/>
          </rPr>
          <t>Jittiporn Tangkitsanguan (SDM):</t>
        </r>
        <r>
          <rPr>
            <sz val="9"/>
            <color indexed="81"/>
            <rFont val="Tahoma"/>
            <family val="2"/>
          </rPr>
          <t xml:space="preserve">
Renovate =8</t>
        </r>
      </text>
    </comment>
    <comment ref="Z169" authorId="2" shapeId="0" xr:uid="{7DF3F8F4-45FE-4009-AA32-4521BD5C8684}">
      <text>
        <r>
          <rPr>
            <b/>
            <sz val="9"/>
            <color indexed="81"/>
            <rFont val="Tahoma"/>
            <family val="2"/>
          </rPr>
          <t>Jittiporn Tangkitsanguan (SDM):</t>
        </r>
        <r>
          <rPr>
            <sz val="9"/>
            <color indexed="81"/>
            <rFont val="Tahoma"/>
            <family val="2"/>
          </rPr>
          <t xml:space="preserve">
SDM =8 , 3.4 MB
</t>
        </r>
      </text>
    </comment>
    <comment ref="X170" authorId="1" shapeId="0" xr:uid="{6BEFBDEA-20A1-4D71-979F-390FE0D16D02}">
      <text>
        <r>
          <rPr>
            <b/>
            <sz val="9"/>
            <color indexed="81"/>
            <rFont val="Tahoma"/>
            <family val="2"/>
          </rPr>
          <t>Arunee Srisawad (SDM):</t>
        </r>
        <r>
          <rPr>
            <sz val="9"/>
            <color indexed="81"/>
            <rFont val="Tahoma"/>
            <family val="2"/>
          </rPr>
          <t xml:space="preserve">
SKD = PU
Renovate 147 MB</t>
        </r>
      </text>
    </comment>
    <comment ref="Y170" authorId="2" shapeId="0" xr:uid="{FCD3A5A4-0117-4685-A2E1-2AB1A6BDA75F}">
      <text>
        <r>
          <rPr>
            <b/>
            <sz val="9"/>
            <color indexed="81"/>
            <rFont val="Tahoma"/>
            <family val="2"/>
          </rPr>
          <t>Jittiporn Tangkitsanguan (SDM):</t>
        </r>
        <r>
          <rPr>
            <sz val="9"/>
            <color indexed="81"/>
            <rFont val="Tahoma"/>
            <family val="2"/>
          </rPr>
          <t xml:space="preserve">
SDM =88, 44 MB.</t>
        </r>
      </text>
    </comment>
    <comment ref="D171" authorId="0" shapeId="0" xr:uid="{F4274E9D-92C9-4EC2-B36C-EC89255EAA67}">
      <text>
        <r>
          <rPr>
            <b/>
            <sz val="9"/>
            <color indexed="81"/>
            <rFont val="Tahoma"/>
            <family val="2"/>
          </rPr>
          <t>waiting approve, no submit  with over start using date</t>
        </r>
      </text>
    </comment>
    <comment ref="X172" authorId="2" shapeId="0" xr:uid="{505F5FB3-6744-46A3-87F4-9D8974DD330D}">
      <text>
        <r>
          <rPr>
            <b/>
            <sz val="9"/>
            <color indexed="81"/>
            <rFont val="Tahoma"/>
            <family val="2"/>
          </rPr>
          <t>Jittiporn Tangkitsanguan (SDM):</t>
        </r>
        <r>
          <rPr>
            <sz val="9"/>
            <color indexed="81"/>
            <rFont val="Tahoma"/>
            <family val="2"/>
          </rPr>
          <t xml:space="preserve">
Renovate = 68.6</t>
        </r>
      </text>
    </comment>
    <comment ref="Y172" authorId="2" shapeId="0" xr:uid="{C7A529D1-E20A-4921-AF6C-222BEDDB72C6}">
      <text>
        <r>
          <rPr>
            <b/>
            <sz val="9"/>
            <color indexed="81"/>
            <rFont val="Tahoma"/>
            <family val="2"/>
          </rPr>
          <t>Jittiporn Tangkitsanguan (SDM):</t>
        </r>
        <r>
          <rPr>
            <sz val="9"/>
            <color indexed="81"/>
            <rFont val="Tahoma"/>
            <family val="2"/>
          </rPr>
          <t xml:space="preserve">
SDM = 261, 185 MB.
</t>
        </r>
      </text>
    </comment>
    <comment ref="D173" authorId="1" shapeId="0" xr:uid="{7189C35C-A421-495C-A486-E0A92CF6BCF2}">
      <text>
        <r>
          <rPr>
            <sz val="9"/>
            <color indexed="81"/>
            <rFont val="Tahoma"/>
            <family val="2"/>
          </rPr>
          <t>1.00 - 1.49 Year</t>
        </r>
      </text>
    </comment>
    <comment ref="V174" authorId="2" shapeId="0" xr:uid="{9EC7AB48-9058-4C22-8EE3-81F31319743E}">
      <text>
        <r>
          <rPr>
            <b/>
            <sz val="9"/>
            <color indexed="81"/>
            <rFont val="Tahoma"/>
            <family val="2"/>
          </rPr>
          <t>Jittiporn Tangkitsanguan (SDM):</t>
        </r>
        <r>
          <rPr>
            <sz val="9"/>
            <color indexed="81"/>
            <rFont val="Tahoma"/>
            <family val="2"/>
          </rPr>
          <t xml:space="preserve">
SDM=1 Fac 4.2 MB</t>
        </r>
      </text>
    </comment>
    <comment ref="D175" authorId="1" shapeId="0" xr:uid="{CEB6C9D8-534A-4D4C-B77A-1B105BE908C0}">
      <text>
        <r>
          <rPr>
            <sz val="9"/>
            <color indexed="81"/>
            <rFont val="Tahoma"/>
            <family val="2"/>
          </rPr>
          <t>&gt; 1.50 Year</t>
        </r>
      </text>
    </comment>
    <comment ref="Y176" authorId="2" shapeId="0" xr:uid="{A7074B80-D741-4DE1-AA0D-B3269E3137CC}">
      <text>
        <r>
          <rPr>
            <b/>
            <sz val="9"/>
            <color indexed="81"/>
            <rFont val="Tahoma"/>
            <family val="2"/>
          </rPr>
          <t>Jittiporn Tangkitsanguan (SDM):</t>
        </r>
        <r>
          <rPr>
            <sz val="9"/>
            <color indexed="81"/>
            <rFont val="Tahoma"/>
            <family val="2"/>
          </rPr>
          <t xml:space="preserve">
SDM =12 , 9.9 MB
</t>
        </r>
      </text>
    </comment>
    <comment ref="D218" authorId="0" shapeId="0" xr:uid="{2ABE2958-BCD7-46CC-A7F1-3F905D8ED69B}">
      <text>
        <r>
          <rPr>
            <b/>
            <sz val="9"/>
            <color indexed="81"/>
            <rFont val="Tahoma"/>
            <family val="2"/>
          </rPr>
          <t xml:space="preserve">Status:no record invoice on system
</t>
        </r>
      </text>
    </comment>
    <comment ref="D220" authorId="0" shapeId="0" xr:uid="{E61A2279-C2D7-4A9D-89A8-F7E99DDA845B}">
      <text>
        <r>
          <rPr>
            <b/>
            <sz val="9"/>
            <color indexed="81"/>
            <rFont val="Tahoma"/>
            <family val="2"/>
          </rPr>
          <t>waiting approve, no submit  with over start using date</t>
        </r>
      </text>
    </comment>
    <comment ref="D222" authorId="1" shapeId="0" xr:uid="{0AADB8C2-E987-4A16-B284-DB34EEC5D6E7}">
      <text>
        <r>
          <rPr>
            <sz val="9"/>
            <color indexed="81"/>
            <rFont val="Tahoma"/>
            <family val="2"/>
          </rPr>
          <t>1.00 - 1.49 Year</t>
        </r>
      </text>
    </comment>
    <comment ref="D224" authorId="1" shapeId="0" xr:uid="{AEE663EF-E9B1-4B6C-BBEB-DB3B31F9265C}">
      <text>
        <r>
          <rPr>
            <sz val="9"/>
            <color indexed="81"/>
            <rFont val="Tahoma"/>
            <family val="2"/>
          </rPr>
          <t>&gt; 1.50 Year</t>
        </r>
      </text>
    </comment>
    <comment ref="L522" authorId="3" shapeId="0" xr:uid="{3CE9E81F-8AE2-4296-B2BD-EDB43D515E41}">
      <text>
        <r>
          <rPr>
            <b/>
            <sz val="9"/>
            <color indexed="81"/>
            <rFont val="Tahoma"/>
            <family val="2"/>
          </rPr>
          <t>Thanaphorn Kulchan (SDM):</t>
        </r>
        <r>
          <rPr>
            <sz val="9"/>
            <color indexed="81"/>
            <rFont val="Tahoma"/>
            <family val="2"/>
          </rPr>
          <t xml:space="preserve">
G2&amp;G3</t>
        </r>
      </text>
    </comment>
    <comment ref="S522" authorId="3" shapeId="0" xr:uid="{B55AAB00-B10D-4F9B-8037-D23782628034}">
      <text>
        <r>
          <rPr>
            <b/>
            <sz val="9"/>
            <color indexed="81"/>
            <rFont val="Tahoma"/>
            <family val="2"/>
          </rPr>
          <t>Thanaphorn Kulchan (SDM):</t>
        </r>
        <r>
          <rPr>
            <sz val="9"/>
            <color indexed="81"/>
            <rFont val="Tahoma"/>
            <family val="2"/>
          </rPr>
          <t xml:space="preserve">
G4 assy + Sol Assy + DF assy</t>
        </r>
      </text>
    </comment>
    <comment ref="AA522" authorId="3" shapeId="0" xr:uid="{7A3DDA43-D52F-409B-A629-B1562C444FB8}">
      <text>
        <r>
          <rPr>
            <b/>
            <sz val="9"/>
            <color indexed="81"/>
            <rFont val="Tahoma"/>
            <family val="2"/>
          </rPr>
          <t>Thanaphorn Kulchan (SDM):</t>
        </r>
        <r>
          <rPr>
            <sz val="9"/>
            <color indexed="81"/>
            <rFont val="Tahoma"/>
            <family val="2"/>
          </rPr>
          <t xml:space="preserve">
PD common + GAS staff</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Nattha Pokasombut (SDM)</author>
  </authors>
  <commentList>
    <comment ref="K6" authorId="0" shapeId="0" xr:uid="{ACB8D7F9-3F5F-44EB-A644-BD438454F0AF}">
      <text>
        <r>
          <rPr>
            <b/>
            <sz val="9"/>
            <color indexed="81"/>
            <rFont val="Tahoma"/>
            <family val="2"/>
          </rPr>
          <t>Medical fee
DX Dashboard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Nattha Pokasombut (SDM)</author>
    <author>tc={1E76BCCB-897A-414A-9D1E-CEDAE472090B}</author>
    <author>tc={82065D71-E73E-43E2-BD68-DDAEE5C75BE4}</author>
    <author>tc={9545DB7A-0DA0-4663-929D-74CAE0BEBE9B}</author>
    <author>tc={6C4ABB3C-285F-415F-B7CD-F0CE2B5C4F84}</author>
    <author>tc={1D1AE0AB-ECF9-4379-BAE6-25E8C73646BA}</author>
  </authors>
  <commentList>
    <comment ref="AA3" authorId="0" shapeId="0" xr:uid="{9B97D174-ECDA-4DE9-AF1A-5B9CEEBFE91F}">
      <text>
        <r>
          <rPr>
            <b/>
            <sz val="9"/>
            <color indexed="81"/>
            <rFont val="Tahoma"/>
            <family val="2"/>
          </rPr>
          <t>Guest &amp; Visitor weekly report
Reduce communication time of guest &amp; visitor information</t>
        </r>
      </text>
    </comment>
    <comment ref="AG3" authorId="0" shapeId="0" xr:uid="{F093CA06-48A3-4918-B8C0-0808414CB934}">
      <text>
        <r>
          <rPr>
            <b/>
            <sz val="9"/>
            <color indexed="81"/>
            <rFont val="Tahoma"/>
            <family val="2"/>
          </rPr>
          <t>Guest &amp; Visitor</t>
        </r>
      </text>
    </comment>
    <comment ref="W4" authorId="1" shapeId="0" xr:uid="{1E76BCCB-897A-414A-9D1E-CEDAE472090B}">
      <text>
        <t xml:space="preserve">[Threaded comment]
Your version of Excel allows you to read this threaded comment; however, any edits to it will get removed if the file is opened in a newer version of Excel. Learn more: https://go.microsoft.com/fwlink/?linkid=870924
Comment:
    Camera detection for counting part at Auto packing M/C </t>
      </text>
    </comment>
    <comment ref="AA4" authorId="2" shapeId="0" xr:uid="{82065D71-E73E-43E2-BD68-DDAEE5C75BE4}">
      <text>
        <t xml:space="preserve">[Threaded comment]
Your version of Excel allows you to read this threaded comment; however, any edits to it will get removed if the file is opened in a newer version of Excel. Learn more: https://go.microsoft.com/fwlink/?linkid=870924
Comment:
    -Application 5S Shopping Mall  
-Improvement Recruitment Process by Power Apps &amp; Power Automate
</t>
      </text>
    </comment>
    <comment ref="AF4" authorId="3" shapeId="0" xr:uid="{9545DB7A-0DA0-4663-929D-74CAE0BEBE9B}">
      <text>
        <t xml:space="preserve">[Threaded comment]
Your version of Excel allows you to read this threaded comment; however, any edits to it will get removed if the file is opened in a newer version of Excel. Learn more: https://go.microsoft.com/fwlink/?linkid=870924
Comment:
    Industrial Hygiene and Safety </t>
      </text>
    </comment>
    <comment ref="AA6" authorId="0" shapeId="0" xr:uid="{53C6E13B-2964-4A26-AA84-042CE8C404E6}">
      <text>
        <r>
          <rPr>
            <b/>
            <sz val="9"/>
            <color indexed="81"/>
            <rFont val="Tahoma"/>
            <family val="2"/>
          </rPr>
          <t xml:space="preserve">Medical fee 
- Reduce AS Key-in data reduce time of calculation 
900-1200 sheet / month : 10 minute/time = 200Hrs/M
Reduce the number of inquiries from associates regarding remaining medical fees. 
Avg: 10-15minute / case ( 10 cases / day) = 50Hrs/Month
(New) Increasing the time allocated for payment confirmation
- DX Dashboard for support plant tour </t>
        </r>
      </text>
    </comment>
    <comment ref="AG6" authorId="0" shapeId="0" xr:uid="{0BD2A2CE-4A74-4C24-BB6A-89A903C2226E}">
      <text>
        <r>
          <rPr>
            <b/>
            <sz val="9"/>
            <color indexed="81"/>
            <rFont val="Tahoma"/>
            <family val="2"/>
          </rPr>
          <t>Medical fee
Reduce the number of inquiries from associates regardingremaining medical fees. 
Avg: 10-15minute / case   , 100 case/month 
Reduce time for associate walk to fist aid room for asking medical fee 10-15 minutes = 50 minutes</t>
        </r>
      </text>
    </comment>
    <comment ref="AB7" authorId="4" shapeId="0" xr:uid="{6C4ABB3C-285F-415F-B7CD-F0CE2B5C4F84}">
      <text>
        <t xml:space="preserve">[Threaded comment]
Your version of Excel allows you to read this threaded comment; however, any edits to it will get removed if the file is opened in a newer version of Excel. Learn more: https://go.microsoft.com/fwlink/?linkid=870924
Comment:
    Low cost &amp; Flexible robot arm (OVR) </t>
      </text>
    </comment>
    <comment ref="AD7" authorId="5" shapeId="0" xr:uid="{1D1AE0AB-ECF9-4379-BAE6-25E8C73646BA}">
      <text>
        <t xml:space="preserve">[Threaded comment]
Your version of Excel allows you to read this threaded comment; however, any edits to it will get removed if the file is opened in a newer version of Excel. Learn more: https://go.microsoft.com/fwlink/?linkid=870924
Comment:
    -INCREASING CAPACITY EFFICIENCY OF FG AREA
-Study and Analyze Process of Packaging Boxes for Increasing Efficiency
-Application Element Auto Packing
-Low cost &amp; Flexible robot arm (OVR)
</t>
      </text>
    </comment>
    <comment ref="AA9" authorId="0" shapeId="0" xr:uid="{6416553C-3AD2-48E9-ADFB-A44D5CEDE8C4}">
      <text>
        <r>
          <rPr>
            <b/>
            <sz val="9"/>
            <color indexed="81"/>
            <rFont val="Tahoma"/>
            <family val="2"/>
          </rPr>
          <t xml:space="preserve">275 from last months
+ RPA EV-360
+ GSPC
+ Budget 
+ Dashboard
</t>
        </r>
      </text>
    </comment>
    <comment ref="AD9" authorId="0" shapeId="0" xr:uid="{671F6F97-A077-4230-966A-BBCA75798DB8}">
      <text>
        <r>
          <rPr>
            <b/>
            <sz val="9"/>
            <color indexed="81"/>
            <rFont val="Tahoma"/>
            <family val="2"/>
          </rPr>
          <t>RPA TTFuji Toolsissue by Robot</t>
        </r>
      </text>
    </comment>
    <comment ref="S10" authorId="0" shapeId="0" xr:uid="{4A91BC2F-10C3-4103-88D7-5749FC0AD3FB}">
      <text>
        <r>
          <rPr>
            <b/>
            <sz val="9"/>
            <color indexed="81"/>
            <rFont val="Tahoma"/>
            <family val="2"/>
          </rPr>
          <t xml:space="preserve">Design of experiments to find the factors that affect seat oil leak in nozzle body assembly.
</t>
        </r>
      </text>
    </comment>
    <comment ref="T10" authorId="0" shapeId="0" xr:uid="{8501399C-9DBD-41BA-920F-189DE1AC08C3}">
      <text>
        <r>
          <rPr>
            <b/>
            <sz val="9"/>
            <color indexed="81"/>
            <rFont val="Tahoma"/>
            <family val="2"/>
          </rPr>
          <t xml:space="preserve">Reducing Model Change Time at GDP Inspection Line 1
</t>
        </r>
      </text>
    </comment>
    <comment ref="AA10" authorId="0" shapeId="0" xr:uid="{A4ED3B0B-ABB4-4D47-8BBC-43E3AB9B5F7B}">
      <text>
        <r>
          <rPr>
            <b/>
            <sz val="9"/>
            <color indexed="81"/>
            <rFont val="Tahoma"/>
            <family val="2"/>
          </rPr>
          <t xml:space="preserve">1) Student internship evaluation by Power Apps &amp; Power Automate
2) Internal Transfer associate by Power Apps &amp; Power Automate
3) Rule &amp; Regulation training online
</t>
        </r>
      </text>
    </comment>
    <comment ref="AB10" authorId="0" shapeId="0" xr:uid="{193F2E86-510E-4D9B-B333-36E4605A50CA}">
      <text>
        <r>
          <rPr>
            <b/>
            <sz val="9"/>
            <color indexed="81"/>
            <rFont val="Tahoma"/>
            <family val="2"/>
          </rPr>
          <t xml:space="preserve">1) Level Up oil &amp; chemical management
2) Reduce %variance by reducing tool change time
3) Increase production efficiency by reducing loss time of Model change
</t>
        </r>
      </text>
    </comment>
    <comment ref="X12" authorId="0" shapeId="0" xr:uid="{8EDEE66E-0207-447A-9CAF-4285134A84B8}">
      <text>
        <r>
          <rPr>
            <b/>
            <sz val="9"/>
            <color indexed="81"/>
            <rFont val="Tahoma"/>
            <family val="2"/>
          </rPr>
          <t>E-Facility service</t>
        </r>
        <r>
          <rPr>
            <sz val="9"/>
            <color indexed="81"/>
            <rFont val="Tahoma"/>
            <family val="2"/>
          </rPr>
          <t xml:space="preserve">
</t>
        </r>
      </text>
    </comment>
    <comment ref="AA28" authorId="0" shapeId="0" xr:uid="{CD33291E-401D-47FF-9985-3C80923B9C13}">
      <text>
        <r>
          <rPr>
            <b/>
            <sz val="9"/>
            <color indexed="81"/>
            <rFont val="Tahoma"/>
            <family val="2"/>
          </rPr>
          <t>1) Auto Budget submit to BP (Automate &amp; Data Query auto summary report)
2) Attractive Working VDO Presentation (Sanook) for Plant tour
3) Addtion Auto Waste water report
4) Auto Trainee request &amp; Approval
5) Study Database structure of Business Planning Expense
6) E-RFQ request by Power Apps
7) RPA for Accounting (Reduce manual work)</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Pinnaree Sangnual (SDM)</author>
  </authors>
  <commentList>
    <comment ref="AO51" authorId="0" shapeId="0" xr:uid="{85FD68F3-BD9B-4F84-9085-6C5888658910}">
      <text>
        <r>
          <rPr>
            <sz val="11"/>
            <color theme="1"/>
            <rFont val="Aptos Narrow"/>
            <family val="2"/>
            <scheme val="minor"/>
          </rPr>
          <t xml:space="preserve">Pinnaree Sangnual (SDM):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Pornthip Boonwitawajaroen (SDM)</author>
  </authors>
  <commentList>
    <comment ref="AJ2" authorId="0" shapeId="0" xr:uid="{6ED651DF-388B-4D12-A4E1-8B1FFB8C49D6}">
      <text>
        <r>
          <rPr>
            <b/>
            <sz val="9"/>
            <color indexed="81"/>
            <rFont val="Tahoma"/>
            <family val="2"/>
          </rPr>
          <t>8.76 = Sludge
11.62 Oily
0.011 = หลอดไฟ LED
0.009 = หลอดไฟเก่า</t>
        </r>
        <r>
          <rPr>
            <sz val="9"/>
            <color indexed="81"/>
            <rFont val="Tahoma"/>
            <family val="2"/>
          </rPr>
          <t xml:space="preserve">
</t>
        </r>
      </text>
    </comment>
    <comment ref="AK2" authorId="0" shapeId="0" xr:uid="{50957775-4CBF-4760-9288-ADB1AAF98FF0}">
      <text>
        <r>
          <rPr>
            <b/>
            <sz val="9"/>
            <color indexed="81"/>
            <rFont val="Tahoma"/>
            <family val="2"/>
          </rPr>
          <t>8.51 ขยะอุตสาหกรรมรีไซเคิล
17.75 พลาสติก
13.12 กระดาษกล่อง
7.65 กระดาษกัมบัง</t>
        </r>
        <r>
          <rPr>
            <sz val="9"/>
            <color indexed="81"/>
            <rFont val="Tahoma"/>
            <family val="2"/>
          </rPr>
          <t xml:space="preserve">
</t>
        </r>
      </text>
    </comment>
    <comment ref="AJ5" authorId="0" shapeId="0" xr:uid="{261CC959-1159-42DF-8BEB-F29846A35605}">
      <text>
        <r>
          <rPr>
            <b/>
            <sz val="9"/>
            <color indexed="81"/>
            <rFont val="Tahoma"/>
            <family val="2"/>
          </rPr>
          <t>Start change Oily of WWTP --&gt; Used Oil</t>
        </r>
        <r>
          <rPr>
            <sz val="9"/>
            <color indexed="81"/>
            <rFont val="Tahoma"/>
            <family val="2"/>
          </rPr>
          <t xml:space="preserve">
</t>
        </r>
      </text>
    </comment>
    <comment ref="AJ6" authorId="0" shapeId="0" xr:uid="{54A10434-40E5-4702-8ED3-E3BF169F1B1B}">
      <text>
        <r>
          <rPr>
            <b/>
            <sz val="9"/>
            <color indexed="81"/>
            <rFont val="Tahoma"/>
            <family val="2"/>
          </rPr>
          <t>Sludge
Oily
LED
หลอดไฟ
Used Oil</t>
        </r>
      </text>
    </comment>
    <comment ref="AJ13" authorId="0" shapeId="0" xr:uid="{1E91E488-BF71-4733-9F3C-1349FF302D92}">
      <text>
        <r>
          <rPr>
            <sz val="9"/>
            <color indexed="81"/>
            <rFont val="Tahoma"/>
            <family val="2"/>
          </rPr>
          <t xml:space="preserve">ทรายกรอง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Kamonlapob Sathiti (SDM)</author>
    <author>Taweewat Kosriyarakwong (SDM)</author>
    <author>Pornchana Suesutthikul (SDM)</author>
  </authors>
  <commentList>
    <comment ref="I19" authorId="0" shapeId="0" xr:uid="{4182E954-CEBA-4EBE-854C-92E8C0F022C2}">
      <text>
        <r>
          <rPr>
            <sz val="11"/>
            <color theme="1"/>
            <rFont val="Aptos Narrow"/>
            <family val="2"/>
            <scheme val="minor"/>
          </rPr>
          <t>This target is PD only not including PC, PE and QC</t>
        </r>
      </text>
    </comment>
    <comment ref="E24" authorId="1" shapeId="0" xr:uid="{16CC6193-3ACD-478E-9792-5A29920F521E}">
      <text>
        <r>
          <rPr>
            <sz val="11"/>
            <color theme="1"/>
            <rFont val="Aptos Narrow"/>
            <family val="2"/>
            <scheme val="minor"/>
          </rPr>
          <t xml:space="preserve">Calculate from
Actual FY24 Apr-Feb + Forecast Mar = 15.3MB
FY25 50% from FY24
= 15.3/2
= 7.65 MB/year
= 0.64 MB/month </t>
        </r>
      </text>
    </comment>
    <comment ref="I24" authorId="1" shapeId="0" xr:uid="{6FE0257F-197F-4E03-BB69-067EA3016A14}">
      <text>
        <r>
          <rPr>
            <sz val="11"/>
            <color theme="1"/>
            <rFont val="Aptos Narrow"/>
            <family val="2"/>
            <scheme val="minor"/>
          </rPr>
          <t xml:space="preserve">Calculate from
Actual FY24 Apr-Feb + Forecast Mar = 15.3MB
FY25 50% from FY24
= 15.3/2
= 7.65 MB/year
= 0.64 MB/month </t>
        </r>
      </text>
    </comment>
    <comment ref="I62" authorId="2" shapeId="0" xr:uid="{9C941223-23D9-4F9E-BAC7-03229D6E4C3A}">
      <text>
        <r>
          <rPr>
            <sz val="11"/>
            <color theme="1"/>
            <rFont val="Aptos Narrow"/>
            <family val="2"/>
            <scheme val="minor"/>
          </rPr>
          <t>12 Jun'25</t>
        </r>
      </text>
    </comment>
    <comment ref="I123" authorId="0" shapeId="0" xr:uid="{2D2C9036-9110-4BB4-BA71-64F55218C034}">
      <text>
        <r>
          <rPr>
            <sz val="11"/>
            <color theme="1"/>
            <rFont val="Aptos Narrow"/>
            <family val="2"/>
            <scheme val="minor"/>
          </rPr>
          <t>This target is PD only not including PC, PE and QC</t>
        </r>
      </text>
    </comment>
    <comment ref="E128" authorId="1" shapeId="0" xr:uid="{D629518D-7B13-4BDA-A938-6A659CD49D75}">
      <text>
        <r>
          <rPr>
            <sz val="11"/>
            <color theme="1"/>
            <rFont val="Aptos Narrow"/>
            <family val="2"/>
            <scheme val="minor"/>
          </rPr>
          <t xml:space="preserve">Calculate from
Actual FY24 Apr-Feb + Forecast Mar = 15.3MB
FY25 50% from FY24
= 15.3/2
= 7.65 MB/year
= 0.64 MB/month </t>
        </r>
      </text>
    </comment>
    <comment ref="I128" authorId="1" shapeId="0" xr:uid="{6B12AC19-A287-4A85-9F91-2A03270A735F}">
      <text>
        <r>
          <rPr>
            <sz val="11"/>
            <color theme="1"/>
            <rFont val="Aptos Narrow"/>
            <family val="2"/>
            <scheme val="minor"/>
          </rPr>
          <t xml:space="preserve">Calculate from
Actual FY24 Apr-Feb + Forecast Mar = 15.3MB
FY25 50% from FY24
= 15.3/2
= 7.65 MB/year
= 0.64 MB/month </t>
        </r>
      </text>
    </comment>
    <comment ref="I227" authorId="0" shapeId="0" xr:uid="{69619D28-976C-45E7-98B4-1464E6CBADFD}">
      <text>
        <r>
          <rPr>
            <sz val="11"/>
            <color theme="1"/>
            <rFont val="Aptos Narrow"/>
            <family val="2"/>
            <scheme val="minor"/>
          </rPr>
          <t>This target is PD only not including PC, PE and QC</t>
        </r>
      </text>
    </comment>
    <comment ref="E232" authorId="1" shapeId="0" xr:uid="{4075B0C6-592C-4247-9670-8BD0CF838348}">
      <text>
        <r>
          <rPr>
            <sz val="11"/>
            <color theme="1"/>
            <rFont val="Aptos Narrow"/>
            <family val="2"/>
            <scheme val="minor"/>
          </rPr>
          <t xml:space="preserve">Calculate from
Actual FY24 Apr-Feb + Forecast Mar = 15.3MB
FY25 50% from FY24
= 15.3/2
= 7.65 MB/year
= 0.64 MB/month </t>
        </r>
      </text>
    </comment>
    <comment ref="I232" authorId="1" shapeId="0" xr:uid="{0259750B-3CD8-4E68-914A-A643E4A4A6C8}">
      <text>
        <r>
          <rPr>
            <sz val="11"/>
            <color theme="1"/>
            <rFont val="Aptos Narrow"/>
            <family val="2"/>
            <scheme val="minor"/>
          </rPr>
          <t xml:space="preserve">Calculate from
Actual FY24 Apr-Feb + Forecast Mar = 15.3MB
FY25 50% from FY24
= 15.3/2
= 7.65 MB/year
= 0.64 MB/month </t>
        </r>
      </text>
    </comment>
    <comment ref="I331" authorId="0" shapeId="0" xr:uid="{5A5E6D19-9BCB-4B8D-9A9B-ECF8C092CCE6}">
      <text>
        <r>
          <rPr>
            <sz val="11"/>
            <color theme="1"/>
            <rFont val="Aptos Narrow"/>
            <family val="2"/>
            <scheme val="minor"/>
          </rPr>
          <t>This target is PD only not including PC, PE and QC</t>
        </r>
      </text>
    </comment>
    <comment ref="E336" authorId="1" shapeId="0" xr:uid="{7F78840C-5AF7-4FD2-8D3F-2AB4577DFA47}">
      <text>
        <r>
          <rPr>
            <sz val="11"/>
            <color theme="1"/>
            <rFont val="Aptos Narrow"/>
            <family val="2"/>
            <scheme val="minor"/>
          </rPr>
          <t xml:space="preserve">Calculate from
Actual FY24 Apr-Feb + Forecast Mar = 15.3MB
FY25 50% from FY24
= 15.3/2
= 7.65 MB/year
= 0.64 MB/month </t>
        </r>
      </text>
    </comment>
    <comment ref="I336" authorId="1" shapeId="0" xr:uid="{9AE40187-8199-4898-8893-0A0FA22319EA}">
      <text>
        <r>
          <rPr>
            <sz val="11"/>
            <color theme="1"/>
            <rFont val="Aptos Narrow"/>
            <family val="2"/>
            <scheme val="minor"/>
          </rPr>
          <t xml:space="preserve">Calculate from
Actual FY24 Apr-Feb + Forecast Mar = 15.3MB
FY25 50% from FY24
= 15.3/2
= 7.65 MB/year
= 0.64 MB/month </t>
        </r>
      </text>
    </comment>
  </commentList>
</comments>
</file>

<file path=xl/sharedStrings.xml><?xml version="1.0" encoding="utf-8"?>
<sst xmlns="http://schemas.openxmlformats.org/spreadsheetml/2006/main" count="20395" uniqueCount="754">
  <si>
    <t>Click link to Concern sheet</t>
  </si>
  <si>
    <t>Category</t>
  </si>
  <si>
    <t>Overall</t>
  </si>
  <si>
    <t>Product/Dept</t>
  </si>
  <si>
    <t>Safety</t>
  </si>
  <si>
    <t>Safety (By Dept)</t>
  </si>
  <si>
    <t>Quality</t>
  </si>
  <si>
    <t>Quality (By Product)</t>
  </si>
  <si>
    <t>Delivery</t>
  </si>
  <si>
    <t>Delivery (By Dept)</t>
  </si>
  <si>
    <t>Compliance</t>
  </si>
  <si>
    <t>Compliance (By Dept)</t>
  </si>
  <si>
    <t>HR</t>
  </si>
  <si>
    <t>HR (By Dept)</t>
  </si>
  <si>
    <t>Acttractive</t>
  </si>
  <si>
    <t>Acttractive (By Dept)</t>
  </si>
  <si>
    <t>Environment</t>
  </si>
  <si>
    <t>Environment (By dept)</t>
  </si>
  <si>
    <t>Cost</t>
  </si>
  <si>
    <t xml:space="preserve">Sub </t>
  </si>
  <si>
    <t>No</t>
  </si>
  <si>
    <t>measurment</t>
  </si>
  <si>
    <t>Unit</t>
  </si>
  <si>
    <t>Main</t>
  </si>
  <si>
    <t>Main relate</t>
  </si>
  <si>
    <t>FY25 Target</t>
  </si>
  <si>
    <t>Month</t>
  </si>
  <si>
    <t>Target</t>
  </si>
  <si>
    <t>Result</t>
  </si>
  <si>
    <t>Accu. Target</t>
  </si>
  <si>
    <t>Accu. result</t>
  </si>
  <si>
    <t>Forecast</t>
  </si>
  <si>
    <t>Reason</t>
  </si>
  <si>
    <t>Recover activity</t>
  </si>
  <si>
    <t xml:space="preserve"> Forecast  result (Total)</t>
  </si>
  <si>
    <t>Recovery month</t>
  </si>
  <si>
    <t>worksite</t>
  </si>
  <si>
    <t>1-Grade accident</t>
  </si>
  <si>
    <t>Case</t>
  </si>
  <si>
    <t>SE</t>
  </si>
  <si>
    <t>All</t>
  </si>
  <si>
    <t>-</t>
  </si>
  <si>
    <t>Reoccurrence</t>
  </si>
  <si>
    <t>PD,PC</t>
  </si>
  <si>
    <t>Near miss</t>
  </si>
  <si>
    <t>8-High risk audit (New)</t>
  </si>
  <si>
    <t>Traffic</t>
  </si>
  <si>
    <t>Fatal</t>
  </si>
  <si>
    <t>GA</t>
  </si>
  <si>
    <t>ALL</t>
  </si>
  <si>
    <t>Injury</t>
  </si>
  <si>
    <t>Illegal &amp; dangerous driving</t>
  </si>
  <si>
    <t>Hit</t>
  </si>
  <si>
    <t>Hit something</t>
  </si>
  <si>
    <r>
      <t xml:space="preserve">Case: </t>
    </r>
    <r>
      <rPr>
        <b/>
        <u/>
        <sz val="11"/>
        <color rgb="FFFF0000"/>
        <rFont val="Meiryo"/>
        <family val="2"/>
      </rPr>
      <t>Smoke</t>
    </r>
    <r>
      <rPr>
        <sz val="11"/>
        <color theme="1" tint="0.14999847407452621"/>
        <rFont val="Meiryo"/>
        <family val="2"/>
      </rPr>
      <t xml:space="preserve"> at Laser welding (UC Machining/Pipe) on 23.5.25
Weakness of controlling risk point to cover inside laser machine</t>
    </r>
  </si>
  <si>
    <t>Level up of Machine system (Design, Inspection &amp; Maintain) company fundamentals in proactively risks management by collaborate with all concern</t>
  </si>
  <si>
    <t>Jul.25</t>
  </si>
  <si>
    <t xml:space="preserve"> -</t>
  </si>
  <si>
    <t>Case: Non-Milk run hit roof's car parking (WH) on 14.7.25
 -Man: Lack of awareness.
 -Condition: RA not cover.
 -System: Not verification system after Implemented.</t>
  </si>
  <si>
    <t>Review Inside Traffic Safety System (Man, System, Condition) by collaborate with all concerns.</t>
  </si>
  <si>
    <t>Mar.26</t>
  </si>
  <si>
    <r>
      <t xml:space="preserve">Case:  Associates ride motorcycle crash with the car's mirror and subsequently sliding into another parked motorcycle.
</t>
    </r>
    <r>
      <rPr>
        <u/>
        <sz val="11"/>
        <color theme="1" tint="0.14999847407452621"/>
        <rFont val="Meiryo"/>
        <family val="2"/>
      </rPr>
      <t>Injury</t>
    </r>
    <r>
      <rPr>
        <sz val="11"/>
        <color theme="1" tint="0.14999847407452621"/>
        <rFont val="Meiryo"/>
        <family val="2"/>
      </rPr>
      <t xml:space="preserve">: Broken lip 5 lip and treatment at hospital 8 D.
</t>
    </r>
    <r>
      <rPr>
        <u/>
        <sz val="11"/>
        <color theme="1" tint="0.14999847407452621"/>
        <rFont val="Meiryo"/>
        <family val="2"/>
      </rPr>
      <t>Cause</t>
    </r>
    <r>
      <rPr>
        <sz val="11"/>
        <color theme="1" tint="0.14999847407452621"/>
        <rFont val="Meiryo"/>
        <family val="2"/>
      </rPr>
      <t xml:space="preserve">:
 -Man: Unsafe action riding in left lane and not reduce speed at intersection.
 -Condition: Low lighting at night time.
</t>
    </r>
  </si>
  <si>
    <r>
      <t xml:space="preserve"> - </t>
    </r>
    <r>
      <rPr>
        <u/>
        <sz val="11"/>
        <color theme="1" tint="0.14999847407452621"/>
        <rFont val="Meiryo"/>
        <family val="2"/>
      </rPr>
      <t>Create awareness</t>
    </r>
    <r>
      <rPr>
        <sz val="11"/>
        <color theme="1" tint="0.14999847407452621"/>
        <rFont val="Meiryo"/>
        <family val="2"/>
      </rPr>
      <t xml:space="preserve"> : 1.Dept. who have accident sharing accident case by them self and join in Traffic safety activity
2. Working team sharing this case with KYT
 - </t>
    </r>
    <r>
      <rPr>
        <u/>
        <sz val="11"/>
        <color theme="1" tint="0.14999847407452621"/>
        <rFont val="Meiryo"/>
        <family val="2"/>
      </rPr>
      <t>Building knowlegge</t>
    </r>
    <r>
      <rPr>
        <sz val="11"/>
        <color theme="1" tint="0.14999847407452621"/>
        <rFont val="Meiryo"/>
        <family val="2"/>
      </rPr>
      <t xml:space="preserve"> :
1. GA Center traning defensive driving standard 
2. Police coaching &amp; training
3. Promoting how to safe drive at intersection</t>
    </r>
  </si>
  <si>
    <t>Sep.25</t>
  </si>
  <si>
    <r>
      <t xml:space="preserve">Case: </t>
    </r>
    <r>
      <rPr>
        <b/>
        <u/>
        <sz val="11"/>
        <color rgb="FFFF0000"/>
        <rFont val="Meiryo"/>
        <family val="2"/>
      </rPr>
      <t>Fire &amp; Smoke</t>
    </r>
    <r>
      <rPr>
        <sz val="11"/>
        <color theme="1" tint="0.14999847407452621"/>
        <rFont val="Meiryo"/>
        <family val="2"/>
      </rPr>
      <t xml:space="preserve">  at GDP Plunger Honing Machine on 7.8.25
 -Condition: Wire </t>
    </r>
    <r>
      <rPr>
        <u/>
        <sz val="11"/>
        <color theme="1" tint="0.14999847407452621"/>
        <rFont val="Meiryo"/>
        <family val="2"/>
      </rPr>
      <t>deterioration</t>
    </r>
    <r>
      <rPr>
        <sz val="11"/>
        <color theme="1" tint="0.14999847407452621"/>
        <rFont val="Meiryo"/>
        <family val="2"/>
      </rPr>
      <t xml:space="preserve">  &amp; </t>
    </r>
    <r>
      <rPr>
        <u/>
        <sz val="11"/>
        <color theme="1" tint="0.14999847407452621"/>
        <rFont val="Meiryo"/>
        <family val="2"/>
      </rPr>
      <t>overload</t>
    </r>
    <r>
      <rPr>
        <sz val="11"/>
        <color theme="1" tint="0.14999847407452621"/>
        <rFont val="Meiryo"/>
        <family val="2"/>
      </rPr>
      <t xml:space="preserve"> inside.
 -System: Lack of system to maintain &amp; verify.</t>
    </r>
  </si>
  <si>
    <t xml:space="preserve"> 1) Re-inspection wiring in machine &amp; improvement. 
 2) Improvement  the system prevent recurrence by
 - Method keeping and connect Wire 
 - Spec equipment comply with machine condition.</t>
  </si>
  <si>
    <t>Case : Smell burn &amp; Smoke at Dust Collector (UC Machining/Needle rough) on 7.9.25
Weakness of controlling risk point (spatter) inside dust collector</t>
  </si>
  <si>
    <t xml:space="preserve"> -Method : Control interval cleaning tray of dust collector.
-Machine : Control talc feeding &amp; Improve autometic talc feeding.
-Man : Level up owner machine to recognize risk of dust collector &amp; emergency response.</t>
  </si>
  <si>
    <t>Dec.25</t>
  </si>
  <si>
    <t xml:space="preserve">  -</t>
  </si>
  <si>
    <t>Knowleadge &amp; RA not cover</t>
  </si>
  <si>
    <t>Level up of HRD system (Man) by Safety Dojo Learning and reflect to SHE  patrol &amp; S-SEM activity collaborate with all concern</t>
  </si>
  <si>
    <t>22 Nov.25</t>
  </si>
  <si>
    <t xml:space="preserve">Company driver U-Turn car in prohibited U-turn area and sudden cut lane. </t>
  </si>
  <si>
    <r>
      <rPr>
        <sz val="11"/>
        <color rgb="FFFF0000"/>
        <rFont val="Meiryo"/>
        <family val="2"/>
      </rPr>
      <t>Punishment : Warning letter</t>
    </r>
    <r>
      <rPr>
        <sz val="11"/>
        <color theme="1" tint="0.14999847407452621"/>
        <rFont val="Meiryo"/>
        <family val="2"/>
      </rPr>
      <t xml:space="preserve">
Awareness : 
1. Comittment don't brake a rule in traffic rule
2. Training traffic safety sign &amp; test
Mornitoring :
1. QR code evaluate driver behavior
2. Benchmarking CCTV monitor driver behavior</t>
    </r>
  </si>
  <si>
    <t>Nov. 2025</t>
  </si>
  <si>
    <t>1.Case : Door of cabinet hit eyebrow’s associate at HPS Pump/Hosing on 10.11.25
Weakness of awareness
2. Case : Smoke from Transformer at Injector MC/Orifice Gr. (MTN) on 27.11.25
Weakness of controlling risk point of PM transformer.</t>
  </si>
  <si>
    <t xml:space="preserve"> -Man : Level up awareness to recognize risk by safety dojo. 
-Method : Review item to inspection Transfomer.
-Machine : Review &amp; Setting criteria for changing.
</t>
  </si>
  <si>
    <t>Associates drink and ride motorcycle and not wearing helmet</t>
  </si>
  <si>
    <t xml:space="preserve">Awareness : 
1. Special measure for drink group
2. Building culture friend warning friend
3. Management promote drink don't drive and wearing safety dress and helmet
4. Remind traffic safety punishment
Mornitoring :
1. Control travel of alcohol party
</t>
  </si>
  <si>
    <t>Dec.2025</t>
  </si>
  <si>
    <t xml:space="preserve">Associates ridded motorcycle into the hole and lost control at nearly motorway  </t>
  </si>
  <si>
    <t>Awareness : 
1. Remind defensive driving
Knowledge : 
1. Giving information about risk area around the company</t>
  </si>
  <si>
    <t>Associate rided motorcycle crash to Truck at Panutnikrom area</t>
  </si>
  <si>
    <t>Awareness : 
1. Watching VDO Impact from accident
2. KYT by themself about prevention accident 
Knowledge : 
1. Specialist traning course-Mitsui Sumitomo
2. Giving information Boost up by Mgnt.</t>
  </si>
  <si>
    <t>Feb.26</t>
  </si>
  <si>
    <r>
      <t xml:space="preserve">1.HRD is not sufficient in </t>
    </r>
    <r>
      <rPr>
        <b/>
        <u/>
        <sz val="11"/>
        <color rgb="FFFF0000"/>
        <rFont val="Meiryo"/>
        <family val="2"/>
      </rPr>
      <t>deep finding risk</t>
    </r>
    <r>
      <rPr>
        <sz val="11"/>
        <color theme="1" tint="0.14999847407452621"/>
        <rFont val="Meiryo"/>
        <family val="2"/>
      </rPr>
      <t xml:space="preserve"> (Knowledge &amp; Awareness).
2.Activities are not effective in identifying</t>
    </r>
    <r>
      <rPr>
        <b/>
        <u/>
        <sz val="11"/>
        <color rgb="FFFF0000"/>
        <rFont val="Meiryo"/>
        <family val="2"/>
      </rPr>
      <t xml:space="preserve"> hidden risks.</t>
    </r>
  </si>
  <si>
    <t>1.Level up Awareness &amp; Knowledge” For find out hidden risk
2.Improve activity to high performance of hidden risk</t>
  </si>
  <si>
    <t xml:space="preserve"> Motorcycle overlap in right side it blind spot and Company driver not comfirmation again</t>
  </si>
  <si>
    <t xml:space="preserve">1. Hazard perception training
2. Real voice feedback from Expat &amp; Associates
3. GPS Monitoring </t>
  </si>
  <si>
    <r>
      <t xml:space="preserve">1.Man : Authorized person </t>
    </r>
    <r>
      <rPr>
        <u/>
        <sz val="11"/>
        <color rgb="FFFF0000"/>
        <rFont val="Meiryo"/>
        <family val="2"/>
        <charset val="128"/>
      </rPr>
      <t>Not follow regulation</t>
    </r>
    <r>
      <rPr>
        <sz val="11"/>
        <color theme="1" tint="0.14999847407452621"/>
        <rFont val="Meiryo"/>
        <family val="2"/>
      </rPr>
      <t xml:space="preserve">
2.System : </t>
    </r>
    <r>
      <rPr>
        <u/>
        <sz val="11"/>
        <color rgb="FFFF0000"/>
        <rFont val="Meiryo"/>
        <family val="2"/>
        <charset val="128"/>
      </rPr>
      <t>Not have regulation</t>
    </r>
    <r>
      <rPr>
        <sz val="11"/>
        <color theme="1" tint="0.14999847407452621"/>
        <rFont val="Meiryo"/>
        <family val="2"/>
      </rPr>
      <t xml:space="preserve"> to specific the Type of truck in each operation.</t>
    </r>
  </si>
  <si>
    <t>1.Level up Awareness &amp; review role &amp; response of authorized person (Owner activity, Owner area &amp; Security guard) 
2.Establish the regulation (Type of truck – Operation – Area) by centralized control and reduce fragmented control</t>
  </si>
  <si>
    <t>≤3 case</t>
  </si>
  <si>
    <t>no</t>
  </si>
  <si>
    <t>Pump/M</t>
  </si>
  <si>
    <t>Pump/A</t>
  </si>
  <si>
    <t>INJ/M</t>
  </si>
  <si>
    <t>INJ/A</t>
  </si>
  <si>
    <t>Vavle</t>
  </si>
  <si>
    <t>SOL</t>
  </si>
  <si>
    <t>UC/M</t>
  </si>
  <si>
    <t>UC/A</t>
  </si>
  <si>
    <t>GDP</t>
  </si>
  <si>
    <t>SIFS/DF</t>
  </si>
  <si>
    <t>TIE</t>
  </si>
  <si>
    <t>WH</t>
  </si>
  <si>
    <t>MT</t>
  </si>
  <si>
    <t>QA&amp;QC</t>
  </si>
  <si>
    <t>ADM</t>
  </si>
  <si>
    <t>PE</t>
  </si>
  <si>
    <t>PC</t>
  </si>
  <si>
    <t>SPD</t>
  </si>
  <si>
    <t>8-High risk audit</t>
  </si>
  <si>
    <t>Claim</t>
  </si>
  <si>
    <t>Critical claim</t>
  </si>
  <si>
    <t>QA</t>
  </si>
  <si>
    <t>PD,PE, QC</t>
  </si>
  <si>
    <t>Market claim</t>
  </si>
  <si>
    <t>0-km claim (Official)</t>
  </si>
  <si>
    <t>0-km claim (All DN response)</t>
  </si>
  <si>
    <t>OGC claim</t>
  </si>
  <si>
    <t>HP3-Pipe Fuel : Contaminated inside, rust  (DMHU)
Root cause &amp; C/M are during investigate.</t>
  </si>
  <si>
    <t>N/A 
This problem is sorting before shipment</t>
  </si>
  <si>
    <t>"0"</t>
  </si>
  <si>
    <t>Apr'25</t>
  </si>
  <si>
    <t>Supplier NCR</t>
  </si>
  <si>
    <t>QC</t>
  </si>
  <si>
    <t>PD,PE, QA, PU</t>
  </si>
  <si>
    <t>1.Pipe has contaminate inside ID. (DMHU claim)</t>
  </si>
  <si>
    <t>Internal NCR</t>
  </si>
  <si>
    <t>PD,PE, QA</t>
  </si>
  <si>
    <t>Loss</t>
  </si>
  <si>
    <t>Cost of spoilage</t>
  </si>
  <si>
    <t>%</t>
  </si>
  <si>
    <t>PD</t>
  </si>
  <si>
    <t>PC,PE,QC</t>
  </si>
  <si>
    <t>MB</t>
  </si>
  <si>
    <t>Quality loss</t>
  </si>
  <si>
    <t>AC</t>
  </si>
  <si>
    <t>HP5E Fuel leak, Mitsubishi (Ukraine market) Case #2
Status: Waiting part return to SDM</t>
  </si>
  <si>
    <t>1.Case F/F Part has void
Cause : Found change point is new die and stop used
C/M : On going
KADAI :
1.Repair the mold by adding a 0.05 mm air vent.
2.Hold finished goods (FG): 7,600 pcs and single parts: 9,873 pcs.</t>
  </si>
  <si>
    <t>N/A 
Stop use new die (Cav5/6) may cause of air vent abnormal affect burn mark and viod inside (welding area)</t>
  </si>
  <si>
    <t>(Acc. AP vs Result ▲0.08%) 
Cost of spoilage  P/J On plan</t>
  </si>
  <si>
    <t>Acc. AP vs Result Save ▲4.67MB
May'25 (AP vs Result save ▲2.28MB)
Overall actual sale amount up 120% form AP sale amount</t>
  </si>
  <si>
    <t>HP5E Fuel leak, Mitsubishi  (Japan market)  Case #3, #6
Status: Waiting part return to SDM
HP5E Fuel leak, Mitsubishi  (Japan market)  Case #4, #5
Cause : Cylinder crack
C/M :
1.Use bore scope with video record function
2.Expand ID of material  Φ6.38=&gt;Φ6.38＋α
3.Add 100% current of processing torque detection (in machine)
4.Add flow sensor for each coolant nozzle 100％
5.Not only check but change to record coolant flow rate 1/shift
6.check hardness  (check burn) 1/shift</t>
  </si>
  <si>
    <t>On processing investigate with customer</t>
  </si>
  <si>
    <t>1. UC Pipe Step in ID
Cause : New operator insert part incomplete position.
C/M :
1.Re-training opretor for correct working operation and concern point.
2.Install sensor for detect position of part when put in jig.
2. UC Body abnormal black mark on OD
Cause : Accumulate oil stain in rail of Hole/Seat Grinding because no rail cleaning interval.
C/M : Add cleanning interval 1/W (Temporay) and monitor for set permanent interval.</t>
  </si>
  <si>
    <t xml:space="preserve">Nippo's problem increased, the emergency situation will announce and set up for KPI and activity from Jul'25
</t>
  </si>
  <si>
    <t>"0"
(after start action for Nippo)</t>
  </si>
  <si>
    <r>
      <t xml:space="preserve">1. UC Pipe Step in ID </t>
    </r>
    <r>
      <rPr>
        <i/>
        <sz val="11"/>
        <color theme="1" tint="0.249977111117893"/>
        <rFont val="Meiryo"/>
        <family val="2"/>
      </rPr>
      <t xml:space="preserve">(same issue of OGC problem)
</t>
    </r>
    <r>
      <rPr>
        <sz val="11"/>
        <color theme="1" tint="0.249977111117893"/>
        <rFont val="Meiryo"/>
        <family val="2"/>
      </rPr>
      <t>Cause : New operator insert part incomplete position.
C/M :
1.Re-training opretor for correct working operation and concern point.
2.Install sensor for detect position of part when put in jig.</t>
    </r>
  </si>
  <si>
    <t>­</t>
  </si>
  <si>
    <t>(Acc. AP vs Result ▲0.07%) 
Cost of spoilage  P/J On plan</t>
  </si>
  <si>
    <t>Acc. AP vs Result Save ▲5.47MB
Jun'25 (Target vs Result save ▲0.8MB)
Housing cutting, scrap part ‘’insurance claim’’ from problem part drop during transfer to process sorting Cap (+399.6 KB) but The expenses in case are related to insurance.</t>
  </si>
  <si>
    <t>G4.5Si Engine vibration [F/M SUJ2]
Cause : Cutting chip from solenoid stopper
C/M : Addition air blow for remove cutting chip remain</t>
  </si>
  <si>
    <t>During action for improvement.</t>
  </si>
  <si>
    <t>Same as 0km claim (Official)</t>
  </si>
  <si>
    <t>PE3</t>
  </si>
  <si>
    <t>(Acc. AP vs Result ▲0.06%) 
Cost of spoilage  P/J On plan</t>
  </si>
  <si>
    <t>Acc. AP vs Result Save ▲2.29MB
Jul'25 (Target vs Result save ▲1.5MB)</t>
  </si>
  <si>
    <t>HP5E Fuel leak, Mitsubishi (Brazil market) #9
Status: Waiting part return to SDM</t>
  </si>
  <si>
    <t>Furikaeri find out actual root cause</t>
  </si>
  <si>
    <t>No reoccurrence</t>
  </si>
  <si>
    <t>Dec'25</t>
  </si>
  <si>
    <t>G4.5Si for STM Engine rough idle NG [F/M DSUS70DH]
Cause: Cutting chip from Orifice , flow out from washing cannot remove, visual check cannot detect
C/M : Improve visual check ability, pin shape change</t>
  </si>
  <si>
    <t>Ibutsu elimination activity</t>
  </si>
  <si>
    <t>Reduce 50%</t>
  </si>
  <si>
    <t>Nov'25</t>
  </si>
  <si>
    <t>1.HP5S for TIEI Black cap missing
Cause: Risk point from handling for repacking process
C/M : Visual check cap in paper box 
2.G4.5Si for STM Engine rough idle NG [F/M DSUS70DH]
Cause: Cutting chip from Orifice , flow out from washing cannot remove, visual check cannot detect
C/M : Improve visual check ability, pin shape change</t>
  </si>
  <si>
    <t>UC Pipe Outer Diameter NG
Cause: Unclear root cause
C/M: Add check go no go gate to protection flow out</t>
  </si>
  <si>
    <t>Nippo's problem increased, the emergency situation will announce and set up for KPI and activity from Jul'25</t>
  </si>
  <si>
    <t>"0"
(after start action for Nippo)</t>
  </si>
  <si>
    <t xml:space="preserve">1.Screen tear
Cause : Mold repair improper effect to sharp curve occured 
C/M : 1.Mention mold repair method &amp; inspection mold std.
2.Revise appearance inspection method
2.Pipe OD. deformation &amp; has dent (Same as OGCs claim.) ==&gt; This case high risk also from DNHA.
Cause : Simulation test risk process at SAMCO, result not same as claim part, and
Temporary : Supplier 100% apperance check 
3.Inlet pipe discoloration and peel off 
Casue : Hight voltage from part setting (clearance part &amp;Jig)  effect to Cr coating ability.
Temporary : Supplier 100% apperance check </t>
  </si>
  <si>
    <t xml:space="preserve">NIPPO : Emergency improvement activity </t>
  </si>
  <si>
    <t>(Acc. AP vs Result ▲0.04%) 
Cost of spoilage  P/J On plan</t>
  </si>
  <si>
    <t>Company  Acc. AP vs Result Save ▲1.05MB
Monthly (AP vs Result Over +1.24MB)
GDP  (Target  1.9MB / Act. 3.9MB/ Over +2.0MB) Postpone Aug'25 to Sep'25 (+0.8MB) Expense Acc. Save -5.68MB
Irregular NG INS ,P/L NG Target 0.07% /Act.0.44% / Diff +0.37% /NG 763pcs / Re-Occure form Mat’l DNTH L.602  Runout CPK &lt;1.33  C/M : PI separate M/C L.602 Control lot to PD double grinding process relief seat (Result P/L Act.0.07%) / Start Aug'25 to Current Sep'25 ( Root cause analysis  on process DNTH &amp; SQA) 
C/M : Q-Loss company progressive monthly
INJ G4/G4.5 (Over+0.15MB) [One-time] Expense Acc. save -14.8MB
 -INJ G4.5 I-Art Problem : 0-Km Claim engine rough idle NG from STM 
Cause : F/M in orifice hole DSUS70DH
Temporary action : Re-screening F/G form W/H 22,092 pcs /GI NG 40 pcs (NG all point)
C/M : Q-Loss company progressive monthly</t>
  </si>
  <si>
    <t>1. DMNS - UC Pipe leak at air tightness check in Assy line
Cause: Found blow hole and disassembly check not found contamination, So During investigate by simulation test for finding which condition can take blow hole (Target : E/Oct)
C/M: To be discussed after investigation
2. DMHU - Pipe Dimension or bending error [Supplier]
Cause: Under investigation (Wait NG part return, estimate to receive parts by this week)
C/M: To be discussed after investigation.</t>
  </si>
  <si>
    <t>(1)
N/A
(2)
N/A</t>
  </si>
  <si>
    <t>(1)
"0"
(2)
"0"</t>
  </si>
  <si>
    <t>(1)
-
(2)
-</t>
  </si>
  <si>
    <t>Acc. AP/Result ▲0.03%
Monthly Over +0.01%</t>
  </si>
  <si>
    <t>Monthly (AP vs Result Over +0.32MB)
1) GDP NG Month Sep'25 (+1.01MB)
 - NG INS ,P/L  (+0.82MB) No Plan irregular NG
The issue has continued since Aug'25, Problem: The defect reoccurred due to material from DNTH, specifically from machine L.602 /Root Cause: The bearing in the block insert was broken.
 - NG Blow hole (+0.19MB) Plan 0.23%/ Act. 0.17% Cause : Material model SUBARU Lot seat upper small &lt;27.660 (STD 27.640-27.680)
2) UC Machine (+1.05MB) No Plan irregular NG
 - Line Pipe Pase4 over target 1.0% result 1.5% ID &amp; OD Cutting NG
 - Line Pipe Scrap part hold Air leak can’t re-check NG up 0% to 0.25%
 - Line Body  2QA jude. Scrap data Angle seat NG 1.4%
 - Line NDF 2QA jude. Scrap data  DSR Seat Roundness NG 1.1%</t>
  </si>
  <si>
    <t xml:space="preserve">1) GDP NG INS ,P/L (Total +3.2MB/ Sep'25-Aug'25)
 1.1) Corrective Action NG P/L : DNTH has implemented a corrective action by changing to a new bearing for the block insert and introducing a new lot control process for SDM. As a result, the new lot shows a defect rate of 0.02%, which is well within the standard limit of &lt; 0.07%, and consistent with the current performance.
 1.2) Permanace Action P/L NG : DNTH has issued a change in the PCR process design. The new approach separates the tool for rough operations at OP600T8 and adds a new tool at OP700T8. This aims to improve the quality of items by reducing taper run-out at 80°. /SOP : Line 1, 2, 3, and 4 (Starting Dec'25)
 1.3) Corrective Action NG Blow hole seat upper : FUKAJU supplier increase cutting 7-10 µm and changing lot control to SDM current NG Act. 0.12% / Plan 0.23%
2) UC Machine (Forecast over +0.3MB/Month)
 1. Line Pipe (Pase4) / Problem : cutting NG       
          1.Control tool life Tool Reamer PE investigation with DNJP ,Re process window Tooling (SOP Jan'26)
          2.Add Air blow clean tool clear kiriko stuck tool (SOP Dec'25)
 2. Line Pipe Problem : Blow hole NG from MC over judgement 0.25% --&gt;0% Action :
          1.Level up master leak same claim part set master MC auto judgement &amp; detection (SOP Nov'25)
          2.Add dripping process : bouble leak support recheck Air leak NG /Process out line (SOP Dec'25)
          3.Temp. Control Seal tool life 50% from Seal wearing reduce Jig leak NG (SOP Aug'25)
 3. Line Body, Problem : Seat F/N 3 axis data roundness &amp; angle shape NG / Action : 
          1.Improve grinding amount by change Dresser new type same MC 2 Axis 
          2.Change condition grinding by project reborn activity PE project (SOP Jun'26) 
 4. Line NDF, Problem : DSR Seat Roundness NG  / Action : 
          1.Investigation Needle OD roundness NG after process supplier S&amp;P with SQA,PE,PD Team (Nov'25)
         </t>
  </si>
  <si>
    <t>N/A</t>
  </si>
  <si>
    <t>MEC G3S Engine vibration [Fe]
Cause: F/M Fe occur from solenoid stator
During investigate to consider ultrasonic washing
Immediantly action : (SDM Inspection line) Add screening 1 cycle at running process on 6-Nov-25</t>
  </si>
  <si>
    <t>Ibutsu elimination activity &amp; Daily corporate meeting for this issue between SDM/SKD</t>
  </si>
  <si>
    <t xml:space="preserve">DN Service dealer: G3 orifice Incorrect Orifice P/N supply to customer
Cause: PC mistake input information in production plan &amp; no process can detect this problem (no item check)
C/M: 1. PC change from manual to auto input (link with master list)
           2. PD add item check correctness of Part no. on KANBAN &amp; Marking on actual product
</t>
  </si>
  <si>
    <t>Acc. AP/Result ▲0.02%
Monthly Over +0.02%</t>
  </si>
  <si>
    <t>Overall Monthly over 0.45MB (Result  vs AP): Mainly from gasoline product 
1)Found Quality issue of GDP form Daily 2QA [New items : Ikkodemo Rank A]
    1.1)Found bubble leak and melt at C/D welding area abnormal (Model MAZDA)
          Root cause: Protection lens of laser head has foggy (1st time) effect welding abnormal
          C/M: Scope lot sorting 100% and QA Judge scrap abnormal high risk 473 pcs(+0.98MB) and Review,   
          Revise PM items with FTA for early detection before found problem with MTN and PE</t>
  </si>
  <si>
    <t>1) Overall benchmark with JP for worst 5 items of each product. To Finding and Copy idea to countermeasure NG in SDM and SKD..(GM up &amp; JP expat)
2) Cooperlation NG reduction with PE3 &amp; Supplier: Ex.: GDP product in case seat upper blow hole of model Honda and Subaru (Wrost 2nd). To clearing control spec with FUKUJU now trail test estimate result can saveing about 0.3MB/M. Waiting QA notice..(PE3).</t>
  </si>
  <si>
    <t>0.3MB/M</t>
  </si>
  <si>
    <t>G2&amp;G3 Target 0.098  MB Result 1.35 MB Over Plan  1.24 MB
GDP Target 0 MB result 0.52 MB Over plan 0.52 MB
HP5E Target 0 MB    Result 0.44 MB  Over plan  0.44 MB
G4 Target 1.78 MB result 2.17 MB Over plan 0.39 MB</t>
  </si>
  <si>
    <t>TMT INJ G4.5Si Engine vibration [F/M Zn]
Cause: Estimate occur from edge of chute roller and attached to part during handling (lift over)
C/M:
1) Revise operation manual to emphasize operator about pallet pick up sequence to prevent F/M drop into part
2) Emphasize operator and revise operation manual to avoid operator touching on overflow at inspection process</t>
  </si>
  <si>
    <t>1. TMT INJ G4.5Si Engine vibration [F/M Zn]
Same as 0-km claim (official)
2. STM INJ G4.5Si  Overflow cap stuck inside connector
Cause: Under investigation root cause
C/M:
1) Flip plug connector down before visual check to protect overflow cap stuck in plug connector.
2) Under consider furthermore improvement Pokayoke.</t>
  </si>
  <si>
    <t>1. DMHU SCV Air leak failure
Cause: Blowhole on part but Air leak and Visual check cannot detect
C/M: (1) Air leak : Improve leak m/c accuracy by re-calibrate with mass cylinder &amp; adjust upper limit
           (2) Visual check : Improve method from Magnify to HD camery
2. DMNS found UC Nozzle body wrong model
Cause: Underinvestigate (Possible risk from wrong full fill nozzle plate) 
C/M:
1.Improve interlock linkage nozzle plate packaging before full fill plate
2.Installation camera detection nozzle body before shipout</t>
  </si>
  <si>
    <t>Case 1
N/A
Case 2
N/A</t>
  </si>
  <si>
    <t>Case 1
No recurrence
Case 2
"0"</t>
  </si>
  <si>
    <t>Case 1
Dec'25
Case 2
Jun'26</t>
  </si>
  <si>
    <t>1.Internal NCR : Plate Orifice angle of diameter 0.5 NG.</t>
  </si>
  <si>
    <t>KSTH : Supply Chain Quality Improvement Activity.</t>
  </si>
  <si>
    <t>Overall Monthly Save ▲0.08%
Acc. AP/ Result ▲0.03%
Forecast Acc.  Save ▲0.028% (Apr'25 -Mar'26)</t>
  </si>
  <si>
    <t>Result  Acc. AP&amp;RP+Forecast Result 4M Save ▲0.028% (Apr'25 -Mar'26)</t>
  </si>
  <si>
    <t>Forecast 4Month ▲0.028% (Dec'25-Mar'26)</t>
  </si>
  <si>
    <t>Overall Monthly Save ▲2.21MB
Acc. AP/ Result ▲1.49MB
Forecast Acc.  Save ▲3.9MB (Apr'25 -Mar'26)</t>
  </si>
  <si>
    <t>1) Original Plan/Result, Pile up plan/result Acc. AP&amp;RP +Forecast 4M Save ▲3.9MB (Apr'25 -Mar'26)
2) Overall benchmark with JP for worst  5 items of each product.
 -Product INJ G4 benchmark 5 Item /Product INJ G2G3 benchmark 15 Item
 -Other product Pump,UC,GDP not matching item NG with DNJP</t>
  </si>
  <si>
    <t>Forecast 4Month ▲1.69MB (Dec'25-Mar'26)</t>
  </si>
  <si>
    <t>G4 Target 0.82 MB  Result 2.66 MB  Over plan  1.84 MB
G2&amp;G3 Target 0.098  MB Result 1.74 MB Over Plan  1.65 MB
HP5E Target 0 MB result 0.46 MB Over plan 0.46 MB</t>
  </si>
  <si>
    <t>1. DMHU found Rail Chip and burr in M10
Cause : During investigation by  BPE &amp; supplier (Siam NDK)
2. DNHA found UC Body air leak NG
Cause : During investigation</t>
  </si>
  <si>
    <t>Case 1
1. Change inspection method from naked eye to magnify 5X
Case 2
During investigation</t>
  </si>
  <si>
    <t>Case 1
"0"
Case 2
"0"</t>
  </si>
  <si>
    <t>Case 1
Dec'25
Case 2
Dec'25</t>
  </si>
  <si>
    <r>
      <t xml:space="preserve">1. DMHU found Rail Chip and burr in M10
Cause : During investigation by  BPE &amp; supplier (Siam NDK)
C/M : Visual check : Change inspection method from naked eye to magnify 5X
</t>
    </r>
    <r>
      <rPr>
        <sz val="6"/>
        <color theme="1" tint="0.249977111117893"/>
        <rFont val="Meiryo"/>
        <family val="2"/>
      </rPr>
      <t xml:space="preserve">
</t>
    </r>
    <r>
      <rPr>
        <sz val="11"/>
        <color theme="1" tint="0.249977111117893"/>
        <rFont val="Meiryo"/>
        <family val="2"/>
      </rPr>
      <t>2. SDM found lower body crack surface OD.
Cause : During investigation with DIAT MED, DNJP. Potential risk process is forging, under simulation CAE and actual simulation test by 23 Jan'26
C/M : Temporary action : 100% crack check through process.</t>
    </r>
  </si>
  <si>
    <t>1.Change inspection method (nake eye to magnify 5X)
2.100% inspection crack (through process)</t>
  </si>
  <si>
    <t>Case 1
Jan'26
Case 2
Jan'26</t>
  </si>
  <si>
    <t>Monthly Save ▲0.11%
Acc. AP/ Result ▲0.04%
Cost of spoilage P/J on plan</t>
  </si>
  <si>
    <t>Forecast Acc.  Save ▲0.034% (Apr'25 -Mar'26)</t>
  </si>
  <si>
    <t>Monthly Save ▲1.72MB
Acc. AP/ Result ▲4.36MB</t>
  </si>
  <si>
    <t>Forecast Acc.  Save ▲5.9MB (Apr'25 -Mar'26)</t>
  </si>
  <si>
    <t>HP5E : Target  0.46 Result 2.12 Diff. 2.12 MB
Problem: Pre-hole NG (1.58 MB)/Leakage(Cylinder crack) 0.53 MB
G4 : Target  0.82 Result 2.34 Diff. 1.52 MB
Problem: Remain Kiriko in Orifice hole(DSUS70DH in blind hole) 1.14 MB /Problem : Orifice out hole not circle 0.58 MB
SOL : Target  0 Result 0.56 Diff. 0.56 MB
Material Kake/Su 0.38 MB/Material NG Coercive force high 0.18 MB</t>
  </si>
  <si>
    <r>
      <rPr>
        <b/>
        <sz val="11"/>
        <color theme="1" tint="0.249977111117893"/>
        <rFont val="Meiryo"/>
        <family val="2"/>
        <charset val="128"/>
      </rPr>
      <t>1. STM G4.5Si Engine vibration [F/M SUS304]</t>
    </r>
    <r>
      <rPr>
        <sz val="11"/>
        <color theme="1" tint="0.249977111117893"/>
        <rFont val="Meiryo"/>
        <family val="2"/>
      </rPr>
      <t xml:space="preserve">
</t>
    </r>
    <r>
      <rPr>
        <b/>
        <sz val="11"/>
        <color theme="1" tint="0.249977111117893"/>
        <rFont val="Meiryo"/>
        <family val="2"/>
        <charset val="128"/>
      </rPr>
      <t xml:space="preserve">Cause : </t>
    </r>
    <r>
      <rPr>
        <sz val="11"/>
        <color theme="1" tint="0.249977111117893"/>
        <rFont val="Meiryo"/>
        <family val="2"/>
        <charset val="128"/>
      </rPr>
      <t>F/M SUS304, clip</t>
    </r>
    <r>
      <rPr>
        <sz val="11"/>
        <color theme="1" tint="0.249977111117893"/>
        <rFont val="Meiryo"/>
        <family val="2"/>
      </rPr>
      <t xml:space="preserve"> (SUS304) worn out when insert to magazine and then drop to shim spacer part.
</t>
    </r>
    <r>
      <rPr>
        <b/>
        <sz val="11"/>
        <color theme="1" tint="0.249977111117893"/>
        <rFont val="Meiryo"/>
        <family val="2"/>
        <charset val="128"/>
      </rPr>
      <t xml:space="preserve">C/M : </t>
    </r>
    <r>
      <rPr>
        <sz val="11"/>
        <color theme="1" tint="0.249977111117893"/>
        <rFont val="Meiryo"/>
        <family val="2"/>
        <charset val="128"/>
      </rPr>
      <t>Process improvement and enhance Ibutsu elimination activity to achieve zero F/M flow out to customer witnin FY26 (customer expectation).</t>
    </r>
  </si>
  <si>
    <t>0 km claim main from INJ  F/M issue and 80% reoccurence.
F/M issues : Focusing remains on preventing outflow and applying possible C/M rather than eliminate actual F/M sources.
During analysis FY25 Kadai and set quality improvement plan for FY26.</t>
  </si>
  <si>
    <t>Not achieve target.
Forecast   total = 5 cases
(FY25 SDM target = 4 cases)</t>
  </si>
  <si>
    <t>Within FY26</t>
  </si>
  <si>
    <r>
      <rPr>
        <sz val="11"/>
        <color rgb="FF404040"/>
        <rFont val="Meiryo"/>
        <family val="2"/>
        <charset val="128"/>
      </rPr>
      <t xml:space="preserve">1. Same as above.
</t>
    </r>
    <r>
      <rPr>
        <b/>
        <sz val="11"/>
        <color rgb="FF404040"/>
        <rFont val="Meiryo"/>
        <family val="2"/>
        <charset val="128"/>
      </rPr>
      <t xml:space="preserve">2. Mazda GD-P3SH Leak NG at cold tester
</t>
    </r>
    <r>
      <rPr>
        <sz val="11"/>
        <color rgb="FF404040"/>
        <rFont val="Meiryo"/>
        <family val="2"/>
        <charset val="128"/>
      </rPr>
      <t xml:space="preserve">Cause : Delivery OD NG (Has step) due to position of work and GW is slip
C/M : Revise STD of verify OD delivery all sliding area &amp; Create  master to confirm GW setting
</t>
    </r>
    <r>
      <rPr>
        <b/>
        <sz val="11"/>
        <color rgb="FF404040"/>
        <rFont val="Meiryo"/>
        <family val="2"/>
        <charset val="128"/>
      </rPr>
      <t>3. TIEI HP5S Engine cannot start (F/M Al)</t>
    </r>
  </si>
  <si>
    <t>Same above.</t>
  </si>
  <si>
    <t xml:space="preserve">Not achieve target.
Forecast   total = 11 cases
(FY25 SDM target = 9 cases)
</t>
  </si>
  <si>
    <r>
      <t xml:space="preserve">1. DMHU found HP3 Pipe discoloration
</t>
    </r>
    <r>
      <rPr>
        <sz val="11"/>
        <color theme="1" tint="0.249977111117893"/>
        <rFont val="Meiryo"/>
        <family val="2"/>
      </rPr>
      <t xml:space="preserve">Cause : Unclear (but this lot is before supplier improve part dry process)
C/M:     Supplier improve part dry process
</t>
    </r>
    <r>
      <rPr>
        <b/>
        <sz val="11"/>
        <color theme="1" tint="0.249977111117893"/>
        <rFont val="Meiryo"/>
        <family val="2"/>
      </rPr>
      <t xml:space="preserve">2. DMHU found G4S Terminal S/A vacuum packaging error
</t>
    </r>
    <r>
      <rPr>
        <sz val="11"/>
        <color theme="1" tint="0.249977111117893"/>
        <rFont val="Meiryo"/>
        <family val="2"/>
      </rPr>
      <t xml:space="preserve">Cause : No STD to confirm packaging condition after vacuum
C/M:     Fix position of vacuum nozzle &amp; vacuum pressure + Add STD check PKG appearance
</t>
    </r>
    <r>
      <rPr>
        <b/>
        <sz val="11"/>
        <color theme="1" tint="0.249977111117893"/>
        <rFont val="Meiryo"/>
        <family val="2"/>
      </rPr>
      <t xml:space="preserve">3. DNHA found UC Air leak NG (UC Nozzle body no welding)
</t>
    </r>
    <r>
      <rPr>
        <sz val="11"/>
        <color theme="1" tint="0.249977111117893"/>
        <rFont val="Meiryo"/>
        <family val="2"/>
      </rPr>
      <t xml:space="preserve">Cause : Under investigation.
</t>
    </r>
    <r>
      <rPr>
        <b/>
        <sz val="11"/>
        <color theme="1" tint="0.249977111117893"/>
        <rFont val="Meiryo"/>
        <family val="2"/>
      </rPr>
      <t xml:space="preserve">4. DMHU found G4 Solenoid resistance lower spec
</t>
    </r>
    <r>
      <rPr>
        <sz val="11"/>
        <color theme="1" tint="0.249977111117893"/>
        <rFont val="Meiryo"/>
        <family val="2"/>
      </rPr>
      <t xml:space="preserve">Cause : Over current supply (found coil &amp; resin burn), under confirm FTA (DENSO &amp; Customer process)
</t>
    </r>
    <r>
      <rPr>
        <b/>
        <sz val="11"/>
        <color theme="1" tint="0.249977111117893"/>
        <rFont val="Meiryo"/>
        <family val="2"/>
      </rPr>
      <t xml:space="preserve">5. DMHU found G4S Plate control thickness lower
</t>
    </r>
    <r>
      <rPr>
        <sz val="11"/>
        <color theme="1" tint="0.249977111117893"/>
        <rFont val="Meiryo"/>
        <family val="2"/>
      </rPr>
      <t xml:space="preserve">Cause : Abnormal handling mistake (Grinding stone runout over spec)
C/M:     Request DMHU to support sorting suspected lot
           (Already change point check of tool runout confirmation in Oct'25) </t>
    </r>
  </si>
  <si>
    <r>
      <t xml:space="preserve">Main problem from Biz. Partner pass -through process and inhouse process.
For Biz. Partner, </t>
    </r>
    <r>
      <rPr>
        <u/>
        <sz val="11"/>
        <color rgb="FF404040"/>
        <rFont val="Meiryo"/>
        <family val="2"/>
      </rPr>
      <t xml:space="preserve">did not improvement for </t>
    </r>
    <r>
      <rPr>
        <b/>
        <u/>
        <sz val="11"/>
        <color rgb="FFFF0000"/>
        <rFont val="Meiryo"/>
        <family val="2"/>
      </rPr>
      <t>part through</t>
    </r>
    <r>
      <rPr>
        <sz val="11"/>
        <color rgb="FF404040"/>
        <rFont val="Meiryo"/>
        <family val="2"/>
      </rPr>
      <t xml:space="preserve"> quality assurance at Biz. partner.
For inhouse process:  Main from</t>
    </r>
    <r>
      <rPr>
        <b/>
        <sz val="11"/>
        <color rgb="FF404040"/>
        <rFont val="Meiryo"/>
        <family val="2"/>
      </rPr>
      <t xml:space="preserve"> </t>
    </r>
    <r>
      <rPr>
        <b/>
        <u/>
        <sz val="11"/>
        <color rgb="FFFF0000"/>
        <rFont val="Meiryo"/>
        <family val="2"/>
      </rPr>
      <t>leak problem</t>
    </r>
    <r>
      <rPr>
        <sz val="11"/>
        <color rgb="FF404040"/>
        <rFont val="Meiryo"/>
        <family val="2"/>
      </rPr>
      <t xml:space="preserve">, lack of effective C/M.
</t>
    </r>
    <r>
      <rPr>
        <b/>
        <sz val="12"/>
        <color rgb="FF404040"/>
        <rFont val="Meiryo"/>
        <family val="2"/>
      </rPr>
      <t xml:space="preserve">During analysis FY25 Kadai and set </t>
    </r>
    <r>
      <rPr>
        <b/>
        <u/>
        <sz val="12"/>
        <color rgb="FFFF0000"/>
        <rFont val="Meiryo"/>
        <family val="2"/>
      </rPr>
      <t>quality improvement plan for FY26.</t>
    </r>
  </si>
  <si>
    <t xml:space="preserve">Not achieve target.
Forecast   total =  17 cases
(FY25 target = 6 cases)
</t>
  </si>
  <si>
    <r>
      <rPr>
        <b/>
        <sz val="11"/>
        <color theme="1" tint="0.249977111117893"/>
        <rFont val="Meiryo"/>
        <family val="2"/>
        <charset val="128"/>
      </rPr>
      <t xml:space="preserve">1. DMHU found HP3 Pipe discoloration
</t>
    </r>
    <r>
      <rPr>
        <sz val="11"/>
        <color theme="1" tint="0.249977111117893"/>
        <rFont val="Meiryo"/>
        <family val="2"/>
        <charset val="128"/>
      </rPr>
      <t xml:space="preserve">Cause: Unclear (but this lot is before supplier improve part dry process)
</t>
    </r>
    <r>
      <rPr>
        <b/>
        <sz val="11"/>
        <color theme="1" tint="0.249977111117893"/>
        <rFont val="Meiryo"/>
        <family val="2"/>
        <charset val="128"/>
      </rPr>
      <t xml:space="preserve">2.Plate Orifice depth 0.905 over spec
</t>
    </r>
    <r>
      <rPr>
        <sz val="11"/>
        <color theme="1" tint="0.249977111117893"/>
        <rFont val="Meiryo"/>
        <family val="2"/>
        <charset val="128"/>
      </rPr>
      <t xml:space="preserve">Cause: Loosen retainer to lock part and jig.
Flow out : Machine alarm, irregular management.
</t>
    </r>
    <r>
      <rPr>
        <b/>
        <sz val="11"/>
        <color theme="1" tint="0.249977111117893"/>
        <rFont val="Meiryo"/>
        <family val="2"/>
        <charset val="128"/>
      </rPr>
      <t xml:space="preserve">3.Plate Orifice angle 78 lower spec.
</t>
    </r>
    <r>
      <rPr>
        <sz val="11"/>
        <color theme="1" tint="0.249977111117893"/>
        <rFont val="Meiryo"/>
        <family val="2"/>
        <charset val="128"/>
      </rPr>
      <t xml:space="preserve">Cause: Reduce air cut impact to center drill miss alignment.
</t>
    </r>
  </si>
  <si>
    <t>For OGC part under considering with Top management.
KSTH : Emergency activity kick off begin of Feb'26
1. DMHU found HP3 Pipe discoloration
C/M: Supplier improve part dry process
2.Plate Orifice depth 0.905 over spec
C/M : Daily check jig &amp; retainer condition.
3.Plate Orifice angle 78 lower spec.
C/M : Additon ball end mill and drill to control angle positioning.</t>
  </si>
  <si>
    <t>Not achieve target.
Forecast    total =  15 cases
(FY25 target = 6 cases)</t>
  </si>
  <si>
    <t>Cannot recovery</t>
  </si>
  <si>
    <t>1. INJ G4 Missing Bar Filter at Inlet hole
Lacking point: ​NG management.​
  NG Part was mixed &amp; return mistake process</t>
  </si>
  <si>
    <t>Review outline operation and emphasize associate to operate follow the rule.</t>
  </si>
  <si>
    <t>Forecast  total =  2 cases
(FY25 target = 5 cases)</t>
  </si>
  <si>
    <r>
      <t xml:space="preserve">Monthly Save ▲0.05%    Acc. AP/ Result ▲0.04%
</t>
    </r>
    <r>
      <rPr>
        <sz val="6"/>
        <color theme="1" tint="0.249977111117893"/>
        <rFont val="Meiryo"/>
        <family val="2"/>
      </rPr>
      <t xml:space="preserve">
</t>
    </r>
    <r>
      <rPr>
        <sz val="11"/>
        <color theme="1" tint="0.249977111117893"/>
        <rFont val="Meiryo"/>
        <family val="2"/>
      </rPr>
      <t xml:space="preserve">Cost of spoilage P/J </t>
    </r>
    <r>
      <rPr>
        <b/>
        <u/>
        <sz val="11"/>
        <color theme="1" tint="0.249977111117893"/>
        <rFont val="Meiryo"/>
        <family val="2"/>
      </rPr>
      <t>on plan</t>
    </r>
    <r>
      <rPr>
        <sz val="11"/>
        <color theme="1" tint="0.249977111117893"/>
        <rFont val="Meiryo"/>
        <family val="2"/>
      </rPr>
      <t xml:space="preserve">
</t>
    </r>
    <r>
      <rPr>
        <sz val="6"/>
        <color theme="1" tint="0.249977111117893"/>
        <rFont val="Meiryo"/>
        <family val="2"/>
      </rPr>
      <t xml:space="preserve">
</t>
    </r>
    <r>
      <rPr>
        <sz val="11"/>
        <color theme="1" tint="0.249977111117893"/>
        <rFont val="Meiryo"/>
        <family val="2"/>
      </rPr>
      <t>Remain KADAI : 
GDP [Plan 1.4MB/Act. 2.79MB/Diff+1.29MB] problem P/L NG 797pcs  [Plan 0.24%/Act 0.93%/Diff +0.69%] over +1.15MB from 
1) Occure material DNTH cutting 601 run-out NG forecast end of Mar'26 (Forecast Feb'26-Mar'26 Over +2.6MB) 
2) Occure in SDM process Relief seat grd. CPK 1.33 improvement M/C &amp; Jig accuracy</t>
    </r>
  </si>
  <si>
    <r>
      <t xml:space="preserve">GDP problem P/L NG situation action plan (Material &amp; Machine)
1.(PE3/BPE) DNTH combine process cutting PCR issue start cutting line 602 (1st lot control to SDM Mar'26) and extend cutting line 601,603,604 Plan end of Mar'26 (On process)
</t>
    </r>
    <r>
      <rPr>
        <sz val="6"/>
        <color theme="1" tint="0.249977111117893"/>
        <rFont val="Meiryo"/>
        <family val="2"/>
      </rPr>
      <t xml:space="preserve">
</t>
    </r>
    <r>
      <rPr>
        <sz val="11"/>
        <color theme="1" tint="0.249977111117893"/>
        <rFont val="Meiryo"/>
        <family val="2"/>
      </rPr>
      <t xml:space="preserve">2.PE2&amp;PD Process capability M/C Relief seat grinding CPK &gt;1.33 (On process)
</t>
    </r>
    <r>
      <rPr>
        <sz val="6"/>
        <color theme="1" tint="0.249977111117893"/>
        <rFont val="Meiryo"/>
        <family val="2"/>
      </rPr>
      <t xml:space="preserve">
</t>
    </r>
    <r>
      <rPr>
        <sz val="11"/>
        <color theme="1" tint="0.249977111117893"/>
        <rFont val="Meiryo"/>
        <family val="2"/>
      </rPr>
      <t>3.PE2&amp;PD next plan reamain KADAI condition grinding (On process)
     -Improve condition grinding machine run-out of material variation (On process)
     -Improve accuracy of jig support work process relief seat gr. (On process)</t>
    </r>
  </si>
  <si>
    <t>Forecast Acc.  Save ▲0.032% (Apr'25 -Mar'26)</t>
  </si>
  <si>
    <t>Monthly Save ▲1.36MB
Acc. AP/ Result ▲5.57MB</t>
  </si>
  <si>
    <t>Forecast Acc.  Save ▲8.3MB (Apr'25 -Mar'26)</t>
  </si>
  <si>
    <t>Problem close increasing from last month = 9 items.
New issue in Jan'26 = 9 items., no loss cost.
Remaining issue cannot action until root cause C/M.
Kadai : Almost unique problem of SDM/SKD 
Approach : Expands engineering ability for improvement by re-process &amp; design</t>
  </si>
  <si>
    <t>Priority  and set action  plan for overall quality loss (Q-loss &amp; COS) in company in FY26. And strengthen ability of plan and actual control.
(As explained in quality pillar)</t>
  </si>
  <si>
    <t>Not achieve target.
Forecast   = 178.5 MB</t>
  </si>
  <si>
    <r>
      <rPr>
        <b/>
        <sz val="11"/>
        <color rgb="FF404040"/>
        <rFont val="Meiryo"/>
        <family val="2"/>
        <charset val="128"/>
      </rPr>
      <t xml:space="preserve">1. STM HP5S Engine cannot start (F/M Glue)
</t>
    </r>
    <r>
      <rPr>
        <sz val="11"/>
        <color rgb="FF404040"/>
        <rFont val="Meiryo"/>
        <family val="2"/>
        <charset val="128"/>
      </rPr>
      <t xml:space="preserve">Cause: Glue from jig ball air leak test at cylinder grinding process
</t>
    </r>
  </si>
  <si>
    <t>C/M: 
1) Change new jig design for prevent glue split.				[Eff. Date : 10 Feb’26]
2) Add split glue removal procedure for ball jig.  				[Eff. Date : 4 Feb’26]
Overall : Improve initial response and upstream Kaizen in FY26.</t>
  </si>
  <si>
    <t>Achieve target.
Forecast total = 4 cases
(FY25 SDM target = 4 cases)</t>
  </si>
  <si>
    <t>Not achieve target.
Forecast total = 11 cases
(FY25 SDM target = 9 cases)</t>
  </si>
  <si>
    <r>
      <rPr>
        <b/>
        <sz val="11"/>
        <color rgb="FF404040"/>
        <rFont val="Meiryo"/>
        <family val="2"/>
        <charset val="128"/>
      </rPr>
      <t xml:space="preserve">1. DMHU Plug rail Coating peeling
</t>
    </r>
    <r>
      <rPr>
        <sz val="11"/>
        <color rgb="FF404040"/>
        <rFont val="Meiryo"/>
        <family val="2"/>
        <charset val="128"/>
      </rPr>
      <t xml:space="preserve">Cause: Under invesitgate with supplier &amp; DIAT
</t>
    </r>
  </si>
  <si>
    <t>C/M: (Temporary) 200% inspection part at supplier before delivery
Overall : Improve initial response and upstream Kaizen in FY26.</t>
  </si>
  <si>
    <t xml:space="preserve">Not achieve target.
Forecast total =  17 cases
(FY25 target = 6 cases)
</t>
  </si>
  <si>
    <t xml:space="preserve">1. DMHU Plug rail Coating peeling
Cause: Under invesitgate with supplier &amp; DIAT
2. G3S Inlet connector missing ball
Cause: Under investigation
</t>
  </si>
  <si>
    <t>C/M: (Temporary) 200% inspection part at supplier before delivery
C/M: (Temporary) 100% Pin gauge check Go-NoGo at STC before delivery to SDM.</t>
  </si>
  <si>
    <t>Not achieve target.
Forcast total = 16 cases
(FY25 target = 6 cases)</t>
  </si>
  <si>
    <t xml:space="preserve">1. Rail Cap pipe fuel return Broken
Cause: Under invesitgation
2. G3S Inlet connector missing ball
Cause: Under investigation
</t>
  </si>
  <si>
    <t>C/M: Under invesitgation
C/M: (Temporary) 100% Pin gauge check Go-NoGo at STC before delivery to SDM.</t>
  </si>
  <si>
    <t>Forecast total =  3 cases
(FY25 target = 5 cases)</t>
  </si>
  <si>
    <r>
      <t>Monthly Over +0.02%    Acc. AP/ Result ▲0.03%
Cost of spoilage P/J</t>
    </r>
    <r>
      <rPr>
        <b/>
        <sz val="11"/>
        <color theme="1" tint="0.249977111117893"/>
        <rFont val="Meiryo"/>
        <family val="2"/>
      </rPr>
      <t xml:space="preserve"> </t>
    </r>
    <r>
      <rPr>
        <b/>
        <u/>
        <sz val="11"/>
        <color theme="1" tint="0.249977111117893"/>
        <rFont val="Meiryo"/>
        <family val="2"/>
      </rPr>
      <t xml:space="preserve">on plan
</t>
    </r>
    <r>
      <rPr>
        <sz val="11"/>
        <color theme="1" tint="0.249977111117893"/>
        <rFont val="Meiryo"/>
        <family val="2"/>
      </rPr>
      <t>Remain KADAI : GDP [Plan 3.35MB/Act. 4.59MB/Diff+1.24MB]
Problem P/L NG 1,146pcs [Plan 0.24%/Act 0.73%/Diff +0.49%]
1) Occure material DNTH cutting 601 run-out NG forecast end of Mar'26 (Forecast Mar'26 Over +1.2MB) 
2) Occure in SDM process Relief seat grd. CPK 1.33 improvement M/C &amp; Jig accuracy</t>
    </r>
  </si>
  <si>
    <r>
      <t xml:space="preserve">GDP problem P/L NG situation action plan (Material &amp; Machine)
1.(PE3/BPE) DNTH combine process cutting PCR issue start cutting line 602 (1st lot control to SDM Mar'26) and extend cutting line 601,603,604 Plan end of Mar'26 (On process)
</t>
    </r>
    <r>
      <rPr>
        <sz val="6"/>
        <color theme="1" tint="0.249977111117893"/>
        <rFont val="Meiryo"/>
        <family val="2"/>
      </rPr>
      <t xml:space="preserve">
</t>
    </r>
    <r>
      <rPr>
        <sz val="11"/>
        <color theme="1" tint="0.249977111117893"/>
        <rFont val="Meiryo"/>
        <family val="2"/>
      </rPr>
      <t xml:space="preserve">2.PE2&amp;PD Process capability M/C Relief seat grinding CPK &gt;1.33 (On process)
</t>
    </r>
    <r>
      <rPr>
        <sz val="6"/>
        <color theme="1" tint="0.249977111117893"/>
        <rFont val="Meiryo"/>
        <family val="2"/>
      </rPr>
      <t xml:space="preserve">
</t>
    </r>
    <r>
      <rPr>
        <sz val="11"/>
        <color theme="1" tint="0.249977111117893"/>
        <rFont val="Meiryo"/>
        <family val="2"/>
      </rPr>
      <t>3.PE2&amp;PD next plan reamain KADAI condition grinding (Completed)
     -PD temporary action re-grinding process relief seat lapping 2 time and control depth seat surface &amp; PE Change new type dresser</t>
    </r>
  </si>
  <si>
    <t>Forecast Acc.  Save ▲0.030% (Apr'25 -Mar'26)</t>
  </si>
  <si>
    <t>Monthly Over +0.6MB
Acc. AP/ Result ▲4.99MB</t>
  </si>
  <si>
    <t>Forecast Acc.  Save ▲8.6MB (Apr'25 -Mar'26)</t>
  </si>
  <si>
    <t>Problem close increasing from last month = 16 items.
New issue in Feb'26 = 15 items.
Remaining issue cannot action until root cause C/M.
Kadai : Almost unique problem of SDM/SKD 
Approach : Expands engineering ability for improvement by re-process &amp; design</t>
  </si>
  <si>
    <t>T_Pump/M</t>
  </si>
  <si>
    <t>T_Pump/A</t>
  </si>
  <si>
    <t>T_INJ/M</t>
  </si>
  <si>
    <t>T_INJ/A</t>
  </si>
  <si>
    <t>T_Vavle</t>
  </si>
  <si>
    <t>T_SOL</t>
  </si>
  <si>
    <t>T_UC/M</t>
  </si>
  <si>
    <t>T_UC/A</t>
  </si>
  <si>
    <t>T_GDP</t>
  </si>
  <si>
    <t>T_SIFS/DF</t>
  </si>
  <si>
    <t>HP3</t>
  </si>
  <si>
    <t>HP5</t>
  </si>
  <si>
    <t>HP5E</t>
  </si>
  <si>
    <t>RC</t>
  </si>
  <si>
    <t>G2&amp;G3</t>
  </si>
  <si>
    <t>G4</t>
  </si>
  <si>
    <t>UC</t>
  </si>
  <si>
    <t>SCV</t>
  </si>
  <si>
    <t>DF</t>
  </si>
  <si>
    <t>PCV/PRV</t>
  </si>
  <si>
    <t>No.</t>
  </si>
  <si>
    <t>Long BM  &gt;3 hr</t>
  </si>
  <si>
    <t>Priority shipment line  &gt; 3hr</t>
  </si>
  <si>
    <t>PD,PE</t>
  </si>
  <si>
    <t>Unplanned holiday working</t>
  </si>
  <si>
    <t>OT unplanned recovery from m/c BM</t>
  </si>
  <si>
    <t>Day</t>
  </si>
  <si>
    <t>PE, PC, MT</t>
  </si>
  <si>
    <t>UC Phase #4 SOP
- 1st time Hans Robot (Lack of failure evaluation)
- Misalignment from index table setting and coupling poor spec (Lack of machine acceptance criteria)</t>
  </si>
  <si>
    <t>Proceeding UC Phase #4
%OR level up activity,
daily progress and find out 
root cause countermeasure</t>
  </si>
  <si>
    <t>On plan delivery</t>
  </si>
  <si>
    <t>Nearmiss deliviery delay &gt; 30 mins</t>
  </si>
  <si>
    <t>Premium/Unplanned freight</t>
  </si>
  <si>
    <r>
      <t xml:space="preserve">HP5S Quality issue Fuel Leakage at Cover Bearing.
</t>
    </r>
    <r>
      <rPr>
        <u/>
        <sz val="11"/>
        <color theme="1" tint="0.249977111117893"/>
        <rFont val="Meiryo"/>
        <family val="2"/>
      </rPr>
      <t xml:space="preserve">Part no.
</t>
    </r>
    <r>
      <rPr>
        <sz val="11"/>
        <color theme="1" tint="0.249977111117893"/>
        <rFont val="Meiryo"/>
        <family val="2"/>
      </rPr>
      <t>-SM299000-00719D (900 pcs.)
-SM299000-00819D (100 pcs.)
-SM299000-00229D (360 pcs.)</t>
    </r>
  </si>
  <si>
    <r>
      <rPr>
        <u/>
        <sz val="11"/>
        <color theme="1" tint="0.249977111117893"/>
        <rFont val="Meiryo"/>
        <family val="2"/>
      </rPr>
      <t>UC assy</t>
    </r>
    <r>
      <rPr>
        <sz val="11"/>
        <color theme="1" tint="0.249977111117893"/>
        <rFont val="Meiryo"/>
        <family val="2"/>
      </rPr>
      <t xml:space="preserve"> - Auto load mc Gripper alignment &amp; centering caused there are not standard check item and master are not covered all model/station
</t>
    </r>
    <r>
      <rPr>
        <u/>
        <sz val="11"/>
        <color theme="1" tint="0.249977111117893"/>
        <rFont val="Meiryo"/>
        <family val="2"/>
      </rPr>
      <t>CR</t>
    </r>
    <r>
      <rPr>
        <sz val="11"/>
        <color theme="1" tint="0.249977111117893"/>
        <rFont val="Meiryo"/>
        <family val="2"/>
      </rPr>
      <t xml:space="preserve"> - Auto frettage mc spare part 0 stock
</t>
    </r>
    <r>
      <rPr>
        <u/>
        <sz val="11"/>
        <color theme="1" tint="0.249977111117893"/>
        <rFont val="Meiryo"/>
        <family val="2"/>
      </rPr>
      <t>Solenoid</t>
    </r>
    <r>
      <rPr>
        <sz val="11"/>
        <color theme="1" tint="0.249977111117893"/>
        <rFont val="Meiryo"/>
        <family val="2"/>
      </rPr>
      <t xml:space="preserve"> - PWP mc Cylinder clamp leak, 1st time occurred, there is not interval change standard and difficult to inspection</t>
    </r>
  </si>
  <si>
    <r>
      <rPr>
        <u/>
        <sz val="11"/>
        <color theme="1" tint="0.249977111117893"/>
        <rFont val="Meiryo"/>
        <family val="2"/>
      </rPr>
      <t>UC assy</t>
    </r>
    <r>
      <rPr>
        <sz val="11"/>
        <color theme="1" tint="0.249977111117893"/>
        <rFont val="Meiryo"/>
        <family val="2"/>
      </rPr>
      <t xml:space="preserve"> - Change BM→PM by　making master and creating standard PM item then transferring skill to Genba
</t>
    </r>
    <r>
      <rPr>
        <u/>
        <sz val="11"/>
        <color theme="1" tint="0.249977111117893"/>
        <rFont val="Meiryo"/>
        <family val="2"/>
      </rPr>
      <t>CR</t>
    </r>
    <r>
      <rPr>
        <sz val="11"/>
        <color theme="1" tint="0.249977111117893"/>
        <rFont val="Meiryo"/>
        <family val="2"/>
      </rPr>
      <t xml:space="preserve"> - Improve lifetime extension with DAISHIN &amp; Lisk up high risk of spare part to prevent
</t>
    </r>
    <r>
      <rPr>
        <u/>
        <sz val="11"/>
        <color theme="1" tint="0.249977111117893"/>
        <rFont val="Meiryo"/>
        <family val="2"/>
      </rPr>
      <t>Solenoid</t>
    </r>
    <r>
      <rPr>
        <sz val="11"/>
        <color theme="1" tint="0.249977111117893"/>
        <rFont val="Meiryo"/>
        <family val="2"/>
      </rPr>
      <t xml:space="preserve"> - CBM implement by air flow sensor</t>
    </r>
  </si>
  <si>
    <t xml:space="preserve">1. UC M/C : PE Sample test 
2. UC Pipe Assy : Quality issued ID 6.0 NG small
3. GDP : Delay shipment to DNEU due to vessel delays effect customer low inventory </t>
  </si>
  <si>
    <t xml:space="preserve">1. DF product : Quality issued Pump leak
2. TH-Cambodia cross border situation </t>
  </si>
  <si>
    <t>1. TH-Cambodia cross border situation 
2. UC Needle S/Avalve : Quality issued Seat leak NG.
3. Start UC Phase 4 MC G.05 delay approve from PD (G.05 move to 2 Axis support DMAT)</t>
  </si>
  <si>
    <t>TH-Cambodia cross border situation</t>
  </si>
  <si>
    <t>1. TH-Cambodia cross border situation 
2. UC Needle S/Avalve : Quality issued Seat leak NG.</t>
  </si>
  <si>
    <t xml:space="preserve">1. TH-Cambodia cross border situation
2. Element : Project new machine spin welding M/C 2 delay from Sep to Oct'25 </t>
  </si>
  <si>
    <t>Wrong model delivery Oring to TPCAP customer 1 case.</t>
  </si>
  <si>
    <t>Level up Reoccurr &amp; Flow out prevention by add process QR scan in Packing line</t>
  </si>
  <si>
    <t>1. TH-Cambodia cross border situation
2. Element : Project new machine spin welding M/C 2 delay from Sep to Oct'25 
3. SCV : Quality issue Air leak NG</t>
  </si>
  <si>
    <r>
      <rPr>
        <b/>
        <sz val="11"/>
        <color rgb="FF404040"/>
        <rFont val="Meiryo"/>
        <family val="2"/>
        <charset val="128"/>
      </rPr>
      <t>GDP Assy line 2 (2.5 Day)</t>
    </r>
    <r>
      <rPr>
        <sz val="11"/>
        <color rgb="FF404040"/>
        <rFont val="Meiryo"/>
        <family val="2"/>
        <charset val="128"/>
      </rPr>
      <t xml:space="preserve"> Cover damper &amp; seat upper laser welding mc - Ball screw of work work press ⇒ Loss time diagnosis due to trial &amp; error ⇒ Create FTA Quality+BM
</t>
    </r>
    <r>
      <rPr>
        <b/>
        <sz val="11"/>
        <color rgb="FF404040"/>
        <rFont val="Meiryo"/>
        <family val="2"/>
        <charset val="128"/>
      </rPr>
      <t>UC pipe (0.5 Day)</t>
    </r>
    <r>
      <rPr>
        <sz val="11"/>
        <color rgb="FF404040"/>
        <rFont val="Meiryo"/>
        <family val="2"/>
        <charset val="128"/>
      </rPr>
      <t xml:space="preserve"> Air leak test mc - Air leakage in inspection system ⇒ Loss time diagnosis due to alarm message is not related with pheomenon ⇒ Create FTA Quality+BM
</t>
    </r>
    <r>
      <rPr>
        <b/>
        <sz val="11"/>
        <color rgb="FFC00000"/>
        <rFont val="Meiryo"/>
        <family val="2"/>
        <charset val="128"/>
      </rPr>
      <t>PCV (2.5 Day)</t>
    </r>
    <r>
      <rPr>
        <sz val="11"/>
        <color rgb="FFC00000"/>
        <rFont val="Meiryo"/>
        <family val="2"/>
        <charset val="128"/>
      </rPr>
      <t xml:space="preserve"> Intake valve OD GR ⇒ Quality/Process problem
</t>
    </r>
    <r>
      <rPr>
        <b/>
        <sz val="11"/>
        <color rgb="FFC00000"/>
        <rFont val="Meiryo"/>
        <family val="2"/>
        <charset val="128"/>
      </rPr>
      <t>DF Plastic (1.0 Day)</t>
    </r>
    <r>
      <rPr>
        <sz val="11"/>
        <color rgb="FFC00000"/>
        <rFont val="Meiryo"/>
        <family val="2"/>
        <charset val="128"/>
      </rPr>
      <t xml:space="preserve"> ⇒ Raw Material NG from TAKAHATA
</t>
    </r>
    <r>
      <rPr>
        <b/>
        <sz val="11"/>
        <color rgb="FFC00000"/>
        <rFont val="Meiryo"/>
        <family val="2"/>
        <charset val="128"/>
      </rPr>
      <t xml:space="preserve">DF ADC (0.5 Day) </t>
    </r>
    <r>
      <rPr>
        <sz val="11"/>
        <color rgb="FFC00000"/>
        <rFont val="Meiryo"/>
        <family val="2"/>
        <charset val="128"/>
      </rPr>
      <t xml:space="preserve">New High pressure leak test mc ⇒  Process/Machine design problem (After SOP 1 month)
</t>
    </r>
  </si>
  <si>
    <t>Description of Target</t>
  </si>
  <si>
    <t xml:space="preserve"> Compliance</t>
  </si>
  <si>
    <t>Business compliance</t>
  </si>
  <si>
    <t>Accident</t>
  </si>
  <si>
    <t>AR&amp;AS</t>
  </si>
  <si>
    <t>Nearmiss</t>
  </si>
  <si>
    <t>Incident</t>
  </si>
  <si>
    <t>Urgent purchasing</t>
  </si>
  <si>
    <t>PU</t>
  </si>
  <si>
    <t>Urgent purchasing clear within3 Month</t>
  </si>
  <si>
    <t>Special purchasing</t>
  </si>
  <si>
    <t>Information security</t>
  </si>
  <si>
    <t>Critical/Incident</t>
  </si>
  <si>
    <t>GA&amp;CSR</t>
  </si>
  <si>
    <t xml:space="preserve">Lead to incident </t>
  </si>
  <si>
    <t>E-mail traing result</t>
  </si>
  <si>
    <t>Human compliance</t>
  </si>
  <si>
    <t>Asset control</t>
  </si>
  <si>
    <t>Fixed asset loss</t>
  </si>
  <si>
    <t>ACC</t>
  </si>
  <si>
    <t>Idle Fixed Assets</t>
  </si>
  <si>
    <t>CIP (No using date)</t>
  </si>
  <si>
    <t>CIP (Document not complete)</t>
  </si>
  <si>
    <t>CIP &gt; 12 Month</t>
  </si>
  <si>
    <t>PD,PE,QA</t>
  </si>
  <si>
    <t>Waiting installation after renovation 8.8MB, Under building (Renovate office) 64MB, Under improvement 15MB</t>
  </si>
  <si>
    <t>CIP &gt; 18 Month</t>
  </si>
  <si>
    <t xml:space="preserve">Re-design machine for support cleanliness issue improvement There are problem at trimming process 8MB,
 Under building (Renovate office) 3MB
</t>
  </si>
  <si>
    <t>Un-received Order &gt;12 [expense]</t>
  </si>
  <si>
    <t>Under clear status of last year
As 25AOP : will start monitoring from Jul</t>
  </si>
  <si>
    <t>Un-received Order &gt;18 [Investment]</t>
  </si>
  <si>
    <t>Inventory variance</t>
  </si>
  <si>
    <t>PC/WH</t>
  </si>
  <si>
    <t>PD,PE,QA,QC</t>
  </si>
  <si>
    <t>Spare part inventory</t>
  </si>
  <si>
    <t>Holding part</t>
  </si>
  <si>
    <t>Slow moving of FG</t>
  </si>
  <si>
    <t>PD,QC</t>
  </si>
  <si>
    <t>Slow moving of Parts&amp;RM</t>
  </si>
  <si>
    <t>Slow moving of Spare Parts</t>
  </si>
  <si>
    <t>Durring new criterial improvement process</t>
  </si>
  <si>
    <t>Dead stock of FG, PART &amp; RM</t>
  </si>
  <si>
    <t>Dead stock of Spare parts</t>
  </si>
  <si>
    <t>Compliance survey score</t>
  </si>
  <si>
    <t>All topics score 
&lt; 1.20 points</t>
  </si>
  <si>
    <t>Socre</t>
  </si>
  <si>
    <t>J-SOX audit score</t>
  </si>
  <si>
    <t>Deficiency</t>
  </si>
  <si>
    <t>Information security audit score</t>
  </si>
  <si>
    <t>Voice of employee (Bad News First)</t>
  </si>
  <si>
    <t>Rank C, on hold budget, pending appropriate allocation</t>
  </si>
  <si>
    <t>Waiting installation after renovation 8.8MB, Under building (Renovate office) 58MB, Under improvement 14MB, waiting PEA approve 4.2MB</t>
  </si>
  <si>
    <t xml:space="preserve">Re-design machine for support cleanliness issue improvement There are problem at trimming process 7.7MB,
 Under building (Renovate office) 8.8MB, Under improvement 5.12MB
</t>
  </si>
  <si>
    <t>Yearly result</t>
  </si>
  <si>
    <t>Jul'25</t>
  </si>
  <si>
    <t>[Junx3]
3 cases mail training result (FY25/Q1)
SDM - SE = 1, QC1 = 1
SKD - PD5 = 1</t>
  </si>
  <si>
    <t>1. Awareness &amp; Education
- Remind about virus risks via email and small group sessions.
- Share steps for safe handling of suspicious emails (don’t click, report immediately).
2. Corrective Action for Those Who Opened Suspicious Emails
- Mandatory participation in InfoSec training and virus prevention activities.
- Join department morning talks for reminders and reinforcement.
3. Monitoring &amp; Improvement
- Track participation and conduct post-tests.
- Review incident trends and update measures regularly.</t>
  </si>
  <si>
    <t>Sep'25</t>
  </si>
  <si>
    <t>CIP (No using date) Renovate 147MB, PE 39MB</t>
  </si>
  <si>
    <t>CIP (Document not complete) PE 87MB, FAC 32MB, PD 25MB</t>
  </si>
  <si>
    <t>PE: Under improvement 3.4MB,FAC: waiting PEA approve 4.2MB</t>
  </si>
  <si>
    <t xml:space="preserve">PE: 10.5 MB Re-design machine for support cleanliness issue improvement There are problem at trimming process 7.7MB,
 Under improvement 2.8MB
</t>
  </si>
  <si>
    <t>Under discuss with supplier to cancel PO</t>
  </si>
  <si>
    <t>Under discuss with supplier to mbncel PO</t>
  </si>
  <si>
    <t>Action : Feedback history of usage and lifetime for re-order timing
Kadai : Set action standard for slow moving part from Production Phase out,
Machine transferred and Long lifetime</t>
  </si>
  <si>
    <t>- Promote part fot PM activity
- Global spare part sharing RGC
- Special discount for supplier
- 2nd Hand market</t>
  </si>
  <si>
    <t>High number of Quality improvement (from Quality problem) 8 cases
High number of Machine breakdown 8 cases</t>
  </si>
  <si>
    <t>High number of Quality improvement (from Quality problem) 8 cases (PE)
High number of Machine breakdown 8 cases (MT)</t>
  </si>
  <si>
    <t>[Julyx4] 
Awareness issue case (Rule violation) 3 Cases
Share ID/Password (1)QC1 , Camara/Mobile(2)  PD4, PD5
Virus protection 1 Case  = External drive (1) PD3</t>
  </si>
  <si>
    <t>(1) Risk Survey &amp; Monitoring (HoD, Management)
Objective: Understand real issues in rule implementation, perception gaps, and operational risks at dept. level.
Expectation : Identify blind spots for customized communication &amp; control improvement. 
Topic (4 Weak Point) 
1.Virus attack 2. Data control 3. Photograph 4. ID &amp; Password Mngt. 
(2) Refresh Training / Case study &amp; Post test
(3) Small Group Discussion</t>
  </si>
  <si>
    <t>Aug'25</t>
  </si>
  <si>
    <t>CIP (No using date) Renovate 147MB, PE 44MB, FAC 57 MB</t>
  </si>
  <si>
    <t>CIP (Document not complete) PE 185MB, RENOVATE 68 MB, FAC 40MB, PD 20MB</t>
  </si>
  <si>
    <r>
      <t xml:space="preserve">CIP &gt;12 Month
</t>
    </r>
    <r>
      <rPr>
        <u/>
        <sz val="10"/>
        <color theme="1" tint="0.249977111117893"/>
        <rFont val="Meiryo"/>
        <family val="2"/>
      </rPr>
      <t xml:space="preserve">Over revise plan : </t>
    </r>
    <r>
      <rPr>
        <sz val="10"/>
        <color theme="1" tint="0.249977111117893"/>
        <rFont val="Meiryo"/>
        <family val="2"/>
      </rPr>
      <t xml:space="preserve">
 FAC: waiting PEA approve 4.2MB (Plan : Jul.25)
</t>
    </r>
    <r>
      <rPr>
        <u/>
        <sz val="10"/>
        <color theme="1" tint="0.249977111117893"/>
        <rFont val="Meiryo"/>
        <family val="2"/>
      </rPr>
      <t>Remind :</t>
    </r>
    <r>
      <rPr>
        <sz val="10"/>
        <color theme="1" tint="0.249977111117893"/>
        <rFont val="Meiryo"/>
        <family val="2"/>
      </rPr>
      <t xml:space="preserve">
1.Plan start using in Aug'25 : 
 MT : Waiting install web application 0.39 MB
 PE : CR name plate printing 0.13 MB
2.Planned to be used within the next 3 months. : -</t>
    </r>
  </si>
  <si>
    <r>
      <t xml:space="preserve">CIP&gt;18 Month
</t>
    </r>
    <r>
      <rPr>
        <u/>
        <sz val="10"/>
        <color theme="1" tint="0.249977111117893"/>
        <rFont val="Meiryo"/>
        <family val="2"/>
      </rPr>
      <t xml:space="preserve">Over revise plan : </t>
    </r>
    <r>
      <rPr>
        <sz val="10"/>
        <color theme="1" tint="0.249977111117893"/>
        <rFont val="Meiryo"/>
        <family val="2"/>
      </rPr>
      <t xml:space="preserve">    -
</t>
    </r>
    <r>
      <rPr>
        <u/>
        <sz val="10"/>
        <color theme="1" tint="0.249977111117893"/>
        <rFont val="Meiryo"/>
        <family val="2"/>
      </rPr>
      <t>Remind :</t>
    </r>
    <r>
      <rPr>
        <sz val="10"/>
        <color theme="1" tint="0.249977111117893"/>
        <rFont val="Meiryo"/>
        <family val="2"/>
      </rPr>
      <t xml:space="preserve">
1.Plan start using in Aug'25 : 
2.Planned to be used within the next 3 months. : </t>
    </r>
  </si>
  <si>
    <t xml:space="preserve"> -Under discuss with supplier to cancel PO : Inventory check at all supply chain</t>
  </si>
  <si>
    <t>Under discuss with supplier to cancel PO : Inventory check at all supply chain</t>
  </si>
  <si>
    <t xml:space="preserve"> -Under discussing with maker for responsible of machine (partial build)</t>
  </si>
  <si>
    <t>Under discussing with maker for responsible of machine (partial build)</t>
  </si>
  <si>
    <t>Quarterly result</t>
  </si>
  <si>
    <t>Urgentder discuss with supplier to cancel PO</t>
  </si>
  <si>
    <t>Specialder discuss with supplier to cancel PO</t>
  </si>
  <si>
    <t>CIP (No using date) Renovate 173MB, 
PE 60MB, FAC 21 MB</t>
  </si>
  <si>
    <t>CIP (Document not complete) PE 85.5 MB, PD 8.9 MB, FAC 21MB</t>
  </si>
  <si>
    <t>PD,PE,MT</t>
  </si>
  <si>
    <r>
      <t xml:space="preserve">CIP &gt;12 Month
</t>
    </r>
    <r>
      <rPr>
        <u/>
        <sz val="10"/>
        <color theme="1" tint="0.249977111117893"/>
        <rFont val="Meiryo"/>
        <family val="2"/>
      </rPr>
      <t>Over revise plan :</t>
    </r>
    <r>
      <rPr>
        <sz val="10"/>
        <color theme="1" tint="0.249977111117893"/>
        <rFont val="Meiryo"/>
        <family val="2"/>
      </rPr>
      <t xml:space="preserve"> 
MT : 0.39 MB. Jig Shop Management System delay from waiting server for installation system (Plan : Aug &gt; Nov.25)
</t>
    </r>
    <r>
      <rPr>
        <u/>
        <sz val="10"/>
        <color theme="1" tint="0.249977111117893"/>
        <rFont val="Meiryo"/>
        <family val="2"/>
      </rPr>
      <t xml:space="preserve">Remind :
</t>
    </r>
    <r>
      <rPr>
        <sz val="10"/>
        <color theme="1" tint="0.249977111117893"/>
        <rFont val="Meiryo"/>
        <family val="2"/>
      </rPr>
      <t xml:space="preserve">1.Plan start using in Sep'25 : -
2.Planned to be used within the next 3 months. : 
</t>
    </r>
    <r>
      <rPr>
        <u/>
        <sz val="10"/>
        <color theme="1" tint="0.249977111117893"/>
        <rFont val="Meiryo"/>
        <family val="2"/>
      </rPr>
      <t>PD:</t>
    </r>
    <r>
      <rPr>
        <sz val="10"/>
        <color theme="1" tint="0.249977111117893"/>
        <rFont val="Meiryo"/>
        <family val="2"/>
      </rPr>
      <t xml:space="preserve"> 0.52 MB.The design does not cover the work area.It cannot be used and modified for a long time (Plan : Dec.25) 
</t>
    </r>
    <r>
      <rPr>
        <u/>
        <sz val="10"/>
        <color theme="1" tint="0.249977111117893"/>
        <rFont val="Meiryo"/>
        <family val="2"/>
      </rPr>
      <t>MT</t>
    </r>
    <r>
      <rPr>
        <sz val="10"/>
        <color theme="1" tint="0.249977111117893"/>
        <rFont val="Meiryo"/>
        <family val="2"/>
      </rPr>
      <t>: 0.39 MB.Miscalculation at the server procurement stage(Plan : Nov.25)</t>
    </r>
  </si>
  <si>
    <r>
      <t xml:space="preserve">CIP&gt;18 Month
</t>
    </r>
    <r>
      <rPr>
        <u/>
        <sz val="10"/>
        <color theme="1" tint="0.249977111117893"/>
        <rFont val="Meiryo"/>
        <family val="2"/>
      </rPr>
      <t>Over revise plan</t>
    </r>
    <r>
      <rPr>
        <sz val="10"/>
        <color theme="1" tint="0.249977111117893"/>
        <rFont val="Meiryo"/>
        <family val="2"/>
      </rPr>
      <t xml:space="preserve"> : -
</t>
    </r>
    <r>
      <rPr>
        <u/>
        <sz val="10"/>
        <color theme="1" tint="0.249977111117893"/>
        <rFont val="Meiryo"/>
        <family val="2"/>
      </rPr>
      <t>Remind :</t>
    </r>
    <r>
      <rPr>
        <sz val="10"/>
        <color theme="1" tint="0.249977111117893"/>
        <rFont val="Meiryo"/>
        <family val="2"/>
      </rPr>
      <t xml:space="preserve">
1.Plan start using in Sep'25 : -
2.Planned to be used within the next 3 months. : 
</t>
    </r>
    <r>
      <rPr>
        <u/>
        <sz val="10"/>
        <color theme="1" tint="0.249977111117893"/>
        <rFont val="Meiryo"/>
        <family val="2"/>
      </rPr>
      <t>PD:</t>
    </r>
    <r>
      <rPr>
        <sz val="10"/>
        <color theme="1" tint="0.249977111117893"/>
        <rFont val="Meiryo"/>
        <family val="2"/>
      </rPr>
      <t xml:space="preserve"> 0.49MB. Waiting add master point check compare same current. (Plan : Dec.25)
</t>
    </r>
    <r>
      <rPr>
        <u/>
        <sz val="10"/>
        <color theme="1" tint="0.249977111117893"/>
        <rFont val="Meiryo"/>
        <family val="2"/>
      </rPr>
      <t>PE:</t>
    </r>
    <r>
      <rPr>
        <sz val="10"/>
        <color theme="1" tint="0.249977111117893"/>
        <rFont val="Meiryo"/>
        <family val="2"/>
      </rPr>
      <t xml:space="preserve"> 9.8 MB. 
- Re-design machine for support cleanliness issue
- Claim issue leak sealing VH, need to addition camera for visual sealing 100% (Plan : Dec.25)</t>
    </r>
  </si>
  <si>
    <t>Most items have already decreased. However, there are still pending items as 
&gt; 18 Month PE (8 item/2.07 MB) and MT (1 item/0.22 MB)
&gt;12 Month TIE (3 item /1.19 MB), WH (1 item /0.27 MB)</t>
  </si>
  <si>
    <t>U</t>
  </si>
  <si>
    <t>OT Corruption, ST of PE3</t>
  </si>
  <si>
    <t>Termination and create case study VDO and PR to all asso</t>
  </si>
  <si>
    <t>CIP (No using date) Renovate 2.67MB, GA-ISP 1.2MB
PE 98 MB, FAC 32.04 MB, PC 1.8 MB, SE 2.06 MB</t>
  </si>
  <si>
    <t>CIP (Document not complete) PE 66 MB, PD 6 MB, FAC 19MB</t>
  </si>
  <si>
    <t>CIP &gt;12 Month
Over revise plan : -</t>
  </si>
  <si>
    <t>CIP &gt;18 Month
Over revise plan : -</t>
  </si>
  <si>
    <t>Oct.25</t>
  </si>
  <si>
    <t>Nov.25</t>
  </si>
  <si>
    <t>Monthly over from Housing porosity and  GDP head no plating. Follow up DNTH improvement for housing and during investigate root cause within Nov for GDP.</t>
  </si>
  <si>
    <t>CIP (No using date) Fac26.9MB, PE83.08 MB., 
SE 6.3MB</t>
  </si>
  <si>
    <t>CIP (Document not complete) PE 77.6 MB, 
PD 3.4MB, FAC 12.52MB</t>
  </si>
  <si>
    <r>
      <t xml:space="preserve">CIP &gt;12 Month
Over revise plan : -
Add Oct'25: PE 23.46 MB. 12CASE, PD1.94 MB. 8CASE :
</t>
    </r>
    <r>
      <rPr>
        <u/>
        <sz val="10"/>
        <color theme="1" tint="0.249977111117893"/>
        <rFont val="Meiryo"/>
        <family val="2"/>
      </rPr>
      <t>PE</t>
    </r>
    <r>
      <rPr>
        <sz val="10"/>
        <color theme="1" tint="0.249977111117893"/>
        <rFont val="Meiryo"/>
        <family val="2"/>
      </rPr>
      <t xml:space="preserve">: 23.09 MB  (Waiting SOP)
CNC COMPACT MACHING CENTER , G4S CONTROL PLATE AFM ADD ON CAMERA.
0.37 MBwaiting analyze
UPGRADE SPEC MODEL COLOR SENSOR
</t>
    </r>
    <r>
      <rPr>
        <u/>
        <sz val="10"/>
        <color theme="1" tint="0.249977111117893"/>
        <rFont val="Meiryo"/>
        <family val="2"/>
      </rPr>
      <t>PD:</t>
    </r>
    <r>
      <rPr>
        <sz val="10"/>
        <color theme="1" tint="0.249977111117893"/>
        <rFont val="Meiryo"/>
        <family val="2"/>
      </rPr>
      <t xml:space="preserve"> ADD PALLET WASHING, IMPROVEMENT PROBLEM QUALITY F/M BACK OXIDE, ADD TRANSFER LOADER.
Transfer in Jun'26=2 case 0.46 MB.</t>
    </r>
  </si>
  <si>
    <t>Monthly over from Housing porosity and  GDP head no plating. Follow up DNTH improvement within Dec for housing and during investigate root cause within Nov for GDP.</t>
  </si>
  <si>
    <t>Asset loss</t>
  </si>
  <si>
    <t xml:space="preserve">Improve early feedback for Quick Response by Systemetic alert improvement </t>
  </si>
  <si>
    <t>Based on FY24 DNJP Criteria Incident = 0 Case
Based on FY24  SDM Criteria  Incident = 8 Cases  (Internal Control) +1 New Case : 1 PCx lost / INN dept. 
&lt;Impact&gt; Not operation Biz impact and addressed promptly with  measures in InfoSec respond STD.</t>
  </si>
  <si>
    <t>&lt;Priority Action&gt;
1. [Confirmation Rule] GENBA check 100% verification of all dept IT device by HoD, including spares to ensure actual device align with their dept IT asset Ledger. 
2. [STD Setting] Define criteria for spare devices, including: Types of devices needed, Quantity limits, Keep as rule.
3. [Visualization] Apply clear tags or stickers to all spare devices for easy identification.
4. [Education] Communicate the case study clearly and provide a reminder of the applicable rules.
5. [Monitoring] Conduct 100% physical checks of spare devices by the ISC committee &amp; Include list spare device check in every patrol.</t>
  </si>
  <si>
    <t>CIP (No using date) SE 8.1 MB, PE 70.9 MB., Fac 2.1 MB , PD 2.9 MB</t>
  </si>
  <si>
    <t>CIP (Document not complete) PE 57.79 MB, 
PD 5.6 MB, FAC 3.7 MB</t>
  </si>
  <si>
    <r>
      <t xml:space="preserve">Oct'25 result = 3case 
</t>
    </r>
    <r>
      <rPr>
        <u/>
        <sz val="10"/>
        <color theme="1" tint="0.249977111117893"/>
        <rFont val="Meiryo"/>
        <family val="2"/>
      </rPr>
      <t xml:space="preserve">Remark:(31+2) =33 </t>
    </r>
    <r>
      <rPr>
        <sz val="10"/>
        <color theme="1" tint="0.249977111117893"/>
        <rFont val="Meiryo"/>
        <family val="2"/>
      </rPr>
      <t>Target FY26
Transfer in Jun'26=2 case 0.4 MB.</t>
    </r>
  </si>
  <si>
    <t>Plan= 1
Advance from Mar'26=2
Advance from Dec'25=3</t>
  </si>
  <si>
    <t>Monthly over from Housing porosity and  GDP head no plating. Follow up DNTH improvement within Dec for housing and during investigate root cause within Dec for GDP.</t>
  </si>
  <si>
    <t>Complain about risk to Human Compliance 5 cases (Power Harassment 3 cases, Sexual Harassment 1 case, Asset loss: One electric drill was stolen.)</t>
  </si>
  <si>
    <t>1. Involve HOD of each dept to investigate and feedback to AR
2. Control by Hazard Map and involve HoDiv to drive company wide direction.
3. Case study and PR "How to" &amp; "Do &amp; Don’t"
4. Share lessons learned and reinforce the importance of compliance across departments.</t>
  </si>
  <si>
    <t>CIP (No using date) Fac3.3MB, PE 75.6 MB., 
SE 8.27MB</t>
  </si>
  <si>
    <t>CIP (Document not complete) PE 80.6MB, 
PD 4.06 MB, PC 2.8 MB</t>
  </si>
  <si>
    <r>
      <t xml:space="preserve">Plan Dec'25 = 6 case
Advance of Jan'26 =1case(0.36MB)
</t>
    </r>
    <r>
      <rPr>
        <u/>
        <sz val="10"/>
        <color theme="1" tint="0.249977111117893"/>
        <rFont val="Meiryo"/>
        <family val="2"/>
      </rPr>
      <t xml:space="preserve">
Remark: </t>
    </r>
    <r>
      <rPr>
        <sz val="10"/>
        <color theme="1" tint="0.249977111117893"/>
        <rFont val="Meiryo"/>
        <family val="2"/>
      </rPr>
      <t>Target FY26 = 2case
Transfer in Jun'26=2 case 0.4 MB.</t>
    </r>
  </si>
  <si>
    <r>
      <t xml:space="preserve">Plan Dec'25= 2case
</t>
    </r>
    <r>
      <rPr>
        <u/>
        <sz val="10"/>
        <color theme="1" tint="0.249977111117893"/>
        <rFont val="Meiryo"/>
        <family val="2"/>
      </rPr>
      <t>Target FY26</t>
    </r>
    <r>
      <rPr>
        <sz val="10"/>
        <color theme="1" tint="0.249977111117893"/>
        <rFont val="Meiryo"/>
        <family val="2"/>
      </rPr>
      <t xml:space="preserve">
Transfer in May'26= 6case (7.68 MB)</t>
    </r>
  </si>
  <si>
    <t>&gt;12 M
1.)SPD-SDM  92 Case/6.67 MB.:Job Jig Fixture &amp; Cutting Tool)
2.)MT-SDM 32 Case/3.94 MB.:Job Stock tool room  Supply,Oil,Spare Part)
3.)PE-SDM 15 Case/2.08 MB.:Job Kaizen &amp; Jig Fixture)</t>
  </si>
  <si>
    <t>Under arrange delivery plan with User.</t>
  </si>
  <si>
    <t>&gt;18 M
1.)SDM-PE 75 Case/42 MB.:Job Modify MC.
2.)SDM-SPD 19 Case/6.68 MB.:Job Kaizen MC.</t>
  </si>
  <si>
    <t>Under Trial as supplier side.</t>
  </si>
  <si>
    <t>Monthly over from Housing porosity, GDP head no plating and Shoe stain. Follow up DNTH improvement within Feb for housing, during PCR process for GDP and need to discuss with DNJP to solve Shoe stain.</t>
  </si>
  <si>
    <t>Cannot recovery in FY'25 but now core team under review priority to reduce loss cost and forecast budget to link with activity in FY'26</t>
  </si>
  <si>
    <t>Currently there are no items exceed the target. however some items have not yet had issued PO. Mgmt. is request to review these items accordingly.</t>
  </si>
  <si>
    <t>Power Harassment = 2 cases; continues to occur in small forms due to insufficient real‑practice experience./ Sexual Harassment = 1 case; occurred due to untimely response and a lack of continuous reinforcement.</t>
  </si>
  <si>
    <t>Continuous practice (Role Play FY26) and clear communication based on the Hazard Map (Within month) are required to strengthen compliance.</t>
  </si>
  <si>
    <r>
      <rPr>
        <sz val="10"/>
        <color rgb="FF0000FF"/>
        <rFont val="Meiryo"/>
        <family val="2"/>
        <charset val="128"/>
      </rPr>
      <t>CIP (No using date) :</t>
    </r>
    <r>
      <rPr>
        <sz val="10"/>
        <color theme="1" tint="0.249977111117893"/>
        <rFont val="Meiryo"/>
        <family val="2"/>
      </rPr>
      <t xml:space="preserve">
PE 62.93 MB.
SE 8.27MB
PD 1.84 MB.
MT 1.4 MB.</t>
    </r>
  </si>
  <si>
    <t>CIP (Document not complete) PE 76.32MB, 
PD 4.52 MB.</t>
  </si>
  <si>
    <r>
      <t xml:space="preserve">Plan Jan'26 = 2case 
(Advance 1 case on Dec'25,Revise plan from Jan'26 to Apr'26 = 1case)
Advance of Feb'26 = 15 case 
Advance of Mar'26 = 1 case
</t>
    </r>
    <r>
      <rPr>
        <u/>
        <sz val="10"/>
        <color theme="1" tint="0.249977111117893"/>
        <rFont val="Meiryo"/>
        <family val="2"/>
        <charset val="128"/>
      </rPr>
      <t>Remark</t>
    </r>
    <r>
      <rPr>
        <sz val="10"/>
        <color theme="1" tint="0.249977111117893"/>
        <rFont val="Meiryo"/>
        <family val="2"/>
      </rPr>
      <t>: Target FY26 = 3case
Transfer in Apr'26= 1case 0.42 MB.
Transfer in Jun'26=2 case 0.41 MB.</t>
    </r>
  </si>
  <si>
    <r>
      <t xml:space="preserve">Advance from Feb'26 = 1case
</t>
    </r>
    <r>
      <rPr>
        <u/>
        <sz val="10"/>
        <color theme="1" tint="0.249977111117893"/>
        <rFont val="Meiryo"/>
        <family val="2"/>
        <charset val="128"/>
      </rPr>
      <t xml:space="preserve">
Target FY26</t>
    </r>
    <r>
      <rPr>
        <sz val="10"/>
        <color theme="1" tint="0.249977111117893"/>
        <rFont val="Meiryo"/>
        <family val="2"/>
      </rPr>
      <t xml:space="preserve">
Transfer in May'26= 6case (7.68 MB)</t>
    </r>
  </si>
  <si>
    <t>&gt;12 M
1.)SPD-SDM  78 Case/6.41 MB.:Job Jig Fixture &amp; Cutting Tool)
2.)MT-SDM 20 Case/1.70 MB.:Job Stock tool room  Supply,Oil,Spare Part)
3.)PE-SDM 10 Case/2.01 MB.:Job Kaizen &amp; Jig Fixture)</t>
  </si>
  <si>
    <t>&gt;18 M
1.)SDM-PE 66 Case/38.28 MB.:Job Modify MC.
2.)SDM-SPD 19 Case/6.68 MB.:Job Kaizen MC.</t>
  </si>
  <si>
    <t>Monthly over from Housing porosity, GDP head no plating and Shoe stain. Follow up DNTH improvement for housing but trial is not satisfy so considering other idea action, during PCR process for GDP and need to discuss with DNJP to solve Shoe stain.</t>
  </si>
  <si>
    <t>Power Harassment = 1 case; continues to occur in small forms due to insufficient real‑practice experience.</t>
  </si>
  <si>
    <r>
      <rPr>
        <sz val="10"/>
        <color rgb="FF0000FF"/>
        <rFont val="Meiryo"/>
        <family val="2"/>
        <charset val="128"/>
      </rPr>
      <t>CIP (No using date) :</t>
    </r>
    <r>
      <rPr>
        <sz val="10"/>
        <color theme="1" tint="0.249977111117893"/>
        <rFont val="Meiryo"/>
        <family val="2"/>
      </rPr>
      <t xml:space="preserve">
PE 76.5 MB.
SE 8.78MB
PD 4.93 MB.
INN 3.03 MB
FAC 1.9 MB.
MT 1.44 MB.</t>
    </r>
  </si>
  <si>
    <t>CIP (Document not complete) FAC 5.29MB, PE 86.24MB, 
PD 4.49 MB.</t>
  </si>
  <si>
    <r>
      <t xml:space="preserve">Plan Jan'26 = 4case
Complet until Jan'26 = 15 case
Complete until Jan'26 = 1 case(plan Mar'26)
</t>
    </r>
    <r>
      <rPr>
        <b/>
        <u/>
        <sz val="10"/>
        <color theme="1" tint="0.249977111117893"/>
        <rFont val="Meiryo"/>
        <family val="2"/>
        <charset val="128"/>
      </rPr>
      <t>Remark</t>
    </r>
    <r>
      <rPr>
        <b/>
        <sz val="10"/>
        <color theme="1" tint="0.249977111117893"/>
        <rFont val="Meiryo"/>
        <family val="2"/>
        <charset val="128"/>
      </rPr>
      <t>:</t>
    </r>
    <r>
      <rPr>
        <sz val="10"/>
        <color theme="1" tint="0.249977111117893"/>
        <rFont val="Meiryo"/>
        <family val="2"/>
      </rPr>
      <t xml:space="preserve"> Target FY26 = 4case
Transfer in Jun'26= 2 case 0.41 MB.
</t>
    </r>
    <r>
      <rPr>
        <sz val="10"/>
        <color rgb="FF0000FF"/>
        <rFont val="Meiryo"/>
        <family val="2"/>
        <charset val="128"/>
      </rPr>
      <t>Addition</t>
    </r>
    <r>
      <rPr>
        <sz val="10"/>
        <color theme="1" tint="0.249977111117893"/>
        <rFont val="Meiryo"/>
        <family val="2"/>
      </rPr>
      <t xml:space="preserve"> transfer in Jun'26 = 2case 6.94 MB.</t>
    </r>
  </si>
  <si>
    <r>
      <t xml:space="preserve">Completed in Jan'26 = plan 1 case 
</t>
    </r>
    <r>
      <rPr>
        <u/>
        <sz val="10"/>
        <color theme="1" tint="0.249977111117893"/>
        <rFont val="Meiryo"/>
        <family val="2"/>
        <charset val="128"/>
      </rPr>
      <t>Target FY26</t>
    </r>
    <r>
      <rPr>
        <sz val="10"/>
        <color theme="1" tint="0.249977111117893"/>
        <rFont val="Meiryo"/>
        <family val="2"/>
      </rPr>
      <t xml:space="preserve">
Transfer in May'26= 6case (7.68 MB)
Transfer in Apr'26= 1case (0.43 MB)</t>
    </r>
  </si>
  <si>
    <t>Expense &gt;12M
SDM-MT&amp;FAC : 65 cases / 4.597 MB.:Job Stock Spare part,Oil)
SDM-SPD&amp;PD : 30 case / 3.149 Mb.: Job.Kaizen MC. &amp; Cutting Tool
SDM-PC : 14 cases / 0.354 MB.:Job Rent for Forklift
SDM-Admin : 14 case / 1.057 MB.:Job Repair</t>
  </si>
  <si>
    <t>Investment &gt;18M
SDM-PE : 70 case / 42.549 MB.:Job Modify MC
SDM-SPD&amp;PE : 15 case / 7.374 Mb.: Job Kaizen MC.</t>
  </si>
  <si>
    <r>
      <rPr>
        <i/>
        <sz val="10"/>
        <color theme="1" tint="0.249977111117893"/>
        <rFont val="Meiryo"/>
        <family val="2"/>
      </rPr>
      <t>Already declared in Top Management Mtg Jan'26</t>
    </r>
    <r>
      <rPr>
        <sz val="10"/>
        <color theme="1" tint="0.249977111117893"/>
        <rFont val="Meiryo"/>
        <family val="2"/>
      </rPr>
      <t xml:space="preserve">
1.Part Making of HP3 Housing transferred to supplier NT
Ex. Guide , Loader Jaw , Chuck
Q’ty 55 items (3.07 MB)
2.Spare part change model lower die (0.45 MB)
3.Spare part of MC cancel Ex.Light source , Seal
Q’ty 6 items (0.66 MB)
4.Spare part Deteriorate part part can’t use
Ex. Board , Power supply , O-ring
Q’ty 19 items (0.33 MB)
</t>
    </r>
  </si>
  <si>
    <t>Sell promote to supplier NT</t>
  </si>
  <si>
    <t>FY26</t>
  </si>
  <si>
    <t xml:space="preserve"> Key Risk Area (Still above Target)
▪Compliance System/Activities remains the largest gap, indicating system usability challenges, unclear processes, and training not yet fully effective
▪Whistleblowing Channels shows continued hesitation and limited trust despite slight improvement</t>
  </si>
  <si>
    <t>▪Simplify workflows, enhance system usability, and deliver targeted.
▪Rebuild trust via anonymous‑first reminders, simplified steps, and repeated assurance of non‑retaliation.</t>
  </si>
  <si>
    <t>Complet until Jan'26 = 1 case</t>
  </si>
  <si>
    <t>Completed in Nov'25 =plan 2case</t>
  </si>
  <si>
    <t>SIFS/DF/G4/PCV PRV/SCV</t>
  </si>
  <si>
    <t>MT&amp;FAC</t>
  </si>
  <si>
    <t>SPD&amp;PD</t>
  </si>
  <si>
    <t>&lt;280</t>
  </si>
  <si>
    <t>&lt;106</t>
  </si>
  <si>
    <t>&lt;192</t>
  </si>
  <si>
    <t>&lt;307</t>
  </si>
  <si>
    <t>CIP (Docufment not complete)</t>
  </si>
  <si>
    <t xml:space="preserve">CIP &gt;12 Month </t>
  </si>
  <si>
    <t xml:space="preserve">CIP &gt;18 Month </t>
  </si>
  <si>
    <t>+/-0.5%</t>
  </si>
  <si>
    <t>Deficiency = 0</t>
  </si>
  <si>
    <t>Annual compulsory training</t>
  </si>
  <si>
    <t>HR training</t>
  </si>
  <si>
    <t>Curriculum/%</t>
  </si>
  <si>
    <t>HRD</t>
  </si>
  <si>
    <t>Complete 100%</t>
  </si>
  <si>
    <t>Dept. Training</t>
  </si>
  <si>
    <t>Persons/%</t>
  </si>
  <si>
    <t>Training on plan 100%</t>
  </si>
  <si>
    <t>Mgmt. Training</t>
  </si>
  <si>
    <t>Person/
ability level</t>
  </si>
  <si>
    <t>All (exclude Admin)</t>
  </si>
  <si>
    <t xml:space="preserve"> - 12 person pass program
 - Competency of Project Management individual piority rank up </t>
  </si>
  <si>
    <t xml:space="preserve">Draft concept and preparation PMP program </t>
  </si>
  <si>
    <t>Completed draft program</t>
  </si>
  <si>
    <t>Pre boarding promotion</t>
  </si>
  <si>
    <t>System</t>
  </si>
  <si>
    <t>Complete functional pre boarding promotion 100%</t>
  </si>
  <si>
    <t>Post boarding promotion</t>
  </si>
  <si>
    <t>system</t>
  </si>
  <si>
    <t>Complete functional post boarding promotion 100%</t>
  </si>
  <si>
    <t>MSS+e score</t>
  </si>
  <si>
    <t xml:space="preserve">Engagement </t>
  </si>
  <si>
    <t>AR</t>
  </si>
  <si>
    <t>Executive Confirm expectation of program and discuss with external institute , Survey trainee</t>
  </si>
  <si>
    <t>Completed survey trainee 12 prs</t>
  </si>
  <si>
    <t>c</t>
  </si>
  <si>
    <t>Confirm trainee and kick off</t>
  </si>
  <si>
    <t>Completed Kick off program</t>
  </si>
  <si>
    <t>Start program (training and workshop)</t>
  </si>
  <si>
    <t>Completed  training and workshop on 22-23 Jul (Attd 100%)</t>
  </si>
  <si>
    <t>Feedback summary and completed development 12 prs</t>
  </si>
  <si>
    <t xml:space="preserve">
(PD)On process set functional pre boarding promotion </t>
  </si>
  <si>
    <t>On process set functional on boarding promotion(PD)</t>
  </si>
  <si>
    <t>Project Mgnt. 
individual piority 
rank up</t>
  </si>
  <si>
    <t>Remark</t>
  </si>
  <si>
    <t>Attractive</t>
  </si>
  <si>
    <t>Non-value work reduction</t>
  </si>
  <si>
    <t>Direct</t>
  </si>
  <si>
    <t>Hrs/Month</t>
  </si>
  <si>
    <t>3,500 (33%)</t>
  </si>
  <si>
    <t>Under summary spec for develop
1) E-Measurement 24 Line
2) Auto P-Chart 121 Line
3) Auto X-R chart 125 Line
4) 5M1E Phase II  219 Line
5) PPA New 273 Line</t>
  </si>
  <si>
    <t>Indirect</t>
  </si>
  <si>
    <t>Hrs</t>
  </si>
  <si>
    <t>INN</t>
  </si>
  <si>
    <t>42,350 (10%)</t>
  </si>
  <si>
    <t>Delay form RPA TTFuji PR issue</t>
  </si>
  <si>
    <t>Start use dev. Process and add new reuirement in 2HY</t>
  </si>
  <si>
    <t>1) Finished: Lean Guest &amp; Visitor process of GA &amp; User</t>
  </si>
  <si>
    <t>42,350 Hrs.(10%)</t>
  </si>
  <si>
    <t>Projects with Universities</t>
  </si>
  <si>
    <t>Project</t>
  </si>
  <si>
    <t>1) Industrial Hygiene and Safety
2) Camera detection for counting part at Auto packing M/C
3) Application 5S Shopping Mall  
4) Improvement Recruitment Process by Power Apps &amp; Power Automate</t>
  </si>
  <si>
    <t>70 Project</t>
  </si>
  <si>
    <t>Under development system
1) E-Measurement 24 Line
2) Auto P-Chart 121 Line
3) Auto X-R chart 125 Line
4) 5M1E Phase II  219 Line
5) PPA New 273 Line</t>
  </si>
  <si>
    <r>
      <rPr>
        <sz val="11"/>
        <color rgb="FF000000"/>
        <rFont val="Aptos Narrow"/>
        <family val="2"/>
        <scheme val="minor"/>
      </rPr>
      <t xml:space="preserve">1) LEAN SE muda work
</t>
    </r>
    <r>
      <rPr>
        <strike/>
        <sz val="11"/>
        <color rgb="FF000000"/>
        <rFont val="Aptos Narrow"/>
        <family val="2"/>
        <scheme val="minor"/>
      </rPr>
      <t>2) E-Facility Reques</t>
    </r>
    <r>
      <rPr>
        <sz val="11"/>
        <color rgb="FF000000"/>
        <rFont val="Aptos Narrow"/>
        <family val="2"/>
        <scheme val="minor"/>
      </rPr>
      <t xml:space="preserve">t 
</t>
    </r>
    <r>
      <rPr>
        <strike/>
        <sz val="11"/>
        <color rgb="FF000000"/>
        <rFont val="Aptos Narrow"/>
        <family val="2"/>
        <scheme val="minor"/>
      </rPr>
      <t xml:space="preserve">3) BP weekly auto report
</t>
    </r>
    <r>
      <rPr>
        <sz val="11"/>
        <color rgb="FF000000"/>
        <rFont val="Aptos Narrow"/>
        <family val="2"/>
        <scheme val="minor"/>
      </rPr>
      <t>4) TTFJ Auto issue PR implementation (completed E/May)</t>
    </r>
  </si>
  <si>
    <t xml:space="preserve">Medical fee 
- Reduce AS Key-in data reduce time of calculation 
900-1200 sheet / month : 10 minute/time = 200Hrs/M
Reduce the number of inquiries from associates regarding remaining medical fees. 
Avg: 10-15minute / case ( 10 cases / day) = 50Hrs/Month
(New) Increasing the time allocated for payment confirmation
- DX Dashboard for support plant tour </t>
  </si>
  <si>
    <t>1) INCREASING CAPACITY EFFICIENCY OF FG AREA
2) Study and Analyze Process OF Packaging Boxes for INCREASING EFFICIENCY
3) Tool Cost down by re-using Dresser Tools.
4) Application Element Auto Packing
5) Low Cost &amp; Flexible robot arm (OVR)</t>
  </si>
  <si>
    <t>Delay caused
1) E-Faciltity Service  addition report dashboard – Go-Live Aug
2) BP Auto weekly report  Bug from MS system, need confirmation from DIAT/IS (the issue has already been fixed).
3) SC Kaizen (WH) Shipping 5-Tools  Waiting YOKOTEN from DIAT</t>
  </si>
  <si>
    <t>Aug: Auto Report for Cost Planning &amp; Purchasing 
Aug: OCR &amp; RPA SWC DocuShare – PD</t>
  </si>
  <si>
    <t xml:space="preserve">E-Facility 
BP Auto weekly report 
SC Kaizen (WH) Shipping 5-Tools </t>
  </si>
  <si>
    <t xml:space="preserve">1) Student internship evaluation by Power Apps &amp; Power Automate
2) Internal Transfer associate by Power Apps &amp; Power Automate
3) Rule &amp; Regulation training online
4) Level Up oil &amp; chemical management
5) Reducing Model Change Time at GDP Inspection Line 1
6) Reduce %variance by reducing tool change time
7) Design of experiments to find the factors that affect seat oil leak in nozzle body assembly.
8) Increase production efficiency by reducing loss time of Model change
</t>
  </si>
  <si>
    <t>1) Student internship evaluation by Power Apps &amp; Power Automate
2) Internal Transfer associate by Power Apps &amp; Power Automate
3) Rule &amp; Regulation training online
4) Level Up oil &amp; chemical management
5) Reducing Model Change Time at GDP Inspection Line 1
6) Reduce %variance by reducing tool change time
7) Design of experiments to find the factors that affect seat oil leak in nozzle body assembly.
8) Increase production efficiency by reducing loss time of Model change</t>
  </si>
  <si>
    <t>Under development system
1) E-Measurement 24 Line
2) Auto P-Chart 273 Line
3) Auto X-R chart 125 Line</t>
  </si>
  <si>
    <t>1) Go-Live E-Facility for Facility &amp; Users (GA,PC,SE)
2) GEN AI &amp; CoPilot for coding
3) T-REX (E-Travelling)</t>
  </si>
  <si>
    <t>1) E-Facility
2) Waste Water  Lab auto report 
3) E-Payment</t>
  </si>
  <si>
    <t>1.  An improvement of efficiency and accuracy in visual sorting process with LEAN approach
2.  Automated P-Q Chart Based Production Planning System
3. Production control box washing improvement productivity for achieve in 2025-2026</t>
  </si>
  <si>
    <t>Deploy 1 Project
-E-Measurement 4 Line (Needle rough, Body) 
Result
1.Body 35.2/35.2 Hr/Month
2.Needle Rough 21.4/43 Hr./Month
3.Pipe line 69.4/0 Hr.Month (Add new)
4.Connector  5.2/0 Hr.Month (Add new)</t>
  </si>
  <si>
    <t>Reduce 15.45 Hrs/Month</t>
  </si>
  <si>
    <t xml:space="preserve">
Delay from : 
Energy dashboard because can't transfer data daily, need to modify sever connection, need to request DIAT/IS judgement the solution.
</t>
  </si>
  <si>
    <t xml:space="preserve">
Q-Record smart flow -2500WH  in 2HY</t>
  </si>
  <si>
    <t xml:space="preserve">LEAN SPD muda work
LEAN SE Muda work - SE (Re-arrange training class by combine with DTAT)
Productivity Auto report of SPD
Auto Satationary (Apply from Bidoma of auto tool supply)
Auto Reception </t>
  </si>
  <si>
    <t>1. Promote DENSO Branding as a recruitment. Mentor name : Ms.Darintorn K.
2. Low cost super Pokayoke Mentor name : Mr.Sarawut &amp; Perrapat
3. Anzen Jinzai Ikusei Project โครงการยกระดับผู้ปฏิบัติงานหน้างานและระบบการอบรมด้านความปลอดภัยอย่างมีประสิทธิภาพ Mentor name : Mr.Surasak K &amp; Ms.Wannapa S.</t>
  </si>
  <si>
    <t>Delay expansion of E-Measurement 9 items
Reason : Complete application install and training but can't cancel paper and current working style because PD have feedback voice about can't compare data between each line same as current doing by paper board</t>
  </si>
  <si>
    <t>Add DX tools to help operator can compare data beteen each line by create "virtual board data comparision" that can show all  data of each line to sho in the same dashboard for PD can easly identify differenct point easily more than compare by current paper board
Remark : Can recovery target on Nov'26</t>
  </si>
  <si>
    <t>Deploy addition 2 Project
-E-Measurement 5 Line (Needle FN, Head 5w)
- 5M1E Phase II  81 Line (G4 INJ)</t>
  </si>
  <si>
    <t>Reduce 245.35 Hrs/Month
(Accu 260.8 Hrs/Month)</t>
  </si>
  <si>
    <t>WH,  E-Heijunka -1.5K/WH
ACC , Improve claim syst. -1.5K/WH
Quality DX -2.8K/WH
PI Receive Inspect -2.0K/WH
PE PCC system – 0.8K/WH
Energy Dashboard -0.8K/WH
Total: ~10K/WH</t>
  </si>
  <si>
    <t xml:space="preserve"> Pile up item in Oct 
1) e-Facility -2.0K/WH
2) Smart Q-Record -2.5K/WH</t>
  </si>
  <si>
    <t>DX-Memo payment (Innovation)
DX-Posted payment (Innovation)
DX-Waste water auto report (Innovation)
DX-CO2 calculation Platform (Innovation)
DX-Qrecord OCR &amp; RPA ((Innovation)
DX-Safety News Yokoten by GEN-AI &amp; RPA ((Innovation)</t>
  </si>
  <si>
    <t>Remark
• E-measurement in process delay 1 project
1.GDP Head 5W (2.91 Hr./D): Aug’25
2.GDP small part ( 6.12 HR/D): Oct’25
[PD Request addition function compare chart for meeting 2QA]</t>
  </si>
  <si>
    <r>
      <t xml:space="preserve">Develop new dashboard function (Completed) for PD can easy compare data, Now PD request trial period for evaluate 2week before accept to cancel paper works --&gt; </t>
    </r>
    <r>
      <rPr>
        <b/>
        <sz val="10"/>
        <color rgb="FFFF0000"/>
        <rFont val="Aptos Narrow"/>
        <family val="2"/>
        <scheme val="minor"/>
      </rPr>
      <t>Can deploy in Dec'25</t>
    </r>
  </si>
  <si>
    <t>Deploy addition 2 Project
-E-Measurement 4 Line (Head 3W, Plunger GDP, etc)
- PPA New  81 Line (G4 INJ)</t>
  </si>
  <si>
    <t>Reduce 509.16 Hrs/Month
(Accu 769.96 Hrs/Month)</t>
  </si>
  <si>
    <t>Delay from : 
- Claim system UAT  with user and revising
- Periodic MT UAT with user delay from PIC mis-understanding the detail of system (need to F2F discussion with HoS)
Unlink Energy data
(Change Direction) Focus on Value-added work, make clear PCC library , Tools control
Pile up Q3 
(New) Safety Auto Training process</t>
  </si>
  <si>
    <t xml:space="preserve">MP Database
WH/Shipping auto report
SMART Q-Record
ACC Auto process (Payment 20%)
Facility Service Auto report
</t>
  </si>
  <si>
    <t>1) LEAN Workshop for KU university
2) Waste Water Auto cal. 
3) Copilot E-Learning
4) ACC Auto Invoice record
5) BP Auto process for AP submission
6) Co2 auto data record platform
7) GEN-AI for Safety Data</t>
  </si>
  <si>
    <t>• E-measurement in process delay 1 project
1.GDP small part ( 5.41 HR/D): Oct’25</t>
  </si>
  <si>
    <t>Recovery E-Measurement 
1. GDP small part ( 5.41 HR/D): Dec’25</t>
  </si>
  <si>
    <t>Deploy addition 2 Project
- 5M1E Phase II  40 Line (G2-3 INJ)
-  PPA New  81 Line (G2-3 INJ)</t>
  </si>
  <si>
    <t>Reduce 338.12 Hrs/Month
(Accu 1108.1Hrs/Month)</t>
  </si>
  <si>
    <t xml:space="preserve">FY25 Target 42/KHrs 
Forecast result End of FY26 = 34.6K/Hrs
Diff -7.7K/Hrs
Not achieved :
Delay from: -1K/Hrs (carry over to Sep FY26)
CN Dashboard need to transfer data from SCADA into Internal sever (data processing : still manual)  
PCC System: - 2K/Hrs (carry over to  FY26)
    From expand scope and job purpose review
Safety Dashboard – 4.7K/Hrs (carry over to Feb 26)
    as changed requirement of RA, MC inspection 
    (Review based on  QSMR audit) 
</t>
  </si>
  <si>
    <t>Safety Auto Training process 
PAM Auto report</t>
  </si>
  <si>
    <t>Need to reconfirm with PC,PD,SE</t>
  </si>
  <si>
    <t>FY26 Apr
FY26 Oct</t>
  </si>
  <si>
    <t>1) Module Borrowing Request &amp; Module Inventory Management of GA
2) ระบบเว็บแอปพลิเคชันสำหรับการยืมคืนและจัดการคลังอุปกรณ์ของแผนก
3) เคราะห์ความต้องการ ออกแบบ และพัฒนาเว็บแอปพลิเคชัน สำหรับการยืมคืนและจัดการคลังอุปกรณ์ของแผนก General Affairs &amp; CSR
4) การเรียนรู้บทบาทนักวิเคราะห์ธุรกิจในการพัฒนา ระบบบริหารจัดการคลังอุปกรณ์
5)  Auto Safety training &amp; Certification
6) Auto Invoice record for ACC (Expense)
7) Energy Saving promotion platform</t>
  </si>
  <si>
    <t>Deploy addition  Project
-  PPA New  75 Line</t>
  </si>
  <si>
    <t>Reduce 418.73 Hrs/Month
(Accu 1526.8 Hrs/Month)</t>
  </si>
  <si>
    <t>Pile up from Copilot x Increase license (Training and PR)
Waste Water Dashboard
Promt coding for generative media</t>
  </si>
  <si>
    <t>1) Auto Budget submit to BP (Automate &amp; Data Query auto summary report)
2) Attractive Working VDO Presentation (Sanook) for Plant tour
3) Addtion Auto Waste water report
4) Auto Trainee request &amp; Approval
5) Study Database structure of Business Planning Expense
6) E-RFQ request by Power Apps
7) RPA for Accounting (Reduce manual work)</t>
  </si>
  <si>
    <t>Completed 
E-Measurment total 149.7 Hr/M (plan89.54hr/M) advance+60.16Hr/M
Delay 1 Project
- 5M1E Phase II (Pump MC/Assy) can't cancel paper from record not completed  (-60Hr/M) will complete FY26/Q2</t>
  </si>
  <si>
    <t>Reduce 379.54 Hrs/Month
(Accu 1906.34Hrs/Month)</t>
  </si>
  <si>
    <t>Safety Project delay program connecting &amp; price conclusion with supplier</t>
  </si>
  <si>
    <t>1) Internal Powershift
2) Internal MP transfer system - Dept. level
3) Internal MP transfer system - Company level
4) Internal MP transfer system - Section level
5) ระบบลาของ Temporary &amp; Freelance staffs
6) Recruitment tracking monitor
7) CIP Fixed Asset system</t>
  </si>
  <si>
    <t>Total  401.33 /1122.77  Hr./month
1. PPA   360/360 Hr.  
2. Tool change  41/295 Hr.  (62 times/week *4 week * 10min/60min = 41.33Hr/month) App complete but still can't canceled paper (Can count only double job load at 5ME app)
3. P chart   0/467.77  Hr.  (Delay from P-chart comment, Change platform from M365--&gt;Web app)</t>
  </si>
  <si>
    <t>1.Tool change : Action weekly follow up w/ PD for speed up paper cancel
2. P-Chart : New paralell develop web app to use instead M365 due to app speed response issue</t>
  </si>
  <si>
    <r>
      <rPr>
        <u/>
        <sz val="11"/>
        <color theme="1"/>
        <rFont val="Aptos Narrow"/>
        <family val="2"/>
        <scheme val="minor"/>
      </rPr>
      <t xml:space="preserve">Tool change
</t>
    </r>
    <r>
      <rPr>
        <sz val="11"/>
        <color theme="1"/>
        <rFont val="Aptos Narrow"/>
        <family val="2"/>
        <scheme val="minor"/>
      </rPr>
      <t xml:space="preserve">- Cancel paper April'26
</t>
    </r>
    <r>
      <rPr>
        <u/>
        <sz val="11"/>
        <color theme="1"/>
        <rFont val="Aptos Narrow"/>
        <family val="2"/>
        <scheme val="minor"/>
      </rPr>
      <t>P-Chart</t>
    </r>
    <r>
      <rPr>
        <sz val="11"/>
        <color theme="1"/>
        <rFont val="Aptos Narrow"/>
        <family val="2"/>
        <scheme val="minor"/>
      </rPr>
      <t xml:space="preserve">
- New web app Aug'26</t>
    </r>
  </si>
  <si>
    <t xml:space="preserve">
Deploy addition 1 Project
-Auto P-Chart 81 Line (G4 INJ)
-  PPA New  36 Line (GDP)</t>
  </si>
  <si>
    <t>Reduce 1122.77Hrs/Month
(Accu 3029.1Hrs/Month)</t>
  </si>
  <si>
    <t>Safety DX Project delay from waiting PO approval and workflow analysis
MT waiting start GO-Live Periodic system in FY26 (New data)</t>
  </si>
  <si>
    <t>- In FY26 attractive team will changing the scope of project which increase efficiency of SQDC (Cross Dept.) instead of working hour reduction and value-added 
- Auto Oil&amp;Chemical usage report</t>
  </si>
  <si>
    <t>Auig'</t>
  </si>
  <si>
    <t>Deploy addition 1 Project
-Auto P-Chart 40 Line (G2-3 INJ)
-- 5M1E Phase II  23 Line (Rail)
-  PPA New  18 Line (UC)</t>
  </si>
  <si>
    <t>Reduce 621.7 Hrs/Month
(Accu 3650.8Hrs/Month)</t>
  </si>
  <si>
    <t xml:space="preserve">- Auto CIP </t>
  </si>
  <si>
    <t>Total</t>
  </si>
  <si>
    <t>Rail</t>
  </si>
  <si>
    <t>User</t>
  </si>
  <si>
    <t>3.500 Hrs/Month</t>
  </si>
  <si>
    <t>Indirect 10%</t>
  </si>
  <si>
    <t>Energy</t>
  </si>
  <si>
    <t>CO2 emission</t>
  </si>
  <si>
    <t>&lt;40,244</t>
  </si>
  <si>
    <t>ton</t>
  </si>
  <si>
    <t>Accumulate Apr-May CO2 Emission over +140 t-CO2 from planned, The reason are (1) Co-generation stop (2) No energy day not achieve</t>
  </si>
  <si>
    <t>Loss from Co-generation BM 
-Improve performance after repair, Addition time running
Loss from No Energy day 
-Scope JIT supply
-Reduce loss, air leak, standby m/c</t>
  </si>
  <si>
    <t>Can recovery about 150 t-CO2</t>
  </si>
  <si>
    <t>CO2 basic unit</t>
  </si>
  <si>
    <t>-2% FY24 
(2.45 Ton/VAP-MB ,As VAP forcast 17,182 MB)</t>
  </si>
  <si>
    <t>Energy saving</t>
  </si>
  <si>
    <t xml:space="preserve">-7% FY24 </t>
  </si>
  <si>
    <t>PD,PE,SE</t>
  </si>
  <si>
    <t>-7% FY24 
(3,020 Ton)</t>
  </si>
  <si>
    <t>Energy saving day</t>
  </si>
  <si>
    <t>G4 injector /HP5 modify M/C ,UC machining start up machine</t>
  </si>
  <si>
    <t>Energy cost (Electricity + Natural gas +N2)</t>
  </si>
  <si>
    <t>&lt;263.314</t>
  </si>
  <si>
    <t>Energy saving day not achieve 1 D (17/4/25) +0.22  MB</t>
  </si>
  <si>
    <t>Water</t>
  </si>
  <si>
    <t>Water usage</t>
  </si>
  <si>
    <t>&lt;306,790</t>
  </si>
  <si>
    <t>m3</t>
  </si>
  <si>
    <t>Water reduciton</t>
  </si>
  <si>
    <t>-1% FY24 
(17.05 Ton/VAP-MB , As VAP forcast 17,182 MB)</t>
  </si>
  <si>
    <t>PD,PE,GA,SE</t>
  </si>
  <si>
    <t>Water cost (Water treatment + Wastewater)</t>
  </si>
  <si>
    <t>&lt;10.43</t>
  </si>
  <si>
    <t>Waste</t>
  </si>
  <si>
    <t>Waste reduction (Ton/VAP-MB )</t>
  </si>
  <si>
    <t>-1% FY24 
(0.1920 Ton/VAP-MB)</t>
  </si>
  <si>
    <t>Ton/VAP-MB</t>
  </si>
  <si>
    <t>Waste reduction</t>
  </si>
  <si>
    <r>
      <rPr>
        <u/>
        <sz val="11"/>
        <color rgb="FF000000"/>
        <rFont val="Aptos Narrow"/>
        <family val="2"/>
        <scheme val="minor"/>
      </rPr>
      <t>&lt;</t>
    </r>
    <r>
      <rPr>
        <sz val="11"/>
        <color rgb="FF000000"/>
        <rFont val="Aptos Narrow"/>
        <family val="2"/>
        <scheme val="minor"/>
      </rPr>
      <t xml:space="preserve"> 3,298 Tons 
(As VAP forcast 17,182 MB)</t>
    </r>
  </si>
  <si>
    <t>Ton</t>
  </si>
  <si>
    <t>215.51 &gt;&gt; 222.12</t>
  </si>
  <si>
    <t>Loss from Co-generation BM 
-Improve performance after repair, Addition time running
Loss from No Energy day 
-Scope JIT supply
-Reduce loss, air leak, standby m/c and Stop air condition after 17.00 of office area</t>
  </si>
  <si>
    <t>+0.871</t>
  </si>
  <si>
    <t>PD addition production plan and move PM to Sunday that effect from PD volume up and Machine BM issue</t>
  </si>
  <si>
    <t>Prevention BM reoccurence and Quality issue</t>
  </si>
  <si>
    <t>➀ Unit price over plan (+0.48MB)
 ➁ Daily usage increase/Holiday work over plan (+1.4MB)
 ➂ Co-generation long break down (+0.76 MB)​</t>
  </si>
  <si>
    <t>➀ Speed up reduce loss (-0.83 MB/M)
-M/C (Repair air leak 
-Stop lighting in P/D
-Stop air condition after 17.00 of office area</t>
  </si>
  <si>
    <t>Can recovery about 3.00 MB</t>
  </si>
  <si>
    <r>
      <rPr>
        <u/>
        <sz val="11"/>
        <color theme="1" tint="0.249977111117893"/>
        <rFont val="Aptos Narrow"/>
        <family val="2"/>
        <scheme val="minor"/>
      </rPr>
      <t>&lt;</t>
    </r>
    <r>
      <rPr>
        <sz val="11"/>
        <color theme="1" tint="0.249977111117893"/>
        <rFont val="Aptos Narrow"/>
        <family val="2"/>
        <scheme val="minor"/>
      </rPr>
      <t xml:space="preserve"> 3,298 Tons 
(As VAP forcast 17,182 MB)</t>
    </r>
  </si>
  <si>
    <t>Accumulate Apr-Jun CO2 Emission over +480 t-CO2 from planned, The reason are (1) Co-generation stop (2) No energy day not achieve</t>
  </si>
  <si>
    <t>Can recovery about 490 t-CO2</t>
  </si>
  <si>
    <t>➀ Daily usage increase/Holiday work over plan (+0.47MB)
 ➁ Co-generation long break down (+4.03 MB)​</t>
  </si>
  <si>
    <t>Can recovery about 5.60 MB</t>
  </si>
  <si>
    <t>➀ Unit price over plan (+0.09MB)</t>
  </si>
  <si>
    <t>➀ advance water reduction activity
-Water recycle to reduce RO water usage</t>
  </si>
  <si>
    <t>Can recovery about 0.092 MB</t>
  </si>
  <si>
    <t>Accumulate Apr-Jul CO2 Emission over +766 t-CO2 from planned, The reason are (1) Co-generation stop (2) No energy day not achieve (3) Daily usage increase from production volume up and irrecgular issue</t>
  </si>
  <si>
    <t>Can recovery about 772 t-CO2</t>
  </si>
  <si>
    <t>Accumulate Apr-Jul  +6.94 MB
➀ Daily usage increase/Holiday work over plan (+2.91MB)
 ➁ Co-generation long break down (+4.03 MB)​</t>
  </si>
  <si>
    <t>Can recovery about 7.01 MB</t>
  </si>
  <si>
    <t xml:space="preserve">Monthly result increase from AP +0.01 MB effect from unit price increase +10%(31 THB/m3 to 34 THB/m3)
Accumulate Apr-Jul can acchieve </t>
  </si>
  <si>
    <t>Food waste : Because some reduction activity was delay and some activityies will  effect result on Aug.25</t>
  </si>
  <si>
    <t>Increase the amount of food waste that can be composed to fertilizer.</t>
  </si>
  <si>
    <t>Accumulate Apr-Aug CO2 Emission over +865 t-CO2 from planned, The reason are (1) Co-generation stop (2) No energy day not achieve (3) Daily usage increase from production volume up and irrecgular issue</t>
  </si>
  <si>
    <t>Can recovery about 904 t-CO2</t>
  </si>
  <si>
    <t>Feb'26</t>
  </si>
  <si>
    <t>Accumulate Apr-Aug  +8.061 MB
➀ Daily usage increase/Holiday work over plan (+4.03 MB)
 ➁ Co-generation long break down (+4.03 MB)​</t>
  </si>
  <si>
    <t xml:space="preserve">Monthly result increase from AP +0.05 MB effect from unit price increase +10%(31 THB/m3 to 34 THB/m3)
Accumulate Apr-Jul can acchieve </t>
  </si>
  <si>
    <t>➀ Speed up water reduction activity (-0.04 MB)
-Increase recycle water ration at cooling tower  (-0.02 MB)
 ➁ Promote water reduction activity for reduce water usage</t>
  </si>
  <si>
    <t>Can recovery about 0.06 MB</t>
  </si>
  <si>
    <t>Production volume increase+10% from AP</t>
  </si>
  <si>
    <t>➀ Review adj water supply of cooling tower (Continue Ozone project)
➁ Promote water reduction activity for reduce water usage</t>
  </si>
  <si>
    <t>-Production volume increase+10% from AP</t>
  </si>
  <si>
    <t>-➀ Review adj water supply of cooling tower (Continue Ozeoe project) (0.1MB)
➁ Promote water reduction activity for reduce water usage</t>
  </si>
  <si>
    <t>-Can recovery about 0.1 MB</t>
  </si>
  <si>
    <t>-Nov'25</t>
  </si>
  <si>
    <t>Waste amount over target 4.5 Tons  from Aluminium NG Scrap-Housing supply pump HP5 12,153 pcs.</t>
  </si>
  <si>
    <t>Accumulate Apr-Oct'25 CO2 Emission over +427 t-CO2 from planned, The reason are (1) Co-generation stop onJun-Aug'25 (2) Daily usage increase from production volume up and irrecgular issue</t>
  </si>
  <si>
    <t>Loss from Co-generation BM 
-Improve performance after repair, Addition time running on Oct'25-Mar'26
Loss from daily usage increase
-Scope JIT supply
-Reduce loss, air leak, standby m/c (Energy patrol)</t>
  </si>
  <si>
    <t>Can recovery about 534 t-CO2</t>
  </si>
  <si>
    <t>Mar'26</t>
  </si>
  <si>
    <t>Accumulate Apr-Oct'25 Energy cost over +1.9 MB from planned, The reason are (1) Co-generation stop Jun-Aug'25 (2) Daily usage increase from production volume up and irrecgular issue</t>
  </si>
  <si>
    <t>Can recovery about 1.9 MB</t>
  </si>
  <si>
    <t>Accumulate Apr-Oct'25 CO2 Emission over +464 t-CO2 from planned, The reason are (1) Co-generation stop onJun-Aug'25 (2) Daily usage increase from production volume up and irrecgular issue</t>
  </si>
  <si>
    <t>Can recovery about 549 t-CO2</t>
  </si>
  <si>
    <t>Monthly +1,608 m3 from operate cogeneration over plan (Cogeneration operate 24 hr for recovery CO2 emission)</t>
  </si>
  <si>
    <t>➀ Review adj water supply of cooling tower (Continue Ozone project)</t>
  </si>
  <si>
    <t>Reduce water usage 1,830 m3</t>
  </si>
  <si>
    <t>Jan'26</t>
  </si>
  <si>
    <t>Accumulate Apr-Dec25 CO2 Emission over +293 t-CO2 from planned, The reason are (1) Co-generation stop on Jun-Aug'25 (2) Daily usage increase from production volume up and irrecgular issue</t>
  </si>
  <si>
    <t>Monthly +5,769m3 from operate cogeneration over plan (Cogeneration operate 24 hr for recovery CO2 emission)</t>
  </si>
  <si>
    <t>Monthly 0.14MB (Accumulat +0.1MB) from operate cogeneration over plan (Cogeneration operate 24 hr for recovery CO2 emission)</t>
  </si>
  <si>
    <t>Waste amount over monthly target 1 Ton from NG scrap part holding. (Case Fuel Filter, Shoe)</t>
  </si>
  <si>
    <t>Accumulate Apr-Jan26 CO2 Emission over +434 t-CO2 from planned, The reason are (1) Co-generation stop on Jun-Aug'25 (2) Daily usage increase from production volume up and irrecgular issue</t>
  </si>
  <si>
    <t>Monthly result Feb26 CO2 Emission over +427 t-CO2 from planned (Accu +859 t-CO2) , The reason are (1) Unplan working day  (2) Daily usage increase from production volume up +19%</t>
  </si>
  <si>
    <t>Based on the current situation, this year’s target is expected to be unachievable. A recovery plan will be implemented to ensure the long-term target for 2026 can be achieved.</t>
  </si>
  <si>
    <t xml:space="preserve">Water uase  amount over monthly target +3,391 m3 from 
1..Production volume increase+19% from AP (+3,391m3)
</t>
  </si>
  <si>
    <t xml:space="preserve">Water cost over monthly target +0.16 MB from 
1..Production volume increase+19% from AP (+0.16 MB)
</t>
  </si>
  <si>
    <t>Waste amount over monthly target 4 Tons from GDP 4,021 Pcs. (Quality Issue : Cover damper laser welding leak)</t>
  </si>
  <si>
    <t>INJ G2 G3</t>
  </si>
  <si>
    <t>INJ G4&amp;G4S</t>
  </si>
  <si>
    <t>UC Assy</t>
  </si>
  <si>
    <t>UC Machine</t>
  </si>
  <si>
    <t>SKD/DF</t>
  </si>
  <si>
    <t>SKD/SIFs</t>
  </si>
  <si>
    <t>SKD/Solenoid G2 G3</t>
  </si>
  <si>
    <t>SKD/Solenoid G4 G4.5</t>
  </si>
  <si>
    <t>SKD/SCV</t>
  </si>
  <si>
    <t>SKD/PCV</t>
  </si>
  <si>
    <t>SKD/PRV</t>
  </si>
  <si>
    <t>SKD/PE</t>
  </si>
  <si>
    <t>SDM/PE</t>
  </si>
  <si>
    <t>QA 
SDM</t>
  </si>
  <si>
    <t>QA 
SKD</t>
  </si>
  <si>
    <t>PDI</t>
  </si>
  <si>
    <t>PI SDM</t>
  </si>
  <si>
    <t>PI SKD</t>
  </si>
  <si>
    <t>Warehouse</t>
  </si>
  <si>
    <t>FC</t>
  </si>
  <si>
    <t>Contaminated  Material</t>
  </si>
  <si>
    <t>Food waste</t>
  </si>
  <si>
    <t>Used Oil</t>
  </si>
  <si>
    <t>Garbage Waste</t>
  </si>
  <si>
    <t>NG Steel</t>
  </si>
  <si>
    <t>Waste reduction (Ton)</t>
  </si>
  <si>
    <t>&lt; 3,298 Tons 
(As sale forcast 17,182.)</t>
  </si>
  <si>
    <t>Sevenior for SHE Con</t>
  </si>
  <si>
    <t>PUMP+CR</t>
  </si>
  <si>
    <t>INJ</t>
  </si>
  <si>
    <t>SKD</t>
  </si>
  <si>
    <t>Warehouse Fac#1</t>
  </si>
  <si>
    <t>Warehouse Fac#2</t>
  </si>
  <si>
    <t>Office Fac#2</t>
  </si>
  <si>
    <t>Utility</t>
  </si>
  <si>
    <t>ton/VAP-MB</t>
  </si>
  <si>
    <t>Sale</t>
  </si>
  <si>
    <t>Profit</t>
  </si>
  <si>
    <t>Amount</t>
  </si>
  <si>
    <t>All Expense (KB),Investment (KB) Manpower (Prs)</t>
  </si>
  <si>
    <t>Ratio</t>
  </si>
  <si>
    <t>BEP</t>
  </si>
  <si>
    <t>Fixed cost C/D</t>
  </si>
  <si>
    <t>Acc</t>
  </si>
  <si>
    <t>Productivity</t>
  </si>
  <si>
    <t>Direct (%)</t>
  </si>
  <si>
    <t>All
(IOT, DX, Attractive etc.)</t>
  </si>
  <si>
    <t>Direct (Ninku)</t>
  </si>
  <si>
    <t>Ninku</t>
  </si>
  <si>
    <t>Indirect (%)</t>
  </si>
  <si>
    <t>Indirect (Ninku)</t>
  </si>
  <si>
    <t>Labour cost</t>
  </si>
  <si>
    <t>Accu Target</t>
  </si>
  <si>
    <t>Accu result</t>
  </si>
  <si>
    <t>1. Safety</t>
  </si>
  <si>
    <t>Nearm</t>
  </si>
  <si>
    <t>(Reduce 50% from FY24)</t>
  </si>
  <si>
    <t>Been-hit &amp; Other</t>
  </si>
  <si>
    <t>2. Quality</t>
  </si>
  <si>
    <t>3. Delivery</t>
  </si>
  <si>
    <t>&lt;130 Case</t>
  </si>
  <si>
    <t>7.65/year
0.64/month</t>
  </si>
  <si>
    <t>4. Compliance</t>
  </si>
  <si>
    <t>5. HR</t>
  </si>
  <si>
    <t>3.20 points</t>
  </si>
  <si>
    <t>6. Attractive</t>
  </si>
  <si>
    <t>Non-value work reduction (Direct/Ind)</t>
  </si>
  <si>
    <t xml:space="preserve">Direct 33% </t>
  </si>
  <si>
    <t>7. Environment</t>
  </si>
  <si>
    <t>&lt;251.99</t>
  </si>
  <si>
    <t>&lt;292,915</t>
  </si>
  <si>
    <t>m3/VAP-MB</t>
  </si>
  <si>
    <t>&lt;8.84</t>
  </si>
  <si>
    <t>-1% FY24 
(0.1920 Ton/VAP-)</t>
  </si>
  <si>
    <t>8.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</si>
</sst>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43" formatCode="_(* #,##0.00_);_(* \(#,##0.00\);_(* &quot;-&quot;??_);_(@_)"/>
    <numFmt numFmtId="164" formatCode="_-* #,##0_-;\-* #,##0_-;_-* &quot;-&quot;_-;_-@_-"/>
    <numFmt numFmtId="165" formatCode="_-* #,##0.00_-;\-* #,##0.00_-;_-* &quot;-&quot;??_-;_-@_-"/>
    <numFmt numFmtId="166" formatCode="0.0%"/>
    <numFmt numFmtId="167" formatCode="B1mmm\-yy"/>
    <numFmt numFmtId="168" formatCode="0.0000"/>
    <numFmt numFmtId="169" formatCode="0.0"/>
    <numFmt numFmtId="170" formatCode="0.000"/>
    <numFmt numFmtId="171" formatCode="#,##0.000"/>
    <numFmt numFmtId="172" formatCode="0.000%"/>
    <numFmt numFmtId="173" formatCode="_(* #,##0_);_(* \(#,##0\);_(* &quot;-&quot;??_);_(@_)"/>
    <numFmt numFmtId="174" formatCode="_-* #,##0_-;\-* #,##0_-;_-* &quot;-&quot;??_-;_-@_-"/>
    <numFmt numFmtId="175" formatCode="#,##0_ ;\-#,##0\ "/>
    <numFmt numFmtId="176" formatCode="#,##0.0"/>
    <numFmt numFmtId="177" formatCode="_-* #,##0.000_-;\-* #,##0.000_-;_-* &quot;-&quot;??_-;_-@_-"/>
  </numFmts>
  <fonts count="170">
    <font>
      <sz val="11"/>
      <color theme="1"/>
      <name val="Aptos Narrow"/>
      <family val="2"/>
      <scheme val="minor"/>
    </font>
    <font>
      <sz val="11"/>
      <color theme="1"/>
      <name val="Aptos Narrow"/>
      <family val="2"/>
      <charset val="222"/>
      <scheme val="minor"/>
    </font>
    <font>
      <sz val="11"/>
      <color theme="1"/>
      <name val="Aptos Narrow"/>
      <family val="2"/>
      <charset val="222"/>
      <scheme val="minor"/>
    </font>
    <font>
      <b/>
      <sz val="12"/>
      <color rgb="FF000000"/>
      <name val="Meiryo"/>
      <family val="2"/>
    </font>
    <font>
      <b/>
      <sz val="10"/>
      <color rgb="FF000000"/>
      <name val="Meiryo"/>
      <family val="2"/>
    </font>
    <font>
      <sz val="9"/>
      <color rgb="FF000000"/>
      <name val="Meiryo"/>
      <family val="2"/>
    </font>
    <font>
      <b/>
      <sz val="9"/>
      <color rgb="FF000000"/>
      <name val="Meiryo"/>
      <family val="2"/>
    </font>
    <font>
      <sz val="9"/>
      <color rgb="FF0070C0"/>
      <name val="Meiryo"/>
      <family val="2"/>
    </font>
    <font>
      <b/>
      <sz val="10"/>
      <name val="Meiryo"/>
      <family val="2"/>
    </font>
    <font>
      <sz val="11"/>
      <color theme="1"/>
      <name val="Aptos Narrow"/>
      <family val="2"/>
      <scheme val="minor"/>
    </font>
    <font>
      <sz val="8"/>
      <name val="Aptos Narrow"/>
      <family val="2"/>
      <scheme val="minor"/>
    </font>
    <font>
      <sz val="11"/>
      <name val="Aptos Narrow"/>
      <family val="2"/>
      <scheme val="minor"/>
    </font>
    <font>
      <b/>
      <sz val="10"/>
      <color rgb="FF0000FF"/>
      <name val="Meiryo"/>
      <family val="2"/>
    </font>
    <font>
      <sz val="12"/>
      <name val="Verdana"/>
      <family val="2"/>
    </font>
    <font>
      <sz val="12"/>
      <color theme="1"/>
      <name val="Verdana"/>
      <family val="2"/>
    </font>
    <font>
      <sz val="12"/>
      <color rgb="FF0000FF"/>
      <name val="Verdana"/>
      <family val="2"/>
    </font>
    <font>
      <sz val="11"/>
      <color rgb="FF000000"/>
      <name val="Verdana"/>
      <family val="2"/>
    </font>
    <font>
      <sz val="12"/>
      <color rgb="FF000000"/>
      <name val="Verdana"/>
      <family val="2"/>
    </font>
    <font>
      <b/>
      <sz val="10"/>
      <color rgb="FF000000"/>
      <name val="Meiryo"/>
      <family val="2"/>
      <charset val="128"/>
    </font>
    <font>
      <b/>
      <sz val="10"/>
      <color rgb="FF0412D9"/>
      <name val="Meiryo"/>
      <family val="2"/>
    </font>
    <font>
      <sz val="11"/>
      <color theme="1"/>
      <name val="Aptos Narrow"/>
      <family val="2"/>
      <charset val="222"/>
      <scheme val="minor"/>
    </font>
    <font>
      <sz val="10"/>
      <color theme="1"/>
      <name val="Aptos Narrow"/>
      <family val="2"/>
      <scheme val="minor"/>
    </font>
    <font>
      <u/>
      <sz val="11"/>
      <color theme="10"/>
      <name val="Aptos Narrow"/>
      <family val="2"/>
      <scheme val="minor"/>
    </font>
    <font>
      <u/>
      <sz val="11"/>
      <color theme="1"/>
      <name val="Aptos Narrow"/>
      <family val="2"/>
      <scheme val="minor"/>
    </font>
    <font>
      <u/>
      <sz val="11"/>
      <color rgb="FF000000"/>
      <name val="Aptos Narrow"/>
      <family val="2"/>
      <scheme val="minor"/>
    </font>
    <font>
      <sz val="11"/>
      <color rgb="FF000000"/>
      <name val="Aptos Narrow"/>
      <family val="2"/>
      <scheme val="minor"/>
    </font>
    <font>
      <sz val="11"/>
      <color rgb="FF000000"/>
      <name val="Aptos Narrow"/>
      <family val="2"/>
    </font>
    <font>
      <b/>
      <sz val="12"/>
      <color rgb="FF000000"/>
      <name val="Meiryo"/>
      <family val="2"/>
      <charset val="128"/>
    </font>
    <font>
      <sz val="9"/>
      <color rgb="FF000000"/>
      <name val="Meiryo"/>
      <family val="2"/>
      <charset val="128"/>
    </font>
    <font>
      <b/>
      <sz val="10"/>
      <name val="Meiryo"/>
      <family val="2"/>
      <charset val="128"/>
    </font>
    <font>
      <sz val="11"/>
      <color rgb="FF000000"/>
      <name val="Tahoma"/>
      <family val="2"/>
    </font>
    <font>
      <b/>
      <sz val="10"/>
      <color rgb="FF0000FF"/>
      <name val="Meiryo"/>
      <family val="2"/>
      <charset val="128"/>
    </font>
    <font>
      <sz val="10"/>
      <name val="Meiryo"/>
      <family val="2"/>
    </font>
    <font>
      <sz val="10"/>
      <color rgb="FF0412D9"/>
      <name val="Meiryo"/>
      <family val="2"/>
    </font>
    <font>
      <b/>
      <sz val="9"/>
      <color indexed="81"/>
      <name val="Tahoma"/>
      <family val="2"/>
    </font>
    <font>
      <b/>
      <sz val="10"/>
      <color theme="1"/>
      <name val="Aptos Narrow"/>
      <family val="2"/>
      <scheme val="minor"/>
    </font>
    <font>
      <sz val="12"/>
      <color theme="1"/>
      <name val="Verdana"/>
      <family val="2"/>
    </font>
    <font>
      <b/>
      <sz val="9"/>
      <color rgb="FF000000"/>
      <name val="Meiryo"/>
      <family val="2"/>
      <charset val="128"/>
    </font>
    <font>
      <b/>
      <sz val="10"/>
      <color rgb="FF0412D9"/>
      <name val="Meiryo"/>
      <family val="2"/>
      <charset val="128"/>
    </font>
    <font>
      <sz val="11"/>
      <color rgb="FFFF0000"/>
      <name val="Aptos Narrow"/>
      <family val="2"/>
      <scheme val="minor"/>
    </font>
    <font>
      <sz val="9"/>
      <color indexed="81"/>
      <name val="Tahoma"/>
      <family val="2"/>
    </font>
    <font>
      <sz val="10"/>
      <color theme="1"/>
      <name val="Aptos Narrow"/>
      <family val="2"/>
      <charset val="222"/>
      <scheme val="minor"/>
    </font>
    <font>
      <b/>
      <sz val="11"/>
      <color theme="1"/>
      <name val="Aptos Narrow"/>
      <family val="2"/>
      <scheme val="minor"/>
    </font>
    <font>
      <sz val="9"/>
      <color theme="1"/>
      <name val="Aptos Narrow"/>
      <family val="2"/>
      <scheme val="minor"/>
    </font>
    <font>
      <sz val="8"/>
      <color theme="1"/>
      <name val="Aptos Narrow"/>
      <family val="2"/>
      <scheme val="minor"/>
    </font>
    <font>
      <sz val="10.5"/>
      <color rgb="FF0000FF"/>
      <name val="Verdana"/>
      <family val="2"/>
    </font>
    <font>
      <sz val="11"/>
      <color rgb="FF0000FF"/>
      <name val="Aptos Narrow"/>
      <family val="2"/>
      <scheme val="minor"/>
    </font>
    <font>
      <strike/>
      <sz val="11"/>
      <color rgb="FF000000"/>
      <name val="Aptos Narrow"/>
      <family val="2"/>
      <scheme val="minor"/>
    </font>
    <font>
      <sz val="11"/>
      <color rgb="FFFF0000"/>
      <name val="Tahoma"/>
      <family val="2"/>
    </font>
    <font>
      <b/>
      <sz val="10"/>
      <color rgb="FFFF0000"/>
      <name val="Aptos Narrow"/>
      <family val="2"/>
      <scheme val="minor"/>
    </font>
    <font>
      <sz val="11"/>
      <name val="Tahoma"/>
      <family val="2"/>
    </font>
    <font>
      <b/>
      <sz val="12"/>
      <color indexed="81"/>
      <name val="Tahoma"/>
      <family val="2"/>
    </font>
    <font>
      <b/>
      <sz val="14"/>
      <color indexed="81"/>
      <name val="Tahoma"/>
      <family val="2"/>
    </font>
    <font>
      <sz val="11"/>
      <color theme="1"/>
      <name val="Meiryo"/>
      <family val="2"/>
    </font>
    <font>
      <sz val="11"/>
      <name val="Meiryo"/>
      <family val="2"/>
    </font>
    <font>
      <sz val="11"/>
      <color rgb="FF000000"/>
      <name val="Meiryo"/>
      <family val="2"/>
    </font>
    <font>
      <b/>
      <sz val="11"/>
      <color theme="1"/>
      <name val="Meiryo"/>
      <family val="2"/>
    </font>
    <font>
      <b/>
      <sz val="11"/>
      <color rgb="FF000000"/>
      <name val="Meiryo"/>
      <family val="2"/>
    </font>
    <font>
      <sz val="11"/>
      <color theme="1" tint="0.249977111117893"/>
      <name val="Meiryo"/>
      <family val="2"/>
    </font>
    <font>
      <b/>
      <sz val="11"/>
      <color theme="1" tint="0.249977111117893"/>
      <name val="Meiryo"/>
      <family val="2"/>
    </font>
    <font>
      <sz val="11"/>
      <color theme="1" tint="0.14999847407452621"/>
      <name val="Meiryo"/>
      <family val="2"/>
    </font>
    <font>
      <sz val="11"/>
      <color rgb="FFFF0000"/>
      <name val="Meiryo"/>
      <family val="2"/>
    </font>
    <font>
      <u/>
      <sz val="11"/>
      <color theme="1" tint="0.14999847407452621"/>
      <name val="Meiryo"/>
      <family val="2"/>
    </font>
    <font>
      <b/>
      <sz val="11"/>
      <color rgb="FFFF0000"/>
      <name val="Meiryo"/>
      <family val="2"/>
    </font>
    <font>
      <sz val="11"/>
      <color rgb="FF0000FF"/>
      <name val="Meiryo"/>
      <family val="2"/>
    </font>
    <font>
      <sz val="11"/>
      <color theme="0"/>
      <name val="Meiryo"/>
      <family val="2"/>
    </font>
    <font>
      <sz val="10"/>
      <color rgb="FF0000FF"/>
      <name val="Meiryo"/>
      <family val="2"/>
    </font>
    <font>
      <sz val="12"/>
      <color theme="1" tint="0.249977111117893"/>
      <name val="Meiryo"/>
      <family val="2"/>
    </font>
    <font>
      <b/>
      <sz val="12"/>
      <color theme="1" tint="0.249977111117893"/>
      <name val="Meiryo"/>
      <family val="2"/>
    </font>
    <font>
      <b/>
      <sz val="9"/>
      <color theme="1" tint="0.249977111117893"/>
      <name val="Meiryo"/>
      <family val="2"/>
    </font>
    <font>
      <sz val="10"/>
      <color theme="1" tint="0.249977111117893"/>
      <name val="Meiryo"/>
      <family val="2"/>
    </font>
    <font>
      <sz val="9"/>
      <color theme="1" tint="0.249977111117893"/>
      <name val="Meiryo"/>
      <family val="2"/>
    </font>
    <font>
      <sz val="11"/>
      <color theme="0" tint="-0.14999847407452621"/>
      <name val="Meiryo"/>
      <family val="2"/>
    </font>
    <font>
      <sz val="11"/>
      <color theme="0" tint="-4.9989318521683403E-2"/>
      <name val="Meiryo"/>
      <family val="2"/>
    </font>
    <font>
      <sz val="12"/>
      <color theme="0"/>
      <name val="Meiryo"/>
      <family val="2"/>
    </font>
    <font>
      <i/>
      <sz val="11"/>
      <color theme="1" tint="0.249977111117893"/>
      <name val="Meiryo"/>
      <family val="2"/>
    </font>
    <font>
      <u/>
      <sz val="11"/>
      <color theme="1" tint="0.249977111117893"/>
      <name val="Meiryo"/>
      <family val="2"/>
    </font>
    <font>
      <sz val="11"/>
      <color theme="0" tint="-0.499984740745262"/>
      <name val="Meiryo"/>
      <family val="2"/>
    </font>
    <font>
      <u/>
      <sz val="10"/>
      <color theme="1" tint="0.249977111117893"/>
      <name val="Meiryo"/>
      <family val="2"/>
    </font>
    <font>
      <sz val="11"/>
      <color theme="1"/>
      <name val="Meiryo UI"/>
      <family val="2"/>
    </font>
    <font>
      <b/>
      <sz val="12"/>
      <color theme="1"/>
      <name val="Meiryo UI"/>
      <family val="2"/>
    </font>
    <font>
      <u/>
      <sz val="11"/>
      <color theme="10"/>
      <name val="Meiryo UI"/>
      <family val="2"/>
    </font>
    <font>
      <sz val="10"/>
      <color theme="1" tint="0.249977111117893"/>
      <name val="Meiryo"/>
      <family val="2"/>
      <charset val="128"/>
    </font>
    <font>
      <sz val="11"/>
      <color rgb="FF404040"/>
      <name val="Meiryo"/>
      <family val="2"/>
    </font>
    <font>
      <b/>
      <sz val="11"/>
      <color rgb="FF404040"/>
      <name val="Meiryo"/>
      <family val="2"/>
    </font>
    <font>
      <sz val="14"/>
      <color rgb="FFFF0000"/>
      <name val="Meiryo"/>
      <family val="2"/>
    </font>
    <font>
      <b/>
      <u/>
      <sz val="14"/>
      <color rgb="FFFF0000"/>
      <name val="Meiryo"/>
      <family val="2"/>
    </font>
    <font>
      <sz val="6"/>
      <color theme="1" tint="0.249977111117893"/>
      <name val="Meiryo"/>
      <family val="2"/>
    </font>
    <font>
      <b/>
      <u/>
      <sz val="14"/>
      <color theme="1" tint="0.249977111117893"/>
      <name val="Meiryo"/>
      <family val="2"/>
    </font>
    <font>
      <b/>
      <u/>
      <sz val="14"/>
      <color rgb="FF0000FF"/>
      <name val="Meiryo"/>
      <family val="2"/>
    </font>
    <font>
      <sz val="11"/>
      <color theme="1" tint="0.249977111117893"/>
      <name val="Meiryo"/>
      <family val="2"/>
      <charset val="128"/>
    </font>
    <font>
      <b/>
      <sz val="11"/>
      <color rgb="FF0000FF"/>
      <name val="Meiryo"/>
      <family val="2"/>
    </font>
    <font>
      <sz val="14"/>
      <color rgb="FF0000FF"/>
      <name val="Meiryo"/>
      <family val="2"/>
    </font>
    <font>
      <b/>
      <sz val="11"/>
      <color theme="1" tint="0.249977111117893"/>
      <name val="Meiryo"/>
      <family val="2"/>
      <charset val="128"/>
    </font>
    <font>
      <b/>
      <u/>
      <sz val="14"/>
      <color rgb="FFFF0000"/>
      <name val="Meiryo"/>
      <family val="2"/>
      <charset val="128"/>
    </font>
    <font>
      <b/>
      <sz val="12"/>
      <color theme="1" tint="0.249977111117893"/>
      <name val="Yu Gothic UI"/>
      <family val="2"/>
    </font>
    <font>
      <b/>
      <sz val="9"/>
      <color theme="1" tint="0.249977111117893"/>
      <name val="Yu Gothic UI"/>
      <family val="2"/>
    </font>
    <font>
      <b/>
      <sz val="11"/>
      <color theme="1" tint="0.249977111117893"/>
      <name val="Yu Gothic UI"/>
      <family val="2"/>
    </font>
    <font>
      <b/>
      <sz val="10"/>
      <color theme="1" tint="0.249977111117893"/>
      <name val="Yu Gothic UI"/>
      <family val="2"/>
    </font>
    <font>
      <sz val="12"/>
      <color theme="1" tint="0.249977111117893"/>
      <name val="Yu Gothic UI"/>
      <family val="2"/>
    </font>
    <font>
      <sz val="10"/>
      <color theme="1" tint="0.249977111117893"/>
      <name val="Yu Gothic UI"/>
      <family val="2"/>
    </font>
    <font>
      <sz val="11"/>
      <color theme="1" tint="0.249977111117893"/>
      <name val="Yu Gothic UI"/>
      <family val="2"/>
    </font>
    <font>
      <sz val="9"/>
      <color theme="1" tint="0.249977111117893"/>
      <name val="Yu Gothic UI"/>
      <family val="2"/>
    </font>
    <font>
      <sz val="12"/>
      <color theme="0"/>
      <name val="Yu Gothic UI"/>
      <family val="2"/>
    </font>
    <font>
      <sz val="11"/>
      <color theme="0" tint="-0.14999847407452621"/>
      <name val="Yu Gothic UI"/>
      <family val="2"/>
    </font>
    <font>
      <sz val="10"/>
      <color rgb="FF0000FF"/>
      <name val="Yu Gothic UI"/>
      <family val="2"/>
    </font>
    <font>
      <u/>
      <sz val="10"/>
      <color theme="1" tint="0.249977111117893"/>
      <name val="Meiryo"/>
      <family val="2"/>
      <charset val="128"/>
    </font>
    <font>
      <b/>
      <u/>
      <sz val="11"/>
      <color theme="1" tint="0.249977111117893"/>
      <name val="Meiryo"/>
      <family val="2"/>
    </font>
    <font>
      <sz val="12"/>
      <color rgb="FF000000"/>
      <name val="Meiryo"/>
      <family val="2"/>
      <charset val="222"/>
    </font>
    <font>
      <sz val="9"/>
      <color rgb="FF000000"/>
      <name val="Meiryo"/>
      <family val="2"/>
      <charset val="222"/>
    </font>
    <font>
      <sz val="12"/>
      <color rgb="FF000000"/>
      <name val="Verdana"/>
      <family val="2"/>
      <charset val="222"/>
    </font>
    <font>
      <sz val="10"/>
      <color rgb="FF000000"/>
      <name val="Meiryo"/>
      <family val="2"/>
      <charset val="222"/>
    </font>
    <font>
      <sz val="10"/>
      <name val="Meiryo"/>
      <family val="2"/>
      <charset val="222"/>
    </font>
    <font>
      <sz val="12"/>
      <color theme="1"/>
      <name val="Verdana"/>
      <family val="2"/>
      <charset val="222"/>
    </font>
    <font>
      <sz val="11"/>
      <name val="Aptos Narrow"/>
      <family val="2"/>
      <charset val="222"/>
      <scheme val="minor"/>
    </font>
    <font>
      <sz val="12"/>
      <color rgb="FF000000"/>
      <name val="Yu Gothic UI"/>
      <family val="2"/>
    </font>
    <font>
      <sz val="9"/>
      <color rgb="FF000000"/>
      <name val="Yu Gothic UI"/>
      <family val="2"/>
    </font>
    <font>
      <sz val="11"/>
      <color theme="1"/>
      <name val="Yu Gothic UI"/>
      <family val="2"/>
    </font>
    <font>
      <sz val="10"/>
      <color rgb="FF000000"/>
      <name val="Yu Gothic UI"/>
      <family val="2"/>
    </font>
    <font>
      <sz val="10"/>
      <name val="Yu Gothic UI"/>
      <family val="2"/>
    </font>
    <font>
      <sz val="12"/>
      <color theme="1"/>
      <name val="Yu Gothic UI"/>
      <family val="2"/>
    </font>
    <font>
      <sz val="11"/>
      <name val="Yu Gothic UI"/>
      <family val="2"/>
    </font>
    <font>
      <sz val="12"/>
      <name val="Yu Gothic UI"/>
      <family val="2"/>
    </font>
    <font>
      <sz val="12"/>
      <color rgb="FF0000FF"/>
      <name val="Yu Gothic UI"/>
      <family val="2"/>
    </font>
    <font>
      <sz val="12"/>
      <color theme="0" tint="-4.9989318521683403E-2"/>
      <name val="Yu Gothic UI"/>
      <family val="2"/>
    </font>
    <font>
      <b/>
      <sz val="12"/>
      <color rgb="FF0000FF"/>
      <name val="Yu Gothic UI"/>
      <family val="2"/>
    </font>
    <font>
      <b/>
      <u/>
      <sz val="16"/>
      <color rgb="FF0000FF"/>
      <name val="Yu Gothic UI"/>
      <family val="2"/>
    </font>
    <font>
      <b/>
      <sz val="11"/>
      <color rgb="FF0000FF"/>
      <name val="Meiryo"/>
      <family val="2"/>
      <charset val="128"/>
    </font>
    <font>
      <sz val="9"/>
      <color rgb="FF0070C0"/>
      <name val="Meiryo"/>
      <family val="2"/>
      <charset val="222"/>
    </font>
    <font>
      <sz val="12"/>
      <color rgb="FF000000"/>
      <name val="Meiryo"/>
      <family val="2"/>
    </font>
    <font>
      <sz val="10"/>
      <color rgb="FF000000"/>
      <name val="Meiryo"/>
      <family val="2"/>
    </font>
    <font>
      <sz val="12"/>
      <color theme="1" tint="0.249977111117893"/>
      <name val="Meiryo"/>
      <family val="2"/>
      <charset val="222"/>
    </font>
    <font>
      <sz val="12"/>
      <color theme="1"/>
      <name val="Aptos Narrow"/>
      <family val="2"/>
      <charset val="222"/>
      <scheme val="minor"/>
    </font>
    <font>
      <b/>
      <u/>
      <sz val="16"/>
      <color rgb="FFFF0000"/>
      <name val="Meiryo"/>
      <family val="2"/>
    </font>
    <font>
      <sz val="11"/>
      <color theme="1" tint="0.249977111117893"/>
      <name val="Aptos Narrow"/>
      <family val="2"/>
      <scheme val="minor"/>
    </font>
    <font>
      <u/>
      <sz val="11"/>
      <color rgb="FF404040"/>
      <name val="Meiryo"/>
      <family val="2"/>
    </font>
    <font>
      <b/>
      <sz val="12"/>
      <color rgb="FF404040"/>
      <name val="Meiryo"/>
      <family val="2"/>
    </font>
    <font>
      <b/>
      <u/>
      <sz val="11"/>
      <color rgb="FFFF0000"/>
      <name val="Meiryo"/>
      <family val="2"/>
    </font>
    <font>
      <b/>
      <u/>
      <sz val="12"/>
      <color rgb="FFFF0000"/>
      <name val="Meiryo"/>
      <family val="2"/>
    </font>
    <font>
      <u/>
      <sz val="11"/>
      <color rgb="FFFF0000"/>
      <name val="Meiryo"/>
      <family val="2"/>
    </font>
    <font>
      <sz val="11"/>
      <color rgb="FF000000"/>
      <name val="Yu Gothic UI"/>
      <family val="2"/>
    </font>
    <font>
      <sz val="11"/>
      <color rgb="FF0000FF"/>
      <name val="Yu Gothic UI"/>
      <family val="2"/>
    </font>
    <font>
      <sz val="11"/>
      <color theme="0"/>
      <name val="Yu Gothic UI"/>
      <family val="2"/>
    </font>
    <font>
      <sz val="11"/>
      <color theme="0" tint="-0.14999847407452621"/>
      <name val="Aptos Narrow"/>
      <family val="2"/>
      <charset val="222"/>
      <scheme val="minor"/>
    </font>
    <font>
      <sz val="12"/>
      <color theme="0"/>
      <name val="Meiryo"/>
      <family val="2"/>
      <charset val="222"/>
    </font>
    <font>
      <sz val="12"/>
      <color theme="0"/>
      <name val="Verdana"/>
      <family val="2"/>
      <charset val="222"/>
    </font>
    <font>
      <sz val="9"/>
      <color theme="1" tint="0.249977111117893"/>
      <name val="Meiryo"/>
      <family val="2"/>
      <charset val="222"/>
    </font>
    <font>
      <u/>
      <sz val="11"/>
      <color theme="1" tint="0.249977111117893"/>
      <name val="Aptos Narrow"/>
      <family val="2"/>
      <scheme val="minor"/>
    </font>
    <font>
      <sz val="12"/>
      <color theme="1" tint="0.249977111117893"/>
      <name val="Verdana"/>
      <family val="2"/>
    </font>
    <font>
      <sz val="10"/>
      <color theme="1" tint="0.249977111117893"/>
      <name val="Meiryo"/>
      <family val="2"/>
      <charset val="222"/>
    </font>
    <font>
      <sz val="12"/>
      <color theme="1" tint="0.249977111117893"/>
      <name val="Verdana"/>
      <family val="2"/>
      <charset val="222"/>
    </font>
    <font>
      <sz val="11"/>
      <color theme="1" tint="0.249977111117893"/>
      <name val="Aptos Narrow"/>
      <family val="2"/>
      <charset val="222"/>
      <scheme val="minor"/>
    </font>
    <font>
      <sz val="11"/>
      <color theme="1" tint="0.249977111117893"/>
      <name val="Tahoma"/>
      <family val="2"/>
    </font>
    <font>
      <sz val="11"/>
      <color theme="1" tint="0.249977111117893"/>
      <name val="Aptos Narrow"/>
      <family val="2"/>
      <charset val="222"/>
    </font>
    <font>
      <sz val="12"/>
      <color theme="1" tint="0.249977111117893"/>
      <name val="Meiryo"/>
      <family val="2"/>
      <charset val="128"/>
    </font>
    <font>
      <sz val="9"/>
      <color theme="1" tint="0.249977111117893"/>
      <name val="Meiryo"/>
      <family val="2"/>
      <charset val="128"/>
    </font>
    <font>
      <sz val="12"/>
      <color theme="0"/>
      <name val="Meiryo"/>
      <family val="2"/>
      <charset val="128"/>
    </font>
    <font>
      <sz val="12"/>
      <color theme="0"/>
      <name val="Verdana"/>
      <family val="2"/>
    </font>
    <font>
      <sz val="10"/>
      <color rgb="FF0412D9"/>
      <name val="Meiryo"/>
      <family val="2"/>
      <charset val="128"/>
    </font>
    <font>
      <sz val="11"/>
      <color theme="1" tint="0.249977111117893"/>
      <name val="Aptos Narrow"/>
      <family val="2"/>
    </font>
    <font>
      <u/>
      <sz val="11"/>
      <color rgb="FFFF0000"/>
      <name val="Meiryo"/>
      <family val="2"/>
      <charset val="128"/>
    </font>
    <font>
      <sz val="11"/>
      <color rgb="FF404040"/>
      <name val="Meiryo"/>
      <family val="2"/>
      <charset val="128"/>
    </font>
    <font>
      <b/>
      <sz val="11"/>
      <color rgb="FF404040"/>
      <name val="Meiryo"/>
      <family val="2"/>
      <charset val="128"/>
    </font>
    <font>
      <b/>
      <sz val="11"/>
      <color rgb="FFFF0000"/>
      <name val="Meiryo"/>
      <family val="2"/>
      <charset val="128"/>
    </font>
    <font>
      <sz val="10"/>
      <color rgb="FF0000FF"/>
      <name val="Meiryo"/>
      <family val="2"/>
      <charset val="128"/>
    </font>
    <font>
      <b/>
      <u/>
      <sz val="10"/>
      <color theme="1" tint="0.249977111117893"/>
      <name val="Meiryo"/>
      <family val="2"/>
      <charset val="128"/>
    </font>
    <font>
      <b/>
      <sz val="10"/>
      <color theme="1" tint="0.249977111117893"/>
      <name val="Meiryo"/>
      <family val="2"/>
      <charset val="128"/>
    </font>
    <font>
      <i/>
      <sz val="10"/>
      <color theme="1" tint="0.249977111117893"/>
      <name val="Meiryo"/>
      <family val="2"/>
    </font>
    <font>
      <b/>
      <sz val="11"/>
      <color rgb="FFC00000"/>
      <name val="Meiryo"/>
      <family val="2"/>
      <charset val="128"/>
    </font>
    <font>
      <sz val="11"/>
      <color rgb="FFC00000"/>
      <name val="Meiryo"/>
      <family val="2"/>
      <charset val="128"/>
    </font>
  </fonts>
  <fills count="29">
    <fill>
      <patternFill patternType="none"/>
    </fill>
    <fill>
      <patternFill patternType="gray125"/>
    </fill>
    <fill>
      <patternFill patternType="solid">
        <fgColor rgb="FFFEDAE8"/>
        <bgColor indexed="64"/>
      </patternFill>
    </fill>
    <fill>
      <patternFill patternType="solid">
        <fgColor theme="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1" tint="4.9989318521683403E-2"/>
        <bgColor indexed="64"/>
      </patternFill>
    </fill>
    <fill>
      <patternFill patternType="solid">
        <fgColor theme="0" tint="-4.9989318521683403E-2"/>
        <bgColor indexed="64"/>
      </patternFill>
    </fill>
    <fill>
      <patternFill patternType="solid">
        <fgColor rgb="FF000066"/>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1" tint="0.249977111117893"/>
        <bgColor indexed="64"/>
      </patternFill>
    </fill>
    <fill>
      <patternFill patternType="solid">
        <fgColor theme="3" tint="0.89999084444715716"/>
        <bgColor indexed="64"/>
      </patternFill>
    </fill>
    <fill>
      <patternFill patternType="solid">
        <fgColor rgb="FFFFC000"/>
        <bgColor indexed="64"/>
      </patternFill>
    </fill>
    <fill>
      <patternFill patternType="solid">
        <fgColor rgb="FFC00000"/>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A6C9EC"/>
        <bgColor rgb="FF000000"/>
      </patternFill>
    </fill>
    <fill>
      <patternFill patternType="solid">
        <fgColor rgb="FFFFFFCC"/>
        <bgColor indexed="64"/>
      </patternFill>
    </fill>
    <fill>
      <patternFill patternType="solid">
        <fgColor theme="5" tint="0.59999389629810485"/>
        <bgColor indexed="64"/>
      </patternFill>
    </fill>
    <fill>
      <patternFill patternType="solid">
        <fgColor rgb="FFFFFF99"/>
        <bgColor indexed="64"/>
      </patternFill>
    </fill>
    <fill>
      <patternFill patternType="solid">
        <fgColor rgb="FFFFCCCC"/>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7" tint="0.79998168889431442"/>
        <bgColor indexed="64"/>
      </patternFill>
    </fill>
  </fills>
  <borders count="40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4"/>
      </left>
      <right style="thin">
        <color indexed="64"/>
      </right>
      <top style="thin">
        <color indexed="64"/>
      </top>
      <bottom style="thin">
        <color indexed="64"/>
      </bottom>
      <diagonal/>
    </border>
    <border>
      <left style="thin">
        <color indexed="64"/>
      </left>
      <right style="thin">
        <color theme="4"/>
      </right>
      <top style="thin">
        <color indexed="64"/>
      </top>
      <bottom style="thin">
        <color indexed="64"/>
      </bottom>
      <diagonal/>
    </border>
    <border>
      <left style="thin">
        <color theme="4"/>
      </left>
      <right style="thin">
        <color theme="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medium">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theme="4"/>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style="thin">
        <color indexed="64"/>
      </top>
      <bottom style="hair">
        <color theme="0" tint="-0.34998626667073579"/>
      </bottom>
      <diagonal/>
    </border>
    <border>
      <left style="thin">
        <color indexed="64"/>
      </left>
      <right style="thin">
        <color indexed="64"/>
      </right>
      <top style="hair">
        <color theme="0" tint="-0.34998626667073579"/>
      </top>
      <bottom style="thin">
        <color indexed="64"/>
      </bottom>
      <diagonal/>
    </border>
    <border>
      <left style="hair">
        <color theme="0" tint="-0.499984740745262"/>
      </left>
      <right style="hair">
        <color theme="0" tint="-0.499984740745262"/>
      </right>
      <top style="thin">
        <color indexed="64"/>
      </top>
      <bottom style="thin">
        <color indexed="64"/>
      </bottom>
      <diagonal/>
    </border>
    <border>
      <left style="hair">
        <color theme="0" tint="-0.499984740745262"/>
      </left>
      <right style="thin">
        <color indexed="64"/>
      </right>
      <top style="thin">
        <color indexed="64"/>
      </top>
      <bottom style="thin">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diagonal/>
    </border>
    <border>
      <left style="thin">
        <color indexed="64"/>
      </left>
      <right style="hair">
        <color indexed="64"/>
      </right>
      <top/>
      <bottom/>
      <diagonal/>
    </border>
    <border>
      <left style="hair">
        <color indexed="64"/>
      </left>
      <right/>
      <top/>
      <bottom/>
      <diagonal/>
    </border>
    <border>
      <left style="thin">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hair">
        <color indexed="64"/>
      </top>
      <bottom/>
      <diagonal/>
    </border>
    <border>
      <left style="thin">
        <color indexed="64"/>
      </left>
      <right style="hair">
        <color theme="0" tint="-0.499984740745262"/>
      </right>
      <top/>
      <bottom/>
      <diagonal/>
    </border>
    <border>
      <left style="hair">
        <color theme="0" tint="-0.499984740745262"/>
      </left>
      <right style="hair">
        <color theme="0" tint="-0.499984740745262"/>
      </right>
      <top/>
      <bottom/>
      <diagonal/>
    </border>
    <border>
      <left style="thin">
        <color indexed="64"/>
      </left>
      <right style="hair">
        <color theme="0" tint="-0.499984740745262"/>
      </right>
      <top style="thin">
        <color indexed="64"/>
      </top>
      <bottom style="hair">
        <color indexed="64"/>
      </bottom>
      <diagonal/>
    </border>
    <border>
      <left style="hair">
        <color theme="0" tint="-0.499984740745262"/>
      </left>
      <right style="hair">
        <color theme="0" tint="-0.499984740745262"/>
      </right>
      <top style="thin">
        <color indexed="64"/>
      </top>
      <bottom style="hair">
        <color indexed="64"/>
      </bottom>
      <diagonal/>
    </border>
    <border>
      <left style="thin">
        <color indexed="64"/>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hair">
        <color theme="0" tint="-0.499984740745262"/>
      </right>
      <top style="hair">
        <color indexed="64"/>
      </top>
      <bottom style="thin">
        <color indexed="64"/>
      </bottom>
      <diagonal/>
    </border>
    <border>
      <left style="hair">
        <color theme="0" tint="-0.499984740745262"/>
      </left>
      <right style="hair">
        <color theme="0" tint="-0.499984740745262"/>
      </right>
      <top style="hair">
        <color indexed="64"/>
      </top>
      <bottom style="thin">
        <color indexed="64"/>
      </bottom>
      <diagonal/>
    </border>
    <border>
      <left style="hair">
        <color theme="0" tint="-0.499984740745262"/>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diagonal/>
    </border>
    <border>
      <left/>
      <right style="hair">
        <color theme="0" tint="-0.499984740745262"/>
      </right>
      <top style="thin">
        <color indexed="64"/>
      </top>
      <bottom style="thin">
        <color indexed="64"/>
      </bottom>
      <diagonal/>
    </border>
    <border>
      <left style="thin">
        <color theme="4"/>
      </left>
      <right style="hair">
        <color theme="0" tint="-0.499984740745262"/>
      </right>
      <top style="thin">
        <color indexed="64"/>
      </top>
      <bottom style="thin">
        <color indexed="64"/>
      </bottom>
      <diagonal/>
    </border>
    <border>
      <left/>
      <right/>
      <top/>
      <bottom style="thin">
        <color indexed="64"/>
      </bottom>
      <diagonal/>
    </border>
    <border>
      <left style="thin">
        <color indexed="64"/>
      </left>
      <right style="hair">
        <color theme="0" tint="-0.499984740745262"/>
      </right>
      <top style="thin">
        <color indexed="64"/>
      </top>
      <bottom style="thin">
        <color indexed="64"/>
      </bottom>
      <diagonal/>
    </border>
    <border>
      <left style="hair">
        <color theme="0" tint="-0.499984740745262"/>
      </left>
      <right style="dashed">
        <color theme="0" tint="-0.499984740745262"/>
      </right>
      <top style="thin">
        <color indexed="64"/>
      </top>
      <bottom style="thin">
        <color indexed="64"/>
      </bottom>
      <diagonal/>
    </border>
    <border>
      <left style="dashed">
        <color theme="0" tint="-0.499984740745262"/>
      </left>
      <right style="hair">
        <color theme="0" tint="-0.499984740745262"/>
      </right>
      <top style="thin">
        <color indexed="64"/>
      </top>
      <bottom style="thin">
        <color indexed="64"/>
      </bottom>
      <diagonal/>
    </border>
    <border>
      <left style="thin">
        <color indexed="64"/>
      </left>
      <right style="hair">
        <color theme="0" tint="-0.499984740745262"/>
      </right>
      <top/>
      <bottom style="hair">
        <color theme="0" tint="-0.34998626667073579"/>
      </bottom>
      <diagonal/>
    </border>
    <border>
      <left style="hair">
        <color theme="0" tint="-0.499984740745262"/>
      </left>
      <right style="hair">
        <color theme="0" tint="-0.499984740745262"/>
      </right>
      <top/>
      <bottom style="hair">
        <color theme="0" tint="-0.34998626667073579"/>
      </bottom>
      <diagonal/>
    </border>
    <border>
      <left style="hair">
        <color theme="0" tint="-0.499984740745262"/>
      </left>
      <right style="thin">
        <color indexed="64"/>
      </right>
      <top/>
      <bottom style="hair">
        <color theme="0" tint="-0.34998626667073579"/>
      </bottom>
      <diagonal/>
    </border>
    <border>
      <left style="thin">
        <color indexed="64"/>
      </left>
      <right style="thin">
        <color indexed="64"/>
      </right>
      <top/>
      <bottom style="hair">
        <color theme="0" tint="-0.34998626667073579"/>
      </bottom>
      <diagonal/>
    </border>
    <border>
      <left style="thin">
        <color indexed="64"/>
      </left>
      <right/>
      <top/>
      <bottom style="hair">
        <color theme="0" tint="-0.34998626667073579"/>
      </bottom>
      <diagonal/>
    </border>
    <border>
      <left style="hair">
        <color theme="0" tint="-0.499984740745262"/>
      </left>
      <right style="dashed">
        <color theme="0" tint="-0.499984740745262"/>
      </right>
      <top/>
      <bottom style="hair">
        <color theme="0" tint="-0.34998626667073579"/>
      </bottom>
      <diagonal/>
    </border>
    <border>
      <left style="dashed">
        <color theme="0" tint="-0.499984740745262"/>
      </left>
      <right style="hair">
        <color theme="0" tint="-0.499984740745262"/>
      </right>
      <top/>
      <bottom style="hair">
        <color theme="0" tint="-0.34998626667073579"/>
      </bottom>
      <diagonal/>
    </border>
    <border>
      <left/>
      <right style="thin">
        <color indexed="64"/>
      </right>
      <top/>
      <bottom style="hair">
        <color theme="0" tint="-0.34998626667073579"/>
      </bottom>
      <diagonal/>
    </border>
    <border>
      <left/>
      <right/>
      <top/>
      <bottom style="hair">
        <color theme="0" tint="-0.34998626667073579"/>
      </bottom>
      <diagonal/>
    </border>
    <border>
      <left style="thin">
        <color indexed="64"/>
      </left>
      <right style="hair">
        <color theme="0" tint="-0.499984740745262"/>
      </right>
      <top style="hair">
        <color theme="0" tint="-0.34998626667073579"/>
      </top>
      <bottom style="hair">
        <color theme="0" tint="-0.34998626667073579"/>
      </bottom>
      <diagonal/>
    </border>
    <border>
      <left style="hair">
        <color theme="0" tint="-0.499984740745262"/>
      </left>
      <right style="hair">
        <color theme="0" tint="-0.499984740745262"/>
      </right>
      <top style="hair">
        <color theme="0" tint="-0.34998626667073579"/>
      </top>
      <bottom style="hair">
        <color theme="0" tint="-0.34998626667073579"/>
      </bottom>
      <diagonal/>
    </border>
    <border>
      <left style="hair">
        <color theme="0" tint="-0.499984740745262"/>
      </left>
      <right style="thin">
        <color indexed="64"/>
      </right>
      <top style="hair">
        <color theme="0" tint="-0.34998626667073579"/>
      </top>
      <bottom style="hair">
        <color theme="0" tint="-0.34998626667073579"/>
      </bottom>
      <diagonal/>
    </border>
    <border>
      <left style="thin">
        <color indexed="64"/>
      </left>
      <right style="thin">
        <color indexed="64"/>
      </right>
      <top style="hair">
        <color theme="0" tint="-0.34998626667073579"/>
      </top>
      <bottom style="hair">
        <color theme="0" tint="-0.34998626667073579"/>
      </bottom>
      <diagonal/>
    </border>
    <border>
      <left style="thin">
        <color indexed="64"/>
      </left>
      <right/>
      <top style="hair">
        <color theme="0" tint="-0.34998626667073579"/>
      </top>
      <bottom style="hair">
        <color theme="0" tint="-0.34998626667073579"/>
      </bottom>
      <diagonal/>
    </border>
    <border>
      <left style="hair">
        <color theme="0" tint="-0.499984740745262"/>
      </left>
      <right style="dashed">
        <color theme="0" tint="-0.499984740745262"/>
      </right>
      <top style="hair">
        <color theme="0" tint="-0.34998626667073579"/>
      </top>
      <bottom style="hair">
        <color theme="0" tint="-0.34998626667073579"/>
      </bottom>
      <diagonal/>
    </border>
    <border>
      <left style="dashed">
        <color theme="0" tint="-0.499984740745262"/>
      </left>
      <right style="hair">
        <color theme="0" tint="-0.499984740745262"/>
      </right>
      <top style="hair">
        <color theme="0" tint="-0.34998626667073579"/>
      </top>
      <bottom style="hair">
        <color theme="0" tint="-0.34998626667073579"/>
      </bottom>
      <diagonal/>
    </border>
    <border>
      <left/>
      <right style="thin">
        <color indexed="64"/>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indexed="64"/>
      </left>
      <right style="hair">
        <color theme="0" tint="-0.499984740745262"/>
      </right>
      <top style="hair">
        <color theme="0" tint="-0.34998626667073579"/>
      </top>
      <bottom style="thin">
        <color indexed="64"/>
      </bottom>
      <diagonal/>
    </border>
    <border>
      <left style="hair">
        <color theme="0" tint="-0.499984740745262"/>
      </left>
      <right style="hair">
        <color theme="0" tint="-0.499984740745262"/>
      </right>
      <top style="hair">
        <color theme="0" tint="-0.34998626667073579"/>
      </top>
      <bottom/>
      <diagonal/>
    </border>
    <border>
      <left style="hair">
        <color theme="0" tint="-0.499984740745262"/>
      </left>
      <right style="thin">
        <color indexed="64"/>
      </right>
      <top style="hair">
        <color theme="0" tint="-0.34998626667073579"/>
      </top>
      <bottom/>
      <diagonal/>
    </border>
    <border>
      <left style="thin">
        <color indexed="64"/>
      </left>
      <right style="hair">
        <color theme="0" tint="-0.499984740745262"/>
      </right>
      <top style="hair">
        <color theme="0" tint="-0.34998626667073579"/>
      </top>
      <bottom/>
      <diagonal/>
    </border>
    <border>
      <left style="thin">
        <color indexed="64"/>
      </left>
      <right style="thin">
        <color indexed="64"/>
      </right>
      <top style="hair">
        <color theme="0" tint="-0.34998626667073579"/>
      </top>
      <bottom/>
      <diagonal/>
    </border>
    <border>
      <left style="hair">
        <color theme="0" tint="-0.499984740745262"/>
      </left>
      <right style="dashed">
        <color theme="0" tint="-0.499984740745262"/>
      </right>
      <top style="hair">
        <color theme="0" tint="-0.34998626667073579"/>
      </top>
      <bottom/>
      <diagonal/>
    </border>
    <border>
      <left style="dashed">
        <color theme="0" tint="-0.499984740745262"/>
      </left>
      <right style="hair">
        <color theme="0" tint="-0.499984740745262"/>
      </right>
      <top style="hair">
        <color theme="0" tint="-0.34998626667073579"/>
      </top>
      <bottom/>
      <diagonal/>
    </border>
    <border>
      <left/>
      <right style="thin">
        <color indexed="64"/>
      </right>
      <top style="hair">
        <color theme="0" tint="-0.34998626667073579"/>
      </top>
      <bottom/>
      <diagonal/>
    </border>
    <border>
      <left/>
      <right/>
      <top style="hair">
        <color theme="0" tint="-0.34998626667073579"/>
      </top>
      <bottom/>
      <diagonal/>
    </border>
    <border>
      <left style="thin">
        <color indexed="64"/>
      </left>
      <right style="hair">
        <color theme="0" tint="-0.499984740745262"/>
      </right>
      <top style="thin">
        <color indexed="64"/>
      </top>
      <bottom style="hair">
        <color theme="0" tint="-0.34998626667073579"/>
      </bottom>
      <diagonal/>
    </border>
    <border>
      <left style="hair">
        <color theme="0" tint="-0.499984740745262"/>
      </left>
      <right style="hair">
        <color theme="0" tint="-0.499984740745262"/>
      </right>
      <top style="thin">
        <color indexed="64"/>
      </top>
      <bottom style="hair">
        <color theme="0" tint="-0.34998626667073579"/>
      </bottom>
      <diagonal/>
    </border>
    <border>
      <left style="hair">
        <color theme="0" tint="-0.499984740745262"/>
      </left>
      <right style="thin">
        <color indexed="64"/>
      </right>
      <top style="thin">
        <color indexed="64"/>
      </top>
      <bottom style="hair">
        <color theme="0" tint="-0.34998626667073579"/>
      </bottom>
      <diagonal/>
    </border>
    <border>
      <left style="hair">
        <color theme="0" tint="-0.499984740745262"/>
      </left>
      <right style="dashed">
        <color theme="0" tint="-0.499984740745262"/>
      </right>
      <top style="thin">
        <color indexed="64"/>
      </top>
      <bottom style="hair">
        <color theme="0" tint="-0.34998626667073579"/>
      </bottom>
      <diagonal/>
    </border>
    <border>
      <left style="dashed">
        <color theme="0" tint="-0.499984740745262"/>
      </left>
      <right style="hair">
        <color theme="0" tint="-0.499984740745262"/>
      </right>
      <top style="thin">
        <color indexed="64"/>
      </top>
      <bottom style="hair">
        <color theme="0" tint="-0.34998626667073579"/>
      </bottom>
      <diagonal/>
    </border>
    <border>
      <left/>
      <right style="thin">
        <color indexed="64"/>
      </right>
      <top style="thin">
        <color indexed="64"/>
      </top>
      <bottom style="hair">
        <color theme="0" tint="-0.34998626667073579"/>
      </bottom>
      <diagonal/>
    </border>
    <border>
      <left style="hair">
        <color theme="0" tint="-0.499984740745262"/>
      </left>
      <right style="hair">
        <color theme="0" tint="-0.499984740745262"/>
      </right>
      <top style="hair">
        <color theme="0" tint="-0.34998626667073579"/>
      </top>
      <bottom style="thin">
        <color indexed="64"/>
      </bottom>
      <diagonal/>
    </border>
    <border>
      <left style="hair">
        <color theme="0" tint="-0.499984740745262"/>
      </left>
      <right style="thin">
        <color indexed="64"/>
      </right>
      <top style="hair">
        <color theme="0" tint="-0.34998626667073579"/>
      </top>
      <bottom style="thin">
        <color indexed="64"/>
      </bottom>
      <diagonal/>
    </border>
    <border>
      <left style="hair">
        <color theme="0" tint="-0.499984740745262"/>
      </left>
      <right style="dashed">
        <color theme="0" tint="-0.499984740745262"/>
      </right>
      <top style="hair">
        <color theme="0" tint="-0.34998626667073579"/>
      </top>
      <bottom style="thin">
        <color indexed="64"/>
      </bottom>
      <diagonal/>
    </border>
    <border>
      <left style="dashed">
        <color theme="0" tint="-0.499984740745262"/>
      </left>
      <right style="hair">
        <color theme="0" tint="-0.499984740745262"/>
      </right>
      <top style="hair">
        <color theme="0" tint="-0.34998626667073579"/>
      </top>
      <bottom style="thin">
        <color indexed="64"/>
      </bottom>
      <diagonal/>
    </border>
    <border>
      <left/>
      <right style="thin">
        <color indexed="64"/>
      </right>
      <top style="hair">
        <color theme="0" tint="-0.34998626667073579"/>
      </top>
      <bottom style="thin">
        <color indexed="64"/>
      </bottom>
      <diagonal/>
    </border>
    <border>
      <left style="hair">
        <color theme="0" tint="-0.499984740745262"/>
      </left>
      <right style="hair">
        <color theme="0" tint="-0.499984740745262"/>
      </right>
      <top/>
      <bottom style="thin">
        <color indexed="64"/>
      </bottom>
      <diagonal/>
    </border>
    <border>
      <left style="hair">
        <color theme="0" tint="-0.499984740745262"/>
      </left>
      <right style="hair">
        <color theme="0" tint="-0.499984740745262"/>
      </right>
      <top style="thin">
        <color indexed="64"/>
      </top>
      <bottom/>
      <diagonal/>
    </border>
    <border>
      <left style="thin">
        <color indexed="64"/>
      </left>
      <right style="hair">
        <color theme="0" tint="-0.499984740745262"/>
      </right>
      <top/>
      <bottom style="thin">
        <color indexed="64"/>
      </bottom>
      <diagonal/>
    </border>
    <border>
      <left style="thin">
        <color indexed="64"/>
      </left>
      <right style="hair">
        <color theme="0" tint="-0.499984740745262"/>
      </right>
      <top style="thin">
        <color indexed="64"/>
      </top>
      <bottom/>
      <diagonal/>
    </border>
    <border>
      <left style="hair">
        <color theme="0" tint="-0.499984740745262"/>
      </left>
      <right style="thin">
        <color theme="0" tint="-0.499984740745262"/>
      </right>
      <top style="thin">
        <color indexed="64"/>
      </top>
      <bottom style="thin">
        <color indexed="64"/>
      </bottom>
      <diagonal/>
    </border>
    <border>
      <left style="hair">
        <color theme="0" tint="-0.499984740745262"/>
      </left>
      <right style="thin">
        <color theme="0" tint="-0.499984740745262"/>
      </right>
      <top/>
      <bottom style="hair">
        <color theme="0" tint="-0.34998626667073579"/>
      </bottom>
      <diagonal/>
    </border>
    <border>
      <left/>
      <right style="hair">
        <color theme="0" tint="-0.499984740745262"/>
      </right>
      <top/>
      <bottom style="hair">
        <color theme="0" tint="-0.34998626667073579"/>
      </bottom>
      <diagonal/>
    </border>
    <border>
      <left style="hair">
        <color theme="0" tint="-0.499984740745262"/>
      </left>
      <right style="thin">
        <color theme="0" tint="-0.499984740745262"/>
      </right>
      <top style="hair">
        <color theme="0" tint="-0.34998626667073579"/>
      </top>
      <bottom style="hair">
        <color theme="0" tint="-0.34998626667073579"/>
      </bottom>
      <diagonal/>
    </border>
    <border>
      <left/>
      <right style="hair">
        <color theme="0" tint="-0.499984740745262"/>
      </right>
      <top style="hair">
        <color theme="0" tint="-0.34998626667073579"/>
      </top>
      <bottom style="hair">
        <color theme="0" tint="-0.34998626667073579"/>
      </bottom>
      <diagonal/>
    </border>
    <border>
      <left style="hair">
        <color theme="0" tint="-0.499984740745262"/>
      </left>
      <right style="thin">
        <color theme="0" tint="-0.499984740745262"/>
      </right>
      <top style="hair">
        <color theme="0" tint="-0.34998626667073579"/>
      </top>
      <bottom style="thin">
        <color indexed="64"/>
      </bottom>
      <diagonal/>
    </border>
    <border>
      <left/>
      <right style="hair">
        <color theme="0" tint="-0.499984740745262"/>
      </right>
      <top style="hair">
        <color theme="0" tint="-0.34998626667073579"/>
      </top>
      <bottom style="thin">
        <color indexed="64"/>
      </bottom>
      <diagonal/>
    </border>
    <border>
      <left style="thin">
        <color indexed="64"/>
      </left>
      <right style="hair">
        <color indexed="64"/>
      </right>
      <top/>
      <bottom style="hair">
        <color theme="0" tint="-0.34998626667073579"/>
      </bottom>
      <diagonal/>
    </border>
    <border>
      <left style="hair">
        <color indexed="64"/>
      </left>
      <right style="hair">
        <color indexed="64"/>
      </right>
      <top/>
      <bottom style="hair">
        <color theme="0" tint="-0.34998626667073579"/>
      </bottom>
      <diagonal/>
    </border>
    <border>
      <left style="hair">
        <color indexed="64"/>
      </left>
      <right style="thin">
        <color indexed="64"/>
      </right>
      <top/>
      <bottom style="hair">
        <color theme="0" tint="-0.34998626667073579"/>
      </bottom>
      <diagonal/>
    </border>
    <border>
      <left style="thin">
        <color indexed="64"/>
      </left>
      <right style="hair">
        <color indexed="64"/>
      </right>
      <top style="hair">
        <color theme="0" tint="-0.34998626667073579"/>
      </top>
      <bottom style="hair">
        <color theme="0" tint="-0.34998626667073579"/>
      </bottom>
      <diagonal/>
    </border>
    <border>
      <left style="hair">
        <color indexed="64"/>
      </left>
      <right style="hair">
        <color indexed="64"/>
      </right>
      <top style="hair">
        <color theme="0" tint="-0.34998626667073579"/>
      </top>
      <bottom style="hair">
        <color theme="0" tint="-0.34998626667073579"/>
      </bottom>
      <diagonal/>
    </border>
    <border>
      <left style="hair">
        <color indexed="64"/>
      </left>
      <right style="thin">
        <color indexed="64"/>
      </right>
      <top style="hair">
        <color theme="0" tint="-0.34998626667073579"/>
      </top>
      <bottom style="hair">
        <color theme="0" tint="-0.34998626667073579"/>
      </bottom>
      <diagonal/>
    </border>
    <border>
      <left style="thin">
        <color indexed="64"/>
      </left>
      <right style="hair">
        <color indexed="64"/>
      </right>
      <top style="hair">
        <color theme="0" tint="-0.34998626667073579"/>
      </top>
      <bottom style="thin">
        <color indexed="64"/>
      </bottom>
      <diagonal/>
    </border>
    <border>
      <left style="hair">
        <color indexed="64"/>
      </left>
      <right style="hair">
        <color indexed="64"/>
      </right>
      <top style="hair">
        <color theme="0" tint="-0.34998626667073579"/>
      </top>
      <bottom style="thin">
        <color indexed="64"/>
      </bottom>
      <diagonal/>
    </border>
    <border>
      <left style="hair">
        <color indexed="64"/>
      </left>
      <right style="thin">
        <color indexed="64"/>
      </right>
      <top style="hair">
        <color theme="0" tint="-0.34998626667073579"/>
      </top>
      <bottom style="thin">
        <color indexed="64"/>
      </bottom>
      <diagonal/>
    </border>
    <border>
      <left style="thin">
        <color indexed="64"/>
      </left>
      <right style="thin">
        <color indexed="64"/>
      </right>
      <top style="hair">
        <color theme="0" tint="-0.34998626667073579"/>
      </top>
      <bottom style="thin">
        <color theme="0" tint="-0.499984740745262"/>
      </bottom>
      <diagonal/>
    </border>
    <border>
      <left style="thin">
        <color indexed="64"/>
      </left>
      <right style="hair">
        <color indexed="64"/>
      </right>
      <top style="hair">
        <color theme="0" tint="-0.34998626667073579"/>
      </top>
      <bottom style="thin">
        <color theme="0" tint="-0.499984740745262"/>
      </bottom>
      <diagonal/>
    </border>
    <border>
      <left style="hair">
        <color indexed="64"/>
      </left>
      <right style="hair">
        <color indexed="64"/>
      </right>
      <top style="hair">
        <color theme="0" tint="-0.34998626667073579"/>
      </top>
      <bottom style="thin">
        <color theme="0" tint="-0.499984740745262"/>
      </bottom>
      <diagonal/>
    </border>
    <border>
      <left style="hair">
        <color indexed="64"/>
      </left>
      <right style="thin">
        <color indexed="64"/>
      </right>
      <top style="hair">
        <color theme="0" tint="-0.34998626667073579"/>
      </top>
      <bottom style="thin">
        <color theme="0" tint="-0.499984740745262"/>
      </bottom>
      <diagonal/>
    </border>
    <border>
      <left style="thin">
        <color indexed="64"/>
      </left>
      <right style="hair">
        <color theme="0" tint="-0.499984740745262"/>
      </right>
      <top style="hair">
        <color theme="0" tint="-0.34998626667073579"/>
      </top>
      <bottom style="thin">
        <color theme="0" tint="-0.499984740745262"/>
      </bottom>
      <diagonal/>
    </border>
    <border>
      <left style="hair">
        <color theme="0" tint="-0.499984740745262"/>
      </left>
      <right style="hair">
        <color theme="0" tint="-0.499984740745262"/>
      </right>
      <top style="hair">
        <color theme="0" tint="-0.34998626667073579"/>
      </top>
      <bottom style="thin">
        <color theme="0" tint="-0.499984740745262"/>
      </bottom>
      <diagonal/>
    </border>
    <border>
      <left style="hair">
        <color theme="0" tint="-0.499984740745262"/>
      </left>
      <right style="thin">
        <color theme="0" tint="-0.499984740745262"/>
      </right>
      <top style="hair">
        <color theme="0" tint="-0.34998626667073579"/>
      </top>
      <bottom style="thin">
        <color theme="0" tint="-0.499984740745262"/>
      </bottom>
      <diagonal/>
    </border>
    <border>
      <left/>
      <right style="hair">
        <color theme="0" tint="-0.499984740745262"/>
      </right>
      <top style="hair">
        <color theme="0" tint="-0.34998626667073579"/>
      </top>
      <bottom style="thin">
        <color theme="0" tint="-0.499984740745262"/>
      </bottom>
      <diagonal/>
    </border>
    <border>
      <left style="hair">
        <color theme="0" tint="-0.499984740745262"/>
      </left>
      <right style="thin">
        <color indexed="64"/>
      </right>
      <top style="hair">
        <color theme="0" tint="-0.34998626667073579"/>
      </top>
      <bottom style="thin">
        <color theme="0" tint="-0.499984740745262"/>
      </bottom>
      <diagonal/>
    </border>
    <border>
      <left style="thin">
        <color indexed="64"/>
      </left>
      <right style="hair">
        <color indexed="64"/>
      </right>
      <top style="hair">
        <color theme="0" tint="-0.34998626667073579"/>
      </top>
      <bottom/>
      <diagonal/>
    </border>
    <border>
      <left style="hair">
        <color indexed="64"/>
      </left>
      <right style="hair">
        <color indexed="64"/>
      </right>
      <top style="hair">
        <color theme="0" tint="-0.34998626667073579"/>
      </top>
      <bottom/>
      <diagonal/>
    </border>
    <border>
      <left style="hair">
        <color indexed="64"/>
      </left>
      <right style="thin">
        <color indexed="64"/>
      </right>
      <top style="hair">
        <color theme="0" tint="-0.34998626667073579"/>
      </top>
      <bottom/>
      <diagonal/>
    </border>
    <border>
      <left style="hair">
        <color theme="0" tint="-0.499984740745262"/>
      </left>
      <right style="thin">
        <color theme="0" tint="-0.499984740745262"/>
      </right>
      <top style="hair">
        <color theme="0" tint="-0.34998626667073579"/>
      </top>
      <bottom/>
      <diagonal/>
    </border>
    <border>
      <left/>
      <right style="hair">
        <color theme="0" tint="-0.499984740745262"/>
      </right>
      <top style="hair">
        <color theme="0" tint="-0.34998626667073579"/>
      </top>
      <bottom/>
      <diagonal/>
    </border>
    <border>
      <left style="thin">
        <color indexed="64"/>
      </left>
      <right style="hair">
        <color indexed="64"/>
      </right>
      <top style="thin">
        <color theme="0" tint="-0.499984740745262"/>
      </top>
      <bottom style="hair">
        <color theme="0" tint="-0.34998626667073579"/>
      </bottom>
      <diagonal/>
    </border>
    <border>
      <left style="hair">
        <color indexed="64"/>
      </left>
      <right style="hair">
        <color indexed="64"/>
      </right>
      <top style="thin">
        <color theme="0" tint="-0.499984740745262"/>
      </top>
      <bottom style="hair">
        <color theme="0" tint="-0.34998626667073579"/>
      </bottom>
      <diagonal/>
    </border>
    <border>
      <left style="hair">
        <color indexed="64"/>
      </left>
      <right style="thin">
        <color indexed="64"/>
      </right>
      <top style="thin">
        <color theme="0" tint="-0.499984740745262"/>
      </top>
      <bottom style="hair">
        <color theme="0" tint="-0.34998626667073579"/>
      </bottom>
      <diagonal/>
    </border>
    <border>
      <left style="thin">
        <color indexed="64"/>
      </left>
      <right style="thin">
        <color indexed="64"/>
      </right>
      <top style="thin">
        <color theme="0" tint="-0.499984740745262"/>
      </top>
      <bottom style="hair">
        <color theme="0" tint="-0.34998626667073579"/>
      </bottom>
      <diagonal/>
    </border>
    <border>
      <left style="thin">
        <color indexed="64"/>
      </left>
      <right style="hair">
        <color theme="0" tint="-0.499984740745262"/>
      </right>
      <top style="thin">
        <color theme="0" tint="-0.499984740745262"/>
      </top>
      <bottom style="hair">
        <color theme="0" tint="-0.34998626667073579"/>
      </bottom>
      <diagonal/>
    </border>
    <border>
      <left style="hair">
        <color theme="0" tint="-0.499984740745262"/>
      </left>
      <right style="hair">
        <color theme="0" tint="-0.499984740745262"/>
      </right>
      <top style="thin">
        <color theme="0" tint="-0.499984740745262"/>
      </top>
      <bottom style="hair">
        <color theme="0" tint="-0.34998626667073579"/>
      </bottom>
      <diagonal/>
    </border>
    <border>
      <left style="hair">
        <color theme="0" tint="-0.499984740745262"/>
      </left>
      <right style="thin">
        <color theme="0" tint="-0.499984740745262"/>
      </right>
      <top style="thin">
        <color theme="0" tint="-0.499984740745262"/>
      </top>
      <bottom style="hair">
        <color theme="0" tint="-0.34998626667073579"/>
      </bottom>
      <diagonal/>
    </border>
    <border>
      <left/>
      <right style="hair">
        <color theme="0" tint="-0.499984740745262"/>
      </right>
      <top style="thin">
        <color theme="0" tint="-0.499984740745262"/>
      </top>
      <bottom style="hair">
        <color theme="0" tint="-0.34998626667073579"/>
      </bottom>
      <diagonal/>
    </border>
    <border>
      <left style="hair">
        <color theme="0" tint="-0.499984740745262"/>
      </left>
      <right style="thin">
        <color indexed="64"/>
      </right>
      <top style="thin">
        <color theme="0" tint="-0.499984740745262"/>
      </top>
      <bottom style="hair">
        <color theme="0" tint="-0.34998626667073579"/>
      </bottom>
      <diagonal/>
    </border>
    <border>
      <left style="thin">
        <color indexed="64"/>
      </left>
      <right style="hair">
        <color indexed="64"/>
      </right>
      <top style="dashed">
        <color theme="0" tint="-0.499984740745262"/>
      </top>
      <bottom style="hair">
        <color theme="0" tint="-0.34998626667073579"/>
      </bottom>
      <diagonal/>
    </border>
    <border>
      <left style="hair">
        <color indexed="64"/>
      </left>
      <right style="hair">
        <color indexed="64"/>
      </right>
      <top style="dashed">
        <color theme="0" tint="-0.499984740745262"/>
      </top>
      <bottom style="hair">
        <color theme="0" tint="-0.34998626667073579"/>
      </bottom>
      <diagonal/>
    </border>
    <border>
      <left style="hair">
        <color indexed="64"/>
      </left>
      <right style="thin">
        <color indexed="64"/>
      </right>
      <top style="dashed">
        <color theme="0" tint="-0.499984740745262"/>
      </top>
      <bottom style="hair">
        <color theme="0" tint="-0.34998626667073579"/>
      </bottom>
      <diagonal/>
    </border>
    <border>
      <left style="thin">
        <color indexed="64"/>
      </left>
      <right style="thin">
        <color indexed="64"/>
      </right>
      <top style="dashed">
        <color theme="0" tint="-0.499984740745262"/>
      </top>
      <bottom style="hair">
        <color theme="0" tint="-0.34998626667073579"/>
      </bottom>
      <diagonal/>
    </border>
    <border>
      <left style="thin">
        <color indexed="64"/>
      </left>
      <right style="hair">
        <color theme="0" tint="-0.499984740745262"/>
      </right>
      <top style="dashed">
        <color theme="0" tint="-0.499984740745262"/>
      </top>
      <bottom style="hair">
        <color theme="0" tint="-0.34998626667073579"/>
      </bottom>
      <diagonal/>
    </border>
    <border>
      <left style="hair">
        <color theme="0" tint="-0.499984740745262"/>
      </left>
      <right style="hair">
        <color theme="0" tint="-0.499984740745262"/>
      </right>
      <top style="dashed">
        <color theme="0" tint="-0.499984740745262"/>
      </top>
      <bottom style="hair">
        <color theme="0" tint="-0.34998626667073579"/>
      </bottom>
      <diagonal/>
    </border>
    <border>
      <left style="hair">
        <color theme="0" tint="-0.499984740745262"/>
      </left>
      <right style="thin">
        <color theme="0" tint="-0.499984740745262"/>
      </right>
      <top style="dashed">
        <color theme="0" tint="-0.499984740745262"/>
      </top>
      <bottom style="hair">
        <color theme="0" tint="-0.34998626667073579"/>
      </bottom>
      <diagonal/>
    </border>
    <border>
      <left/>
      <right style="hair">
        <color theme="0" tint="-0.499984740745262"/>
      </right>
      <top style="dashed">
        <color theme="0" tint="-0.499984740745262"/>
      </top>
      <bottom style="hair">
        <color theme="0" tint="-0.34998626667073579"/>
      </bottom>
      <diagonal/>
    </border>
    <border>
      <left style="hair">
        <color theme="0" tint="-0.499984740745262"/>
      </left>
      <right style="thin">
        <color indexed="64"/>
      </right>
      <top style="dashed">
        <color theme="0" tint="-0.499984740745262"/>
      </top>
      <bottom style="hair">
        <color theme="0" tint="-0.34998626667073579"/>
      </bottom>
      <diagonal/>
    </border>
    <border>
      <left style="thin">
        <color indexed="64"/>
      </left>
      <right style="hair">
        <color indexed="64"/>
      </right>
      <top style="hair">
        <color theme="0" tint="-0.34998626667073579"/>
      </top>
      <bottom style="dashed">
        <color theme="0" tint="-0.499984740745262"/>
      </bottom>
      <diagonal/>
    </border>
    <border>
      <left style="hair">
        <color indexed="64"/>
      </left>
      <right style="hair">
        <color indexed="64"/>
      </right>
      <top style="hair">
        <color theme="0" tint="-0.34998626667073579"/>
      </top>
      <bottom style="dashed">
        <color theme="0" tint="-0.499984740745262"/>
      </bottom>
      <diagonal/>
    </border>
    <border>
      <left style="hair">
        <color indexed="64"/>
      </left>
      <right style="thin">
        <color indexed="64"/>
      </right>
      <top style="hair">
        <color theme="0" tint="-0.34998626667073579"/>
      </top>
      <bottom style="dashed">
        <color theme="0" tint="-0.499984740745262"/>
      </bottom>
      <diagonal/>
    </border>
    <border>
      <left style="thin">
        <color indexed="64"/>
      </left>
      <right style="thin">
        <color indexed="64"/>
      </right>
      <top style="hair">
        <color theme="0" tint="-0.34998626667073579"/>
      </top>
      <bottom style="dashed">
        <color theme="0" tint="-0.499984740745262"/>
      </bottom>
      <diagonal/>
    </border>
    <border>
      <left style="thin">
        <color indexed="64"/>
      </left>
      <right style="hair">
        <color theme="0" tint="-0.499984740745262"/>
      </right>
      <top style="hair">
        <color theme="0" tint="-0.34998626667073579"/>
      </top>
      <bottom style="dashed">
        <color theme="0" tint="-0.499984740745262"/>
      </bottom>
      <diagonal/>
    </border>
    <border>
      <left style="hair">
        <color theme="0" tint="-0.499984740745262"/>
      </left>
      <right style="hair">
        <color theme="0" tint="-0.499984740745262"/>
      </right>
      <top style="hair">
        <color theme="0" tint="-0.34998626667073579"/>
      </top>
      <bottom style="dashed">
        <color theme="0" tint="-0.499984740745262"/>
      </bottom>
      <diagonal/>
    </border>
    <border>
      <left style="hair">
        <color theme="0" tint="-0.499984740745262"/>
      </left>
      <right style="thin">
        <color theme="0" tint="-0.499984740745262"/>
      </right>
      <top style="hair">
        <color theme="0" tint="-0.34998626667073579"/>
      </top>
      <bottom style="dashed">
        <color theme="0" tint="-0.499984740745262"/>
      </bottom>
      <diagonal/>
    </border>
    <border>
      <left/>
      <right style="hair">
        <color theme="0" tint="-0.499984740745262"/>
      </right>
      <top style="hair">
        <color theme="0" tint="-0.34998626667073579"/>
      </top>
      <bottom style="dashed">
        <color theme="0" tint="-0.499984740745262"/>
      </bottom>
      <diagonal/>
    </border>
    <border>
      <left style="hair">
        <color theme="0" tint="-0.499984740745262"/>
      </left>
      <right style="thin">
        <color indexed="64"/>
      </right>
      <top style="hair">
        <color theme="0" tint="-0.34998626667073579"/>
      </top>
      <bottom style="dashed">
        <color theme="0" tint="-0.499984740745262"/>
      </bottom>
      <diagonal/>
    </border>
    <border>
      <left style="thin">
        <color rgb="FF000000"/>
      </left>
      <right style="hair">
        <color theme="0" tint="-0.499984740745262"/>
      </right>
      <top style="hair">
        <color theme="0" tint="-0.34998626667073579"/>
      </top>
      <bottom style="hair">
        <color theme="0" tint="-0.34998626667073579"/>
      </bottom>
      <diagonal/>
    </border>
    <border>
      <left style="hair">
        <color theme="0" tint="-0.499984740745262"/>
      </left>
      <right/>
      <top style="thin">
        <color indexed="64"/>
      </top>
      <bottom style="thin">
        <color indexed="64"/>
      </bottom>
      <diagonal/>
    </border>
    <border>
      <left style="hair">
        <color theme="0" tint="-0.499984740745262"/>
      </left>
      <right/>
      <top style="thin">
        <color indexed="64"/>
      </top>
      <bottom style="hair">
        <color theme="0" tint="-0.34998626667073579"/>
      </bottom>
      <diagonal/>
    </border>
    <border>
      <left style="hair">
        <color theme="0" tint="-0.499984740745262"/>
      </left>
      <right/>
      <top style="hair">
        <color theme="0" tint="-0.34998626667073579"/>
      </top>
      <bottom style="hair">
        <color theme="0" tint="-0.34998626667073579"/>
      </bottom>
      <diagonal/>
    </border>
    <border>
      <left style="hair">
        <color theme="0" tint="-0.499984740745262"/>
      </left>
      <right/>
      <top style="hair">
        <color theme="0" tint="-0.34998626667073579"/>
      </top>
      <bottom style="dashed">
        <color theme="0" tint="-0.499984740745262"/>
      </bottom>
      <diagonal/>
    </border>
    <border>
      <left style="hair">
        <color theme="0" tint="-0.499984740745262"/>
      </left>
      <right/>
      <top/>
      <bottom style="hair">
        <color theme="0" tint="-0.34998626667073579"/>
      </bottom>
      <diagonal/>
    </border>
    <border>
      <left style="hair">
        <color theme="0" tint="-0.499984740745262"/>
      </left>
      <right/>
      <top style="hair">
        <color theme="0" tint="-0.34998626667073579"/>
      </top>
      <bottom style="thin">
        <color theme="0" tint="-0.499984740745262"/>
      </bottom>
      <diagonal/>
    </border>
    <border>
      <left style="hair">
        <color theme="0" tint="-0.499984740745262"/>
      </left>
      <right/>
      <top style="hair">
        <color theme="0" tint="-0.34998626667073579"/>
      </top>
      <bottom style="thin">
        <color indexed="64"/>
      </bottom>
      <diagonal/>
    </border>
    <border>
      <left style="dashed">
        <color theme="0" tint="-0.499984740745262"/>
      </left>
      <right style="hair">
        <color theme="0" tint="-0.499984740745262"/>
      </right>
      <top style="hair">
        <color theme="0" tint="-0.34998626667073579"/>
      </top>
      <bottom style="dashed">
        <color theme="0" tint="-0.499984740745262"/>
      </bottom>
      <diagonal/>
    </border>
    <border>
      <left style="hair">
        <color theme="0" tint="-0.499984740745262"/>
      </left>
      <right style="dashed">
        <color theme="0" tint="-0.499984740745262"/>
      </right>
      <top style="hair">
        <color theme="0" tint="-0.34998626667073579"/>
      </top>
      <bottom style="dashed">
        <color theme="0" tint="-0.499984740745262"/>
      </bottom>
      <diagonal/>
    </border>
    <border>
      <left style="dashed">
        <color theme="0" tint="-0.499984740745262"/>
      </left>
      <right style="hair">
        <color theme="0" tint="-0.499984740745262"/>
      </right>
      <top style="hair">
        <color theme="0" tint="-0.34998626667073579"/>
      </top>
      <bottom style="thin">
        <color theme="0" tint="-0.499984740745262"/>
      </bottom>
      <diagonal/>
    </border>
    <border>
      <left style="hair">
        <color theme="0" tint="-0.499984740745262"/>
      </left>
      <right style="dashed">
        <color theme="0" tint="-0.499984740745262"/>
      </right>
      <top style="hair">
        <color theme="0" tint="-0.34998626667073579"/>
      </top>
      <bottom style="thin">
        <color theme="0" tint="-0.499984740745262"/>
      </bottom>
      <diagonal/>
    </border>
    <border>
      <left style="hair">
        <color theme="0" tint="-0.499984740745262"/>
      </left>
      <right style="thin">
        <color theme="4"/>
      </right>
      <top style="thin">
        <color indexed="64"/>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right style="hair">
        <color theme="0" tint="-0.499984740745262"/>
      </right>
      <top style="thin">
        <color indexed="64"/>
      </top>
      <bottom style="hair">
        <color theme="0" tint="-0.34998626667073579"/>
      </bottom>
      <diagonal/>
    </border>
    <border>
      <left style="thin">
        <color theme="0" tint="-0.499984740745262"/>
      </left>
      <right style="hair">
        <color theme="0" tint="-0.499984740745262"/>
      </right>
      <top style="thin">
        <color indexed="64"/>
      </top>
      <bottom style="thin">
        <color indexed="64"/>
      </bottom>
      <diagonal/>
    </border>
    <border>
      <left/>
      <right style="thin">
        <color theme="0" tint="-0.499984740745262"/>
      </right>
      <top style="thin">
        <color indexed="64"/>
      </top>
      <bottom style="thin">
        <color indexed="64"/>
      </bottom>
      <diagonal/>
    </border>
    <border>
      <left style="thin">
        <color theme="0" tint="-0.499984740745262"/>
      </left>
      <right style="hair">
        <color theme="0" tint="-0.499984740745262"/>
      </right>
      <top style="thin">
        <color indexed="64"/>
      </top>
      <bottom style="hair">
        <color theme="0" tint="-0.34998626667073579"/>
      </bottom>
      <diagonal/>
    </border>
    <border>
      <left/>
      <right style="thin">
        <color theme="0" tint="-0.499984740745262"/>
      </right>
      <top style="thin">
        <color indexed="64"/>
      </top>
      <bottom style="hair">
        <color theme="0" tint="-0.34998626667073579"/>
      </bottom>
      <diagonal/>
    </border>
    <border>
      <left style="thin">
        <color theme="0" tint="-0.499984740745262"/>
      </left>
      <right style="hair">
        <color theme="0" tint="-0.499984740745262"/>
      </right>
      <top style="hair">
        <color theme="0" tint="-0.34998626667073579"/>
      </top>
      <bottom style="hair">
        <color theme="0" tint="-0.34998626667073579"/>
      </bottom>
      <diagonal/>
    </border>
    <border>
      <left/>
      <right style="thin">
        <color theme="0" tint="-0.499984740745262"/>
      </right>
      <top style="hair">
        <color theme="0" tint="-0.34998626667073579"/>
      </top>
      <bottom style="hair">
        <color theme="0" tint="-0.34998626667073579"/>
      </bottom>
      <diagonal/>
    </border>
    <border>
      <left style="thin">
        <color theme="0" tint="-0.499984740745262"/>
      </left>
      <right style="hair">
        <color theme="0" tint="-0.499984740745262"/>
      </right>
      <top style="hair">
        <color theme="0" tint="-0.34998626667073579"/>
      </top>
      <bottom style="dashed">
        <color theme="0" tint="-0.499984740745262"/>
      </bottom>
      <diagonal/>
    </border>
    <border>
      <left/>
      <right style="thin">
        <color theme="0" tint="-0.499984740745262"/>
      </right>
      <top style="hair">
        <color theme="0" tint="-0.34998626667073579"/>
      </top>
      <bottom style="dashed">
        <color theme="0" tint="-0.499984740745262"/>
      </bottom>
      <diagonal/>
    </border>
    <border>
      <left style="thin">
        <color theme="0" tint="-0.499984740745262"/>
      </left>
      <right style="hair">
        <color theme="0" tint="-0.499984740745262"/>
      </right>
      <top/>
      <bottom style="hair">
        <color theme="0" tint="-0.34998626667073579"/>
      </bottom>
      <diagonal/>
    </border>
    <border>
      <left/>
      <right style="thin">
        <color theme="0" tint="-0.499984740745262"/>
      </right>
      <top/>
      <bottom style="hair">
        <color theme="0" tint="-0.34998626667073579"/>
      </bottom>
      <diagonal/>
    </border>
    <border>
      <left style="thin">
        <color theme="0" tint="-0.499984740745262"/>
      </left>
      <right style="hair">
        <color theme="0" tint="-0.499984740745262"/>
      </right>
      <top style="hair">
        <color theme="0" tint="-0.34998626667073579"/>
      </top>
      <bottom style="thin">
        <color theme="0" tint="-0.499984740745262"/>
      </bottom>
      <diagonal/>
    </border>
    <border>
      <left/>
      <right style="thin">
        <color theme="0" tint="-0.499984740745262"/>
      </right>
      <top style="hair">
        <color theme="0" tint="-0.34998626667073579"/>
      </top>
      <bottom style="thin">
        <color theme="0" tint="-0.499984740745262"/>
      </bottom>
      <diagonal/>
    </border>
    <border>
      <left style="thin">
        <color theme="0" tint="-0.499984740745262"/>
      </left>
      <right style="hair">
        <color theme="0" tint="-0.499984740745262"/>
      </right>
      <top style="hair">
        <color theme="0" tint="-0.34998626667073579"/>
      </top>
      <bottom style="thin">
        <color indexed="64"/>
      </bottom>
      <diagonal/>
    </border>
    <border>
      <left/>
      <right style="thin">
        <color theme="0" tint="-0.499984740745262"/>
      </right>
      <top style="hair">
        <color theme="0" tint="-0.34998626667073579"/>
      </top>
      <bottom style="thin">
        <color indexed="64"/>
      </bottom>
      <diagonal/>
    </border>
    <border>
      <left style="thin">
        <color indexed="64"/>
      </left>
      <right style="hair">
        <color theme="0" tint="-0.499984740745262"/>
      </right>
      <top/>
      <bottom style="thin">
        <color theme="0" tint="-0.499984740745262"/>
      </bottom>
      <diagonal/>
    </border>
    <border>
      <left style="hair">
        <color theme="0" tint="-0.499984740745262"/>
      </left>
      <right style="hair">
        <color theme="0" tint="-0.499984740745262"/>
      </right>
      <top/>
      <bottom style="dashed">
        <color theme="0" tint="-0.499984740745262"/>
      </bottom>
      <diagonal/>
    </border>
    <border>
      <left style="hair">
        <color theme="0" tint="-0.499984740745262"/>
      </left>
      <right style="hair">
        <color theme="0" tint="-0.499984740745262"/>
      </right>
      <top/>
      <bottom style="thin">
        <color theme="0" tint="-0.499984740745262"/>
      </bottom>
      <diagonal/>
    </border>
    <border>
      <left style="thin">
        <color theme="0" tint="-0.499984740745262"/>
      </left>
      <right style="hair">
        <color theme="0" tint="-0.499984740745262"/>
      </right>
      <top style="hair">
        <color theme="0" tint="-0.34998626667073579"/>
      </top>
      <bottom/>
      <diagonal/>
    </border>
    <border>
      <left style="hair">
        <color theme="0" tint="-0.499984740745262"/>
      </left>
      <right/>
      <top style="hair">
        <color theme="0" tint="-0.34998626667073579"/>
      </top>
      <bottom/>
      <diagonal/>
    </border>
    <border>
      <left/>
      <right style="thin">
        <color theme="0" tint="-0.499984740745262"/>
      </right>
      <top style="hair">
        <color theme="0" tint="-0.34998626667073579"/>
      </top>
      <bottom/>
      <diagonal/>
    </border>
    <border>
      <left style="thin">
        <color indexed="64"/>
      </left>
      <right style="hair">
        <color theme="0" tint="-0.499984740745262"/>
      </right>
      <top style="thin">
        <color theme="0" tint="-0.499984740745262"/>
      </top>
      <bottom/>
      <diagonal/>
    </border>
    <border>
      <left style="hair">
        <color theme="0" tint="-0.499984740745262"/>
      </left>
      <right style="hair">
        <color theme="0" tint="-0.499984740745262"/>
      </right>
      <top style="thin">
        <color theme="0" tint="-0.499984740745262"/>
      </top>
      <bottom/>
      <diagonal/>
    </border>
    <border>
      <left style="thin">
        <color theme="0" tint="-0.499984740745262"/>
      </left>
      <right style="hair">
        <color theme="0" tint="-0.499984740745262"/>
      </right>
      <top style="thin">
        <color theme="0" tint="-0.499984740745262"/>
      </top>
      <bottom style="hair">
        <color theme="0" tint="-0.34998626667073579"/>
      </bottom>
      <diagonal/>
    </border>
    <border>
      <left style="hair">
        <color theme="0" tint="-0.499984740745262"/>
      </left>
      <right/>
      <top style="thin">
        <color theme="0" tint="-0.499984740745262"/>
      </top>
      <bottom style="hair">
        <color theme="0" tint="-0.34998626667073579"/>
      </bottom>
      <diagonal/>
    </border>
    <border>
      <left style="dashed">
        <color theme="0" tint="-0.499984740745262"/>
      </left>
      <right style="hair">
        <color theme="0" tint="-0.499984740745262"/>
      </right>
      <top style="thin">
        <color theme="0" tint="-0.499984740745262"/>
      </top>
      <bottom style="hair">
        <color theme="0" tint="-0.34998626667073579"/>
      </bottom>
      <diagonal/>
    </border>
    <border>
      <left style="hair">
        <color theme="0" tint="-0.499984740745262"/>
      </left>
      <right style="dashed">
        <color theme="0" tint="-0.499984740745262"/>
      </right>
      <top style="thin">
        <color theme="0" tint="-0.499984740745262"/>
      </top>
      <bottom style="hair">
        <color theme="0" tint="-0.34998626667073579"/>
      </bottom>
      <diagonal/>
    </border>
    <border>
      <left/>
      <right style="thin">
        <color theme="0" tint="-0.499984740745262"/>
      </right>
      <top style="thin">
        <color theme="0" tint="-0.499984740745262"/>
      </top>
      <bottom style="hair">
        <color theme="0" tint="-0.34998626667073579"/>
      </bottom>
      <diagonal/>
    </border>
    <border>
      <left style="thin">
        <color indexed="64"/>
      </left>
      <right style="thin">
        <color indexed="64"/>
      </right>
      <top/>
      <bottom style="thin">
        <color theme="0" tint="-0.499984740745262"/>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thin">
        <color theme="0" tint="-0.499984740745262"/>
      </left>
      <right style="hair">
        <color theme="0" tint="-0.499984740745262"/>
      </right>
      <top style="thin">
        <color indexed="64"/>
      </top>
      <bottom/>
      <diagonal/>
    </border>
    <border>
      <left style="thin">
        <color theme="0" tint="-0.499984740745262"/>
      </left>
      <right style="hair">
        <color theme="0" tint="-0.499984740745262"/>
      </right>
      <top/>
      <bottom/>
      <diagonal/>
    </border>
    <border>
      <left style="thin">
        <color theme="0" tint="-0.499984740745262"/>
      </left>
      <right style="hair">
        <color theme="0" tint="-0.499984740745262"/>
      </right>
      <top/>
      <bottom style="thin">
        <color indexed="64"/>
      </bottom>
      <diagonal/>
    </border>
    <border>
      <left style="hair">
        <color indexed="64"/>
      </left>
      <right style="hair">
        <color indexed="64"/>
      </right>
      <top style="thin">
        <color indexed="64"/>
      </top>
      <bottom style="hair">
        <color theme="0" tint="-0.34998626667073579"/>
      </bottom>
      <diagonal/>
    </border>
    <border>
      <left style="hair">
        <color indexed="64"/>
      </left>
      <right style="thin">
        <color indexed="64"/>
      </right>
      <top style="thin">
        <color indexed="64"/>
      </top>
      <bottom style="hair">
        <color theme="0" tint="-0.34998626667073579"/>
      </bottom>
      <diagonal/>
    </border>
    <border>
      <left style="thin">
        <color indexed="64"/>
      </left>
      <right style="hair">
        <color indexed="64"/>
      </right>
      <top style="thin">
        <color indexed="64"/>
      </top>
      <bottom style="hair">
        <color theme="0" tint="-0.34998626667073579"/>
      </bottom>
      <diagonal/>
    </border>
    <border>
      <left style="thin">
        <color indexed="64"/>
      </left>
      <right style="thin">
        <color indexed="64"/>
      </right>
      <top style="thin">
        <color theme="0" tint="-0.499984740745262"/>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theme="0"/>
      </bottom>
      <diagonal/>
    </border>
    <border>
      <left style="thin">
        <color indexed="64"/>
      </left>
      <right style="hair">
        <color theme="0" tint="-0.499984740745262"/>
      </right>
      <top style="thin">
        <color indexed="64"/>
      </top>
      <bottom style="hair">
        <color theme="0"/>
      </bottom>
      <diagonal/>
    </border>
    <border>
      <left style="thin">
        <color indexed="64"/>
      </left>
      <right style="hair">
        <color theme="0" tint="-0.499984740745262"/>
      </right>
      <top style="hair">
        <color theme="0"/>
      </top>
      <bottom style="hair">
        <color theme="0"/>
      </bottom>
      <diagonal/>
    </border>
    <border>
      <left style="hair">
        <color theme="0" tint="-0.499984740745262"/>
      </left>
      <right style="hair">
        <color theme="0" tint="-0.499984740745262"/>
      </right>
      <top style="thin">
        <color indexed="64"/>
      </top>
      <bottom style="hair">
        <color theme="0"/>
      </bottom>
      <diagonal/>
    </border>
    <border>
      <left style="hair">
        <color theme="0" tint="-0.499984740745262"/>
      </left>
      <right style="hair">
        <color theme="0" tint="-0.499984740745262"/>
      </right>
      <top style="hair">
        <color theme="0"/>
      </top>
      <bottom style="hair">
        <color theme="0"/>
      </bottom>
      <diagonal/>
    </border>
    <border>
      <left style="hair">
        <color theme="0" tint="-0.499984740745262"/>
      </left>
      <right style="hair">
        <color theme="0" tint="-0.499984740745262"/>
      </right>
      <top/>
      <bottom style="hair">
        <color theme="0"/>
      </bottom>
      <diagonal/>
    </border>
    <border>
      <left style="thin">
        <color indexed="64"/>
      </left>
      <right style="thin">
        <color indexed="64"/>
      </right>
      <top style="thin">
        <color theme="0"/>
      </top>
      <bottom style="thin">
        <color theme="0" tint="-0.499984740745262"/>
      </bottom>
      <diagonal/>
    </border>
    <border>
      <left style="thin">
        <color indexed="64"/>
      </left>
      <right style="hair">
        <color theme="0" tint="-0.499984740745262"/>
      </right>
      <top style="hair">
        <color theme="0"/>
      </top>
      <bottom style="thin">
        <color theme="0" tint="-0.499984740745262"/>
      </bottom>
      <diagonal/>
    </border>
    <border>
      <left style="hair">
        <color theme="0" tint="-0.499984740745262"/>
      </left>
      <right style="hair">
        <color theme="0" tint="-0.499984740745262"/>
      </right>
      <top style="hair">
        <color theme="0"/>
      </top>
      <bottom style="thin">
        <color theme="0" tint="-0.499984740745262"/>
      </bottom>
      <diagonal/>
    </border>
    <border>
      <left/>
      <right style="thin">
        <color indexed="64"/>
      </right>
      <top style="hair">
        <color theme="0" tint="-0.34998626667073579"/>
      </top>
      <bottom style="thin">
        <color theme="0" tint="-0.499984740745262"/>
      </bottom>
      <diagonal/>
    </border>
    <border>
      <left style="thin">
        <color indexed="64"/>
      </left>
      <right style="thin">
        <color indexed="64"/>
      </right>
      <top style="hair">
        <color theme="0"/>
      </top>
      <bottom style="hair">
        <color theme="0"/>
      </bottom>
      <diagonal/>
    </border>
    <border>
      <left style="thin">
        <color indexed="64"/>
      </left>
      <right style="thin">
        <color indexed="64"/>
      </right>
      <top style="hair">
        <color theme="0"/>
      </top>
      <bottom style="thin">
        <color theme="0" tint="-0.499984740745262"/>
      </bottom>
      <diagonal/>
    </border>
    <border>
      <left style="hair">
        <color theme="0" tint="-0.499984740745262"/>
      </left>
      <right style="hair">
        <color theme="0" tint="-0.499984740745262"/>
      </right>
      <top style="hair">
        <color theme="0"/>
      </top>
      <bottom style="dashed">
        <color theme="0" tint="-0.499984740745262"/>
      </bottom>
      <diagonal/>
    </border>
    <border>
      <left/>
      <right style="thin">
        <color indexed="64"/>
      </right>
      <top style="thin">
        <color theme="0" tint="-0.499984740745262"/>
      </top>
      <bottom style="hair">
        <color theme="0" tint="-0.34998626667073579"/>
      </bottom>
      <diagonal/>
    </border>
    <border>
      <left/>
      <right style="thin">
        <color indexed="64"/>
      </right>
      <top style="hair">
        <color theme="0" tint="-0.34998626667073579"/>
      </top>
      <bottom style="dashed">
        <color theme="0" tint="-0.499984740745262"/>
      </bottom>
      <diagonal/>
    </border>
    <border>
      <left style="thin">
        <color indexed="64"/>
      </left>
      <right/>
      <top/>
      <bottom style="thin">
        <color theme="0"/>
      </bottom>
      <diagonal/>
    </border>
    <border>
      <left style="thin">
        <color indexed="64"/>
      </left>
      <right style="hair">
        <color theme="0" tint="-0.499984740745262"/>
      </right>
      <top/>
      <bottom style="thin">
        <color theme="0"/>
      </bottom>
      <diagonal/>
    </border>
    <border>
      <left style="thin">
        <color indexed="64"/>
      </left>
      <right/>
      <top style="thin">
        <color theme="0"/>
      </top>
      <bottom style="thin">
        <color theme="0"/>
      </bottom>
      <diagonal/>
    </border>
    <border>
      <left style="thin">
        <color indexed="64"/>
      </left>
      <right style="hair">
        <color theme="0" tint="-0.499984740745262"/>
      </right>
      <top style="thin">
        <color theme="0"/>
      </top>
      <bottom style="thin">
        <color theme="0"/>
      </bottom>
      <diagonal/>
    </border>
    <border>
      <left style="thin">
        <color indexed="64"/>
      </left>
      <right/>
      <top style="thin">
        <color theme="0"/>
      </top>
      <bottom style="thin">
        <color indexed="64"/>
      </bottom>
      <diagonal/>
    </border>
    <border>
      <left style="thin">
        <color indexed="64"/>
      </left>
      <right style="hair">
        <color theme="0" tint="-0.499984740745262"/>
      </right>
      <top style="thin">
        <color theme="0"/>
      </top>
      <bottom style="thin">
        <color indexed="64"/>
      </bottom>
      <diagonal/>
    </border>
    <border>
      <left style="thin">
        <color indexed="64"/>
      </left>
      <right/>
      <top style="thin">
        <color theme="0"/>
      </top>
      <bottom/>
      <diagonal/>
    </border>
    <border>
      <left style="thin">
        <color indexed="64"/>
      </left>
      <right style="hair">
        <color theme="0" tint="-0.499984740745262"/>
      </right>
      <top style="thin">
        <color theme="0"/>
      </top>
      <bottom/>
      <diagonal/>
    </border>
    <border>
      <left style="hair">
        <color theme="0" tint="-0.499984740745262"/>
      </left>
      <right style="hair">
        <color theme="0" tint="-0.499984740745262"/>
      </right>
      <top style="hair">
        <color theme="0"/>
      </top>
      <bottom style="thin">
        <color indexed="64"/>
      </bottom>
      <diagonal/>
    </border>
    <border>
      <left style="thin">
        <color indexed="64"/>
      </left>
      <right/>
      <top style="thin">
        <color theme="0" tint="-0.499984740745262"/>
      </top>
      <bottom style="thin">
        <color theme="0"/>
      </bottom>
      <diagonal/>
    </border>
    <border>
      <left style="thin">
        <color indexed="64"/>
      </left>
      <right style="hair">
        <color theme="0" tint="-0.499984740745262"/>
      </right>
      <top style="thin">
        <color theme="0" tint="-0.499984740745262"/>
      </top>
      <bottom style="thin">
        <color theme="0"/>
      </bottom>
      <diagonal/>
    </border>
    <border>
      <left style="thin">
        <color indexed="64"/>
      </left>
      <right/>
      <top style="thin">
        <color theme="0"/>
      </top>
      <bottom style="thin">
        <color theme="0" tint="-0.499984740745262"/>
      </bottom>
      <diagonal/>
    </border>
    <border>
      <left style="thin">
        <color indexed="64"/>
      </left>
      <right style="hair">
        <color theme="0" tint="-0.499984740745262"/>
      </right>
      <top style="thin">
        <color theme="0"/>
      </top>
      <bottom style="thin">
        <color theme="0" tint="-0.499984740745262"/>
      </bottom>
      <diagonal/>
    </border>
    <border>
      <left style="thin">
        <color indexed="64"/>
      </left>
      <right style="hair">
        <color theme="0" tint="-0.499984740745262"/>
      </right>
      <top/>
      <bottom style="hair">
        <color theme="0"/>
      </bottom>
      <diagonal/>
    </border>
    <border>
      <left style="thin">
        <color indexed="64"/>
      </left>
      <right style="thin">
        <color indexed="64"/>
      </right>
      <top/>
      <bottom style="hair">
        <color theme="0"/>
      </bottom>
      <diagonal/>
    </border>
    <border>
      <left style="thin">
        <color indexed="64"/>
      </left>
      <right/>
      <top/>
      <bottom style="thin">
        <color theme="0" tint="-0.499984740745262"/>
      </bottom>
      <diagonal/>
    </border>
    <border>
      <left style="thin">
        <color indexed="64"/>
      </left>
      <right style="hair">
        <color indexed="64"/>
      </right>
      <top style="dashed">
        <color theme="0" tint="-0.499984740745262"/>
      </top>
      <bottom/>
      <diagonal/>
    </border>
    <border>
      <left style="thin">
        <color indexed="64"/>
      </left>
      <right style="hair">
        <color indexed="64"/>
      </right>
      <top/>
      <bottom style="thin">
        <color theme="0" tint="-0.499984740745262"/>
      </bottom>
      <diagonal/>
    </border>
    <border>
      <left style="hair">
        <color indexed="64"/>
      </left>
      <right style="hair">
        <color indexed="64"/>
      </right>
      <top style="dashed">
        <color theme="0" tint="-0.499984740745262"/>
      </top>
      <bottom/>
      <diagonal/>
    </border>
    <border>
      <left style="hair">
        <color indexed="64"/>
      </left>
      <right style="hair">
        <color indexed="64"/>
      </right>
      <top/>
      <bottom style="thin">
        <color theme="0" tint="-0.499984740745262"/>
      </bottom>
      <diagonal/>
    </border>
    <border>
      <left style="hair">
        <color indexed="64"/>
      </left>
      <right style="hair">
        <color indexed="64"/>
      </right>
      <top/>
      <bottom style="dashed">
        <color theme="0" tint="-0.499984740745262"/>
      </bottom>
      <diagonal/>
    </border>
    <border>
      <left style="thin">
        <color indexed="64"/>
      </left>
      <right style="hair">
        <color indexed="64"/>
      </right>
      <top style="thin">
        <color theme="0" tint="-0.499984740745262"/>
      </top>
      <bottom/>
      <diagonal/>
    </border>
    <border>
      <left style="hair">
        <color indexed="64"/>
      </left>
      <right style="hair">
        <color indexed="64"/>
      </right>
      <top style="thin">
        <color theme="0" tint="-0.499984740745262"/>
      </top>
      <bottom/>
      <diagonal/>
    </border>
    <border>
      <left style="thin">
        <color theme="0" tint="-0.499984740745262"/>
      </left>
      <right style="thin">
        <color theme="0" tint="-0.499984740745262"/>
      </right>
      <top style="thin">
        <color indexed="64"/>
      </top>
      <bottom style="hair">
        <color theme="0" tint="-0.34998626667073579"/>
      </bottom>
      <diagonal/>
    </border>
    <border>
      <left style="thin">
        <color theme="0" tint="-0.499984740745262"/>
      </left>
      <right style="thin">
        <color theme="0" tint="-0.499984740745262"/>
      </right>
      <top style="hair">
        <color theme="0" tint="-0.34998626667073579"/>
      </top>
      <bottom style="hair">
        <color theme="0" tint="-0.34998626667073579"/>
      </bottom>
      <diagonal/>
    </border>
    <border>
      <left style="thin">
        <color theme="0" tint="-0.499984740745262"/>
      </left>
      <right style="thin">
        <color theme="0" tint="-0.499984740745262"/>
      </right>
      <top style="hair">
        <color theme="0" tint="-0.34998626667073579"/>
      </top>
      <bottom style="thin">
        <color indexed="64"/>
      </bottom>
      <diagonal/>
    </border>
    <border>
      <left style="hair">
        <color theme="0" tint="-0.499984740745262"/>
      </left>
      <right style="thin">
        <color theme="0" tint="-0.499984740745262"/>
      </right>
      <top style="thin">
        <color indexed="64"/>
      </top>
      <bottom style="hair">
        <color theme="0" tint="-0.34998626667073579"/>
      </bottom>
      <diagonal/>
    </border>
    <border>
      <left/>
      <right/>
      <top style="thin">
        <color indexed="64"/>
      </top>
      <bottom style="hair">
        <color theme="0" tint="-0.34998626667073579"/>
      </bottom>
      <diagonal/>
    </border>
    <border>
      <left/>
      <right/>
      <top style="hair">
        <color theme="0" tint="-0.34998626667073579"/>
      </top>
      <bottom style="thin">
        <color indexed="64"/>
      </bottom>
      <diagonal/>
    </border>
    <border>
      <left style="thin">
        <color theme="0" tint="-0.499984740745262"/>
      </left>
      <right style="thin">
        <color theme="0" tint="-0.499984740745262"/>
      </right>
      <top style="hair">
        <color theme="0" tint="-0.34998626667073579"/>
      </top>
      <bottom/>
      <diagonal/>
    </border>
    <border>
      <left style="thin">
        <color theme="0" tint="-0.499984740745262"/>
      </left>
      <right style="thin">
        <color theme="0" tint="-0.499984740745262"/>
      </right>
      <top style="thin">
        <color theme="0" tint="-0.499984740745262"/>
      </top>
      <bottom style="hair">
        <color theme="0" tint="-0.34998626667073579"/>
      </bottom>
      <diagonal/>
    </border>
    <border>
      <left/>
      <right/>
      <top style="thin">
        <color theme="0" tint="-0.499984740745262"/>
      </top>
      <bottom style="hair">
        <color theme="0" tint="-0.34998626667073579"/>
      </bottom>
      <diagonal/>
    </border>
    <border>
      <left style="thin">
        <color theme="0" tint="-0.499984740745262"/>
      </left>
      <right style="thin">
        <color theme="0" tint="-0.499984740745262"/>
      </right>
      <top style="hair">
        <color theme="0" tint="-0.34998626667073579"/>
      </top>
      <bottom style="thin">
        <color theme="0" tint="-0.499984740745262"/>
      </bottom>
      <diagonal/>
    </border>
    <border>
      <left/>
      <right/>
      <top style="hair">
        <color theme="0" tint="-0.34998626667073579"/>
      </top>
      <bottom style="thin">
        <color theme="0" tint="-0.499984740745262"/>
      </bottom>
      <diagonal/>
    </border>
    <border>
      <left style="thin">
        <color theme="0" tint="-0.499984740745262"/>
      </left>
      <right style="thin">
        <color theme="0" tint="-0.499984740745262"/>
      </right>
      <top/>
      <bottom style="hair">
        <color theme="0" tint="-0.34998626667073579"/>
      </bottom>
      <diagonal/>
    </border>
    <border>
      <left style="thin">
        <color indexed="64"/>
      </left>
      <right/>
      <top style="thin">
        <color theme="0" tint="-0.499984740745262"/>
      </top>
      <bottom/>
      <diagonal/>
    </border>
    <border>
      <left style="thin">
        <color theme="0" tint="-0.499984740745262"/>
      </left>
      <right style="hair">
        <color theme="0" tint="-0.499984740745262"/>
      </right>
      <top/>
      <bottom style="thin">
        <color theme="0" tint="-0.499984740745262"/>
      </bottom>
      <diagonal/>
    </border>
    <border>
      <left style="thin">
        <color theme="0" tint="-0.499984740745262"/>
      </left>
      <right style="hair">
        <color theme="0" tint="-0.499984740745262"/>
      </right>
      <top style="thin">
        <color theme="0" tint="-0.499984740745262"/>
      </top>
      <bottom/>
      <diagonal/>
    </border>
    <border>
      <left style="thin">
        <color indexed="64"/>
      </left>
      <right/>
      <top style="hair">
        <color theme="0" tint="-0.34998626667073579"/>
      </top>
      <bottom style="thin">
        <color indexed="64"/>
      </bottom>
      <diagonal/>
    </border>
    <border>
      <left style="thin">
        <color theme="0" tint="-0.499984740745262"/>
      </left>
      <right/>
      <top style="hair">
        <color theme="0" tint="-0.34998626667073579"/>
      </top>
      <bottom style="hair">
        <color theme="0" tint="-0.34998626667073579"/>
      </bottom>
      <diagonal/>
    </border>
    <border>
      <left style="thin">
        <color theme="0" tint="-0.499984740745262"/>
      </left>
      <right/>
      <top style="hair">
        <color theme="0" tint="-0.34998626667073579"/>
      </top>
      <bottom style="thin">
        <color indexed="64"/>
      </bottom>
      <diagonal/>
    </border>
    <border>
      <left style="thin">
        <color theme="0" tint="-0.499984740745262"/>
      </left>
      <right/>
      <top/>
      <bottom style="hair">
        <color theme="0" tint="-0.34998626667073579"/>
      </bottom>
      <diagonal/>
    </border>
    <border>
      <left style="thin">
        <color theme="0" tint="-0.499984740745262"/>
      </left>
      <right/>
      <top style="hair">
        <color theme="0" tint="-0.34998626667073579"/>
      </top>
      <bottom style="thin">
        <color theme="0" tint="-0.499984740745262"/>
      </bottom>
      <diagonal/>
    </border>
    <border>
      <left style="thin">
        <color theme="4"/>
      </left>
      <right/>
      <top/>
      <bottom/>
      <diagonal/>
    </border>
    <border>
      <left style="thin">
        <color theme="0" tint="-0.499984740745262"/>
      </left>
      <right/>
      <top style="hair">
        <color theme="0" tint="-0.34998626667073579"/>
      </top>
      <bottom style="dashed">
        <color theme="0" tint="-0.499984740745262"/>
      </bottom>
      <diagonal/>
    </border>
    <border>
      <left/>
      <right/>
      <top style="hair">
        <color theme="0" tint="-0.34998626667073579"/>
      </top>
      <bottom style="dashed">
        <color theme="0" tint="-0.499984740745262"/>
      </bottom>
      <diagonal/>
    </border>
    <border>
      <left style="hair">
        <color theme="0" tint="-0.499984740745262"/>
      </left>
      <right style="thin">
        <color indexed="64"/>
      </right>
      <top style="dashed">
        <color theme="0" tint="-0.499984740745262"/>
      </top>
      <bottom style="dashed">
        <color theme="0" tint="-0.499984740745262"/>
      </bottom>
      <diagonal/>
    </border>
    <border>
      <left style="thin">
        <color theme="0" tint="-0.499984740745262"/>
      </left>
      <right style="hair">
        <color theme="0" tint="-0.499984740745262"/>
      </right>
      <top style="dashed">
        <color theme="0" tint="-0.499984740745262"/>
      </top>
      <bottom style="hair">
        <color theme="0" tint="-0.34998626667073579"/>
      </bottom>
      <diagonal/>
    </border>
    <border>
      <left style="thin">
        <color theme="0" tint="-0.499984740745262"/>
      </left>
      <right/>
      <top style="dashed">
        <color theme="0" tint="-0.499984740745262"/>
      </top>
      <bottom style="hair">
        <color theme="0" tint="-0.34998626667073579"/>
      </bottom>
      <diagonal/>
    </border>
    <border>
      <left style="hair">
        <color theme="0" tint="-0.499984740745262"/>
      </left>
      <right style="dashed">
        <color theme="0" tint="-0.499984740745262"/>
      </right>
      <top style="dashed">
        <color theme="0" tint="-0.499984740745262"/>
      </top>
      <bottom style="hair">
        <color theme="0" tint="-0.34998626667073579"/>
      </bottom>
      <diagonal/>
    </border>
    <border>
      <left/>
      <right/>
      <top style="dashed">
        <color theme="0" tint="-0.499984740745262"/>
      </top>
      <bottom style="hair">
        <color theme="0" tint="-0.34998626667073579"/>
      </bottom>
      <diagonal/>
    </border>
    <border>
      <left style="hair">
        <color theme="0" tint="-0.499984740745262"/>
      </left>
      <right style="hair">
        <color theme="0" tint="-0.499984740745262"/>
      </right>
      <top style="dashed">
        <color theme="0" tint="-0.499984740745262"/>
      </top>
      <bottom/>
      <diagonal/>
    </border>
    <border>
      <left style="hair">
        <color theme="0" tint="-0.499984740745262"/>
      </left>
      <right style="hair">
        <color theme="0" tint="-0.499984740745262"/>
      </right>
      <top style="dashed">
        <color theme="0" tint="-0.499984740745262"/>
      </top>
      <bottom style="dashed">
        <color theme="0" tint="-0.499984740745262"/>
      </bottom>
      <diagonal/>
    </border>
    <border>
      <left style="hair">
        <color theme="0" tint="-0.499984740745262"/>
      </left>
      <right style="thin">
        <color theme="0" tint="-0.499984740745262"/>
      </right>
      <top style="dashed">
        <color theme="0" tint="-0.499984740745262"/>
      </top>
      <bottom style="dashed">
        <color theme="0" tint="-0.499984740745262"/>
      </bottom>
      <diagonal/>
    </border>
    <border>
      <left style="thin">
        <color theme="0" tint="-0.499984740745262"/>
      </left>
      <right style="hair">
        <color theme="0" tint="-0.499984740745262"/>
      </right>
      <top style="dashed">
        <color theme="0" tint="-0.499984740745262"/>
      </top>
      <bottom style="dashed">
        <color theme="0" tint="-0.499984740745262"/>
      </bottom>
      <diagonal/>
    </border>
    <border>
      <left style="thin">
        <color theme="0" tint="-0.499984740745262"/>
      </left>
      <right/>
      <top style="dashed">
        <color theme="0" tint="-0.499984740745262"/>
      </top>
      <bottom style="dashed">
        <color theme="0" tint="-0.499984740745262"/>
      </bottom>
      <diagonal/>
    </border>
    <border>
      <left style="hair">
        <color theme="0" tint="-0.499984740745262"/>
      </left>
      <right style="dashed">
        <color theme="0" tint="-0.499984740745262"/>
      </right>
      <top style="dashed">
        <color theme="0" tint="-0.499984740745262"/>
      </top>
      <bottom style="dashed">
        <color theme="0" tint="-0.499984740745262"/>
      </bottom>
      <diagonal/>
    </border>
    <border>
      <left/>
      <right style="hair">
        <color theme="0" tint="-0.499984740745262"/>
      </right>
      <top style="dashed">
        <color theme="0" tint="-0.499984740745262"/>
      </top>
      <bottom style="dashed">
        <color theme="0" tint="-0.499984740745262"/>
      </bottom>
      <diagonal/>
    </border>
    <border>
      <left/>
      <right/>
      <top style="dashed">
        <color theme="0" tint="-0.499984740745262"/>
      </top>
      <bottom style="dashed">
        <color theme="0" tint="-0.499984740745262"/>
      </bottom>
      <diagonal/>
    </border>
    <border>
      <left style="hair">
        <color theme="0" tint="-0.499984740745262"/>
      </left>
      <right style="hair">
        <color theme="0" tint="-0.499984740745262"/>
      </right>
      <top style="thin">
        <color indexed="64"/>
      </top>
      <bottom style="thin">
        <color theme="0" tint="-0.499984740745262"/>
      </bottom>
      <diagonal/>
    </border>
    <border>
      <left style="thin">
        <color indexed="64"/>
      </left>
      <right/>
      <top style="hair">
        <color theme="0" tint="-0.34998626667073579"/>
      </top>
      <bottom/>
      <diagonal/>
    </border>
    <border>
      <left style="thin">
        <color theme="0" tint="-0.499984740745262"/>
      </left>
      <right/>
      <top style="hair">
        <color theme="0" tint="-0.34998626667073579"/>
      </top>
      <bottom/>
      <diagonal/>
    </border>
    <border>
      <left style="thin">
        <color indexed="64"/>
      </left>
      <right/>
      <top style="thin">
        <color indexed="64"/>
      </top>
      <bottom style="hair">
        <color theme="0" tint="-0.34998626667073579"/>
      </bottom>
      <diagonal/>
    </border>
    <border>
      <left/>
      <right style="hair">
        <color rgb="FF808080"/>
      </right>
      <top style="hair">
        <color rgb="FFA6A6A6"/>
      </top>
      <bottom style="hair">
        <color rgb="FFA6A6A6"/>
      </bottom>
      <diagonal/>
    </border>
    <border>
      <left style="hair">
        <color rgb="FF808080"/>
      </left>
      <right style="thin">
        <color indexed="64"/>
      </right>
      <top style="hair">
        <color rgb="FFA6A6A6"/>
      </top>
      <bottom style="hair">
        <color rgb="FFA6A6A6"/>
      </bottom>
      <diagonal/>
    </border>
    <border>
      <left style="thin">
        <color indexed="64"/>
      </left>
      <right style="hair">
        <color rgb="FF808080"/>
      </right>
      <top style="hair">
        <color rgb="FFA6A6A6"/>
      </top>
      <bottom style="hair">
        <color rgb="FFA6A6A6"/>
      </bottom>
      <diagonal/>
    </border>
    <border>
      <left/>
      <right style="hair">
        <color rgb="FF808080"/>
      </right>
      <top style="hair">
        <color rgb="FFA6A6A6"/>
      </top>
      <bottom style="dashed">
        <color rgb="FF808080"/>
      </bottom>
      <diagonal/>
    </border>
    <border>
      <left style="hair">
        <color rgb="FF808080"/>
      </left>
      <right style="thin">
        <color indexed="64"/>
      </right>
      <top style="hair">
        <color rgb="FFA6A6A6"/>
      </top>
      <bottom style="dashed">
        <color rgb="FF808080"/>
      </bottom>
      <diagonal/>
    </border>
    <border>
      <left/>
      <right style="thin">
        <color theme="4"/>
      </right>
      <top style="hair">
        <color theme="0" tint="-0.34998626667073579"/>
      </top>
      <bottom style="hair">
        <color theme="0" tint="-0.34998626667073579"/>
      </bottom>
      <diagonal/>
    </border>
    <border>
      <left/>
      <right style="thin">
        <color theme="4"/>
      </right>
      <top style="thin">
        <color indexed="64"/>
      </top>
      <bottom style="thin">
        <color indexed="64"/>
      </bottom>
      <diagonal/>
    </border>
    <border>
      <left style="medium">
        <color indexed="64"/>
      </left>
      <right style="hair">
        <color theme="0" tint="-0.499984740745262"/>
      </right>
      <top style="medium">
        <color indexed="64"/>
      </top>
      <bottom/>
      <diagonal/>
    </border>
    <border>
      <left style="hair">
        <color theme="0" tint="-0.499984740745262"/>
      </left>
      <right style="hair">
        <color theme="0" tint="-0.499984740745262"/>
      </right>
      <top style="medium">
        <color indexed="64"/>
      </top>
      <bottom/>
      <diagonal/>
    </border>
    <border>
      <left style="hair">
        <color theme="0" tint="-0.499984740745262"/>
      </left>
      <right/>
      <top style="medium">
        <color indexed="64"/>
      </top>
      <bottom/>
      <diagonal/>
    </border>
    <border>
      <left style="medium">
        <color indexed="64"/>
      </left>
      <right style="hair">
        <color theme="0" tint="-0.499984740745262"/>
      </right>
      <top style="medium">
        <color indexed="64"/>
      </top>
      <bottom style="thin">
        <color indexed="64"/>
      </bottom>
      <diagonal/>
    </border>
    <border>
      <left style="hair">
        <color theme="0" tint="-0.499984740745262"/>
      </left>
      <right style="hair">
        <color theme="0" tint="-0.499984740745262"/>
      </right>
      <top style="medium">
        <color indexed="64"/>
      </top>
      <bottom style="thin">
        <color indexed="64"/>
      </bottom>
      <diagonal/>
    </border>
    <border>
      <left style="hair">
        <color theme="0" tint="-0.499984740745262"/>
      </left>
      <right style="medium">
        <color indexed="64"/>
      </right>
      <top style="medium">
        <color indexed="64"/>
      </top>
      <bottom style="thin">
        <color indexed="64"/>
      </bottom>
      <diagonal/>
    </border>
    <border>
      <left style="medium">
        <color indexed="64"/>
      </left>
      <right style="hair">
        <color theme="0" tint="-0.499984740745262"/>
      </right>
      <top style="thin">
        <color indexed="64"/>
      </top>
      <bottom style="hair">
        <color theme="0" tint="-0.34998626667073579"/>
      </bottom>
      <diagonal/>
    </border>
    <border>
      <left style="hair">
        <color theme="0" tint="-0.499984740745262"/>
      </left>
      <right style="medium">
        <color indexed="64"/>
      </right>
      <top style="thin">
        <color indexed="64"/>
      </top>
      <bottom style="hair">
        <color theme="0" tint="-0.34998626667073579"/>
      </bottom>
      <diagonal/>
    </border>
    <border>
      <left style="medium">
        <color indexed="64"/>
      </left>
      <right style="hair">
        <color theme="0" tint="-0.499984740745262"/>
      </right>
      <top style="hair">
        <color theme="0" tint="-0.34998626667073579"/>
      </top>
      <bottom style="hair">
        <color theme="0" tint="-0.34998626667073579"/>
      </bottom>
      <diagonal/>
    </border>
    <border>
      <left style="hair">
        <color theme="0" tint="-0.499984740745262"/>
      </left>
      <right style="medium">
        <color indexed="64"/>
      </right>
      <top style="hair">
        <color theme="0" tint="-0.34998626667073579"/>
      </top>
      <bottom style="hair">
        <color theme="0" tint="-0.34998626667073579"/>
      </bottom>
      <diagonal/>
    </border>
    <border>
      <left style="thin">
        <color indexed="64"/>
      </left>
      <right/>
      <top style="hair">
        <color theme="0" tint="-0.34998626667073579"/>
      </top>
      <bottom style="thin">
        <color theme="0" tint="-0.499984740745262"/>
      </bottom>
      <diagonal/>
    </border>
    <border>
      <left style="medium">
        <color indexed="64"/>
      </left>
      <right style="hair">
        <color theme="0" tint="-0.499984740745262"/>
      </right>
      <top style="hair">
        <color theme="0" tint="-0.34998626667073579"/>
      </top>
      <bottom style="thin">
        <color theme="0" tint="-0.499984740745262"/>
      </bottom>
      <diagonal/>
    </border>
    <border>
      <left style="hair">
        <color theme="0" tint="-0.499984740745262"/>
      </left>
      <right style="medium">
        <color indexed="64"/>
      </right>
      <top style="hair">
        <color theme="0" tint="-0.34998626667073579"/>
      </top>
      <bottom style="thin">
        <color theme="0" tint="-0.499984740745262"/>
      </bottom>
      <diagonal/>
    </border>
    <border>
      <left style="thin">
        <color indexed="64"/>
      </left>
      <right/>
      <top style="thin">
        <color theme="0" tint="-0.499984740745262"/>
      </top>
      <bottom style="hair">
        <color theme="0" tint="-0.34998626667073579"/>
      </bottom>
      <diagonal/>
    </border>
    <border>
      <left style="medium">
        <color indexed="64"/>
      </left>
      <right style="hair">
        <color theme="0" tint="-0.499984740745262"/>
      </right>
      <top style="thin">
        <color theme="0" tint="-0.499984740745262"/>
      </top>
      <bottom style="hair">
        <color theme="0" tint="-0.34998626667073579"/>
      </bottom>
      <diagonal/>
    </border>
    <border>
      <left style="hair">
        <color theme="0" tint="-0.499984740745262"/>
      </left>
      <right style="medium">
        <color indexed="64"/>
      </right>
      <top style="thin">
        <color theme="0" tint="-0.499984740745262"/>
      </top>
      <bottom style="hair">
        <color theme="0" tint="-0.34998626667073579"/>
      </bottom>
      <diagonal/>
    </border>
    <border>
      <left/>
      <right style="thin">
        <color indexed="64"/>
      </right>
      <top style="thin">
        <color indexed="64"/>
      </top>
      <bottom/>
      <diagonal/>
    </border>
    <border>
      <left style="thin">
        <color indexed="64"/>
      </left>
      <right style="thin">
        <color indexed="64"/>
      </right>
      <top style="thin">
        <color indexed="64"/>
      </top>
      <bottom style="hair">
        <color theme="0" tint="-0.499984740745262"/>
      </bottom>
      <diagonal/>
    </border>
    <border>
      <left style="thin">
        <color indexed="64"/>
      </left>
      <right/>
      <top style="thin">
        <color indexed="64"/>
      </top>
      <bottom style="hair">
        <color theme="0" tint="-0.499984740745262"/>
      </bottom>
      <diagonal/>
    </border>
    <border>
      <left style="thin">
        <color indexed="64"/>
      </left>
      <right style="thin">
        <color indexed="64"/>
      </right>
      <top style="hair">
        <color theme="0" tint="-0.499984740745262"/>
      </top>
      <bottom style="hair">
        <color theme="0" tint="-0.499984740745262"/>
      </bottom>
      <diagonal/>
    </border>
    <border>
      <left style="thin">
        <color indexed="64"/>
      </left>
      <right/>
      <top style="hair">
        <color theme="0" tint="-0.499984740745262"/>
      </top>
      <bottom style="hair">
        <color theme="0" tint="-0.499984740745262"/>
      </bottom>
      <diagonal/>
    </border>
    <border>
      <left style="thin">
        <color indexed="64"/>
      </left>
      <right style="thin">
        <color indexed="64"/>
      </right>
      <top style="hair">
        <color theme="0" tint="-0.499984740745262"/>
      </top>
      <bottom style="thin">
        <color theme="0" tint="-0.499984740745262"/>
      </bottom>
      <diagonal/>
    </border>
    <border>
      <left style="thin">
        <color indexed="64"/>
      </left>
      <right/>
      <top style="hair">
        <color theme="0" tint="-0.499984740745262"/>
      </top>
      <bottom style="thin">
        <color theme="0" tint="-0.499984740745262"/>
      </bottom>
      <diagonal/>
    </border>
    <border>
      <left/>
      <right style="thin">
        <color theme="4"/>
      </right>
      <top style="thin">
        <color indexed="64"/>
      </top>
      <bottom style="hair">
        <color theme="0" tint="-0.499984740745262"/>
      </bottom>
      <diagonal/>
    </border>
    <border>
      <left/>
      <right style="thin">
        <color theme="4"/>
      </right>
      <top style="hair">
        <color theme="0" tint="-0.499984740745262"/>
      </top>
      <bottom style="hair">
        <color theme="0" tint="-0.499984740745262"/>
      </bottom>
      <diagonal/>
    </border>
    <border>
      <left/>
      <right style="thin">
        <color theme="4"/>
      </right>
      <top style="hair">
        <color theme="0" tint="-0.499984740745262"/>
      </top>
      <bottom style="thin">
        <color theme="0" tint="-0.499984740745262"/>
      </bottom>
      <diagonal/>
    </border>
    <border>
      <left style="thin">
        <color indexed="64"/>
      </left>
      <right style="hair">
        <color theme="0" tint="-0.499984740745262"/>
      </right>
      <top style="thin">
        <color indexed="64"/>
      </top>
      <bottom style="hair">
        <color theme="0" tint="-0.499984740745262"/>
      </bottom>
      <diagonal/>
    </border>
    <border>
      <left style="hair">
        <color theme="0" tint="-0.499984740745262"/>
      </left>
      <right style="thin">
        <color indexed="64"/>
      </right>
      <top style="thin">
        <color indexed="64"/>
      </top>
      <bottom style="hair">
        <color theme="0" tint="-0.499984740745262"/>
      </bottom>
      <diagonal/>
    </border>
    <border>
      <left style="thin">
        <color indexed="64"/>
      </left>
      <right style="hair">
        <color theme="0" tint="-0.499984740745262"/>
      </right>
      <top style="hair">
        <color theme="0" tint="-0.499984740745262"/>
      </top>
      <bottom style="hair">
        <color theme="0" tint="-0.499984740745262"/>
      </bottom>
      <diagonal/>
    </border>
    <border>
      <left style="hair">
        <color theme="0" tint="-0.499984740745262"/>
      </left>
      <right style="thin">
        <color indexed="64"/>
      </right>
      <top style="hair">
        <color theme="0" tint="-0.499984740745262"/>
      </top>
      <bottom style="hair">
        <color theme="0" tint="-0.499984740745262"/>
      </bottom>
      <diagonal/>
    </border>
    <border>
      <left style="thin">
        <color indexed="64"/>
      </left>
      <right style="hair">
        <color theme="0" tint="-0.499984740745262"/>
      </right>
      <top style="hair">
        <color theme="0" tint="-0.499984740745262"/>
      </top>
      <bottom style="thin">
        <color theme="0" tint="-0.499984740745262"/>
      </bottom>
      <diagonal/>
    </border>
    <border>
      <left style="hair">
        <color theme="0" tint="-0.499984740745262"/>
      </left>
      <right style="thin">
        <color indexed="64"/>
      </right>
      <top style="hair">
        <color theme="0" tint="-0.499984740745262"/>
      </top>
      <bottom style="thin">
        <color theme="0" tint="-0.499984740745262"/>
      </bottom>
      <diagonal/>
    </border>
    <border>
      <left style="hair">
        <color theme="0" tint="-0.499984740745262"/>
      </left>
      <right/>
      <top style="thin">
        <color indexed="64"/>
      </top>
      <bottom style="hair">
        <color theme="0" tint="-0.499984740745262"/>
      </bottom>
      <diagonal/>
    </border>
    <border>
      <left style="hair">
        <color theme="0" tint="-0.499984740745262"/>
      </left>
      <right/>
      <top style="hair">
        <color theme="0" tint="-0.499984740745262"/>
      </top>
      <bottom style="hair">
        <color theme="0" tint="-0.499984740745262"/>
      </bottom>
      <diagonal/>
    </border>
    <border>
      <left style="hair">
        <color theme="0" tint="-0.499984740745262"/>
      </left>
      <right/>
      <top style="hair">
        <color theme="0" tint="-0.499984740745262"/>
      </top>
      <bottom style="thin">
        <color theme="0" tint="-0.499984740745262"/>
      </bottom>
      <diagonal/>
    </border>
    <border>
      <left style="hair">
        <color theme="0" tint="-0.499984740745262"/>
      </left>
      <right style="dashed">
        <color theme="0" tint="-0.499984740745262"/>
      </right>
      <top style="thin">
        <color indexed="64"/>
      </top>
      <bottom style="hair">
        <color theme="0" tint="-0.499984740745262"/>
      </bottom>
      <diagonal/>
    </border>
    <border>
      <left style="hair">
        <color theme="0" tint="-0.499984740745262"/>
      </left>
      <right style="dashed">
        <color theme="0" tint="-0.499984740745262"/>
      </right>
      <top style="hair">
        <color theme="0" tint="-0.499984740745262"/>
      </top>
      <bottom style="hair">
        <color theme="0" tint="-0.499984740745262"/>
      </bottom>
      <diagonal/>
    </border>
    <border>
      <left style="thin">
        <color indexed="64"/>
      </left>
      <right style="thin">
        <color indexed="64"/>
      </right>
      <top style="hair">
        <color theme="0" tint="-0.499984740745262"/>
      </top>
      <bottom/>
      <diagonal/>
    </border>
    <border>
      <left style="thin">
        <color indexed="64"/>
      </left>
      <right style="thin">
        <color indexed="64"/>
      </right>
      <top/>
      <bottom style="hair">
        <color theme="0" tint="-0.499984740745262"/>
      </bottom>
      <diagonal/>
    </border>
    <border>
      <left/>
      <right style="hair">
        <color theme="0" tint="-0.34998626667073579"/>
      </right>
      <top style="hair">
        <color theme="0" tint="-0.34998626667073579"/>
      </top>
      <bottom style="hair">
        <color theme="0" tint="-0.34998626667073579"/>
      </bottom>
      <diagonal/>
    </border>
    <border>
      <left/>
      <right style="thin">
        <color theme="4"/>
      </right>
      <top style="thin">
        <color theme="0" tint="-0.499984740745262"/>
      </top>
      <bottom style="hair">
        <color theme="0" tint="-0.34998626667073579"/>
      </bottom>
      <diagonal/>
    </border>
    <border>
      <left/>
      <right style="thin">
        <color theme="4"/>
      </right>
      <top style="hair">
        <color theme="0" tint="-0.34998626667073579"/>
      </top>
      <bottom style="thin">
        <color theme="0" tint="-0.499984740745262"/>
      </bottom>
      <diagonal/>
    </border>
    <border>
      <left style="hair">
        <color theme="0" tint="-0.34998626667073579"/>
      </left>
      <right/>
      <top style="thin">
        <color indexed="64"/>
      </top>
      <bottom style="thin">
        <color indexed="64"/>
      </bottom>
      <diagonal/>
    </border>
    <border>
      <left style="hair">
        <color theme="0" tint="-0.34998626667073579"/>
      </left>
      <right/>
      <top style="thin">
        <color indexed="64"/>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style="hair">
        <color theme="0" tint="-0.34998626667073579"/>
      </left>
      <right/>
      <top style="hair">
        <color theme="0" tint="-0.34998626667073579"/>
      </top>
      <bottom/>
      <diagonal/>
    </border>
    <border>
      <left style="hair">
        <color theme="0" tint="-0.34998626667073579"/>
      </left>
      <right/>
      <top style="thin">
        <color theme="0" tint="-0.499984740745262"/>
      </top>
      <bottom style="hair">
        <color theme="0" tint="-0.34998626667073579"/>
      </bottom>
      <diagonal/>
    </border>
    <border>
      <left style="hair">
        <color theme="0" tint="-0.34998626667073579"/>
      </left>
      <right/>
      <top style="hair">
        <color theme="0" tint="-0.34998626667073579"/>
      </top>
      <bottom style="thin">
        <color theme="0" tint="-0.499984740745262"/>
      </bottom>
      <diagonal/>
    </border>
    <border>
      <left style="hair">
        <color theme="0" tint="-0.34998626667073579"/>
      </left>
      <right/>
      <top/>
      <bottom style="hair">
        <color theme="0" tint="-0.34998626667073579"/>
      </bottom>
      <diagonal/>
    </border>
    <border>
      <left style="hair">
        <color theme="0" tint="-0.34998626667073579"/>
      </left>
      <right/>
      <top style="hair">
        <color theme="0" tint="-0.34998626667073579"/>
      </top>
      <bottom style="thin">
        <color indexed="64"/>
      </bottom>
      <diagonal/>
    </border>
    <border>
      <left style="dashed">
        <color indexed="64"/>
      </left>
      <right style="hair">
        <color theme="0" tint="-0.34998626667073579"/>
      </right>
      <top style="thin">
        <color indexed="64"/>
      </top>
      <bottom style="thin">
        <color indexed="64"/>
      </bottom>
      <diagonal/>
    </border>
    <border>
      <left style="hair">
        <color theme="0" tint="-0.499984740745262"/>
      </left>
      <right style="dashed">
        <color indexed="64"/>
      </right>
      <top style="thin">
        <color indexed="64"/>
      </top>
      <bottom style="thin">
        <color indexed="64"/>
      </bottom>
      <diagonal/>
    </border>
    <border>
      <left style="dashed">
        <color indexed="64"/>
      </left>
      <right style="hair">
        <color theme="0" tint="-0.34998626667073579"/>
      </right>
      <top style="thin">
        <color indexed="64"/>
      </top>
      <bottom style="hair">
        <color theme="0" tint="-0.34998626667073579"/>
      </bottom>
      <diagonal/>
    </border>
    <border>
      <left style="hair">
        <color theme="0" tint="-0.34998626667073579"/>
      </left>
      <right style="dashed">
        <color indexed="64"/>
      </right>
      <top style="thin">
        <color indexed="64"/>
      </top>
      <bottom style="hair">
        <color theme="0" tint="-0.34998626667073579"/>
      </bottom>
      <diagonal/>
    </border>
    <border>
      <left style="dashed">
        <color indexed="64"/>
      </left>
      <right style="hair">
        <color theme="0" tint="-0.34998626667073579"/>
      </right>
      <top style="hair">
        <color theme="0" tint="-0.34998626667073579"/>
      </top>
      <bottom style="hair">
        <color theme="0" tint="-0.34998626667073579"/>
      </bottom>
      <diagonal/>
    </border>
    <border>
      <left style="hair">
        <color theme="0" tint="-0.34998626667073579"/>
      </left>
      <right style="dashed">
        <color indexed="64"/>
      </right>
      <top style="hair">
        <color theme="0" tint="-0.34998626667073579"/>
      </top>
      <bottom style="hair">
        <color theme="0" tint="-0.34998626667073579"/>
      </bottom>
      <diagonal/>
    </border>
    <border>
      <left style="dashed">
        <color indexed="64"/>
      </left>
      <right style="hair">
        <color theme="0" tint="-0.34998626667073579"/>
      </right>
      <top style="hair">
        <color theme="0" tint="-0.34998626667073579"/>
      </top>
      <bottom/>
      <diagonal/>
    </border>
    <border>
      <left style="hair">
        <color theme="0" tint="-0.34998626667073579"/>
      </left>
      <right style="dashed">
        <color indexed="64"/>
      </right>
      <top style="hair">
        <color theme="0" tint="-0.34998626667073579"/>
      </top>
      <bottom/>
      <diagonal/>
    </border>
    <border>
      <left style="dashed">
        <color indexed="64"/>
      </left>
      <right style="hair">
        <color theme="0" tint="-0.34998626667073579"/>
      </right>
      <top style="thin">
        <color theme="0" tint="-0.499984740745262"/>
      </top>
      <bottom style="hair">
        <color theme="0" tint="-0.34998626667073579"/>
      </bottom>
      <diagonal/>
    </border>
    <border>
      <left style="hair">
        <color theme="0" tint="-0.34998626667073579"/>
      </left>
      <right style="dashed">
        <color indexed="64"/>
      </right>
      <top style="thin">
        <color theme="0" tint="-0.499984740745262"/>
      </top>
      <bottom style="hair">
        <color theme="0" tint="-0.34998626667073579"/>
      </bottom>
      <diagonal/>
    </border>
    <border>
      <left style="dashed">
        <color indexed="64"/>
      </left>
      <right style="hair">
        <color theme="0" tint="-0.34998626667073579"/>
      </right>
      <top style="hair">
        <color theme="0" tint="-0.34998626667073579"/>
      </top>
      <bottom style="thin">
        <color theme="0" tint="-0.499984740745262"/>
      </bottom>
      <diagonal/>
    </border>
    <border>
      <left style="hair">
        <color theme="0" tint="-0.34998626667073579"/>
      </left>
      <right style="dashed">
        <color indexed="64"/>
      </right>
      <top style="hair">
        <color theme="0" tint="-0.34998626667073579"/>
      </top>
      <bottom style="thin">
        <color theme="0" tint="-0.499984740745262"/>
      </bottom>
      <diagonal/>
    </border>
    <border>
      <left style="dashed">
        <color indexed="64"/>
      </left>
      <right style="hair">
        <color theme="0" tint="-0.34998626667073579"/>
      </right>
      <top/>
      <bottom style="hair">
        <color theme="0" tint="-0.34998626667073579"/>
      </bottom>
      <diagonal/>
    </border>
    <border>
      <left style="hair">
        <color theme="0" tint="-0.34998626667073579"/>
      </left>
      <right style="dashed">
        <color indexed="64"/>
      </right>
      <top/>
      <bottom style="hair">
        <color theme="0" tint="-0.34998626667073579"/>
      </bottom>
      <diagonal/>
    </border>
    <border>
      <left style="dashed">
        <color indexed="64"/>
      </left>
      <right style="hair">
        <color theme="0" tint="-0.34998626667073579"/>
      </right>
      <top style="hair">
        <color theme="0" tint="-0.34998626667073579"/>
      </top>
      <bottom style="thin">
        <color indexed="64"/>
      </bottom>
      <diagonal/>
    </border>
    <border>
      <left style="hair">
        <color theme="0" tint="-0.34998626667073579"/>
      </left>
      <right style="dashed">
        <color indexed="64"/>
      </right>
      <top style="hair">
        <color theme="0" tint="-0.34998626667073579"/>
      </top>
      <bottom style="thin">
        <color indexed="64"/>
      </bottom>
      <diagonal/>
    </border>
    <border>
      <left/>
      <right style="hair">
        <color theme="0" tint="-0.34998626667073579"/>
      </right>
      <top style="thin">
        <color indexed="64"/>
      </top>
      <bottom style="thin">
        <color indexed="64"/>
      </bottom>
      <diagonal/>
    </border>
    <border>
      <left/>
      <right style="hair">
        <color theme="0" tint="-0.34998626667073579"/>
      </right>
      <top style="thin">
        <color indexed="64"/>
      </top>
      <bottom style="hair">
        <color theme="0" tint="-0.34998626667073579"/>
      </bottom>
      <diagonal/>
    </border>
    <border>
      <left/>
      <right style="hair">
        <color theme="0" tint="-0.34998626667073579"/>
      </right>
      <top style="hair">
        <color theme="0" tint="-0.34998626667073579"/>
      </top>
      <bottom/>
      <diagonal/>
    </border>
    <border>
      <left/>
      <right style="hair">
        <color theme="0" tint="-0.34998626667073579"/>
      </right>
      <top style="thin">
        <color theme="0" tint="-0.499984740745262"/>
      </top>
      <bottom style="hair">
        <color theme="0" tint="-0.34998626667073579"/>
      </bottom>
      <diagonal/>
    </border>
    <border>
      <left/>
      <right style="hair">
        <color theme="0" tint="-0.34998626667073579"/>
      </right>
      <top style="hair">
        <color theme="0" tint="-0.34998626667073579"/>
      </top>
      <bottom style="thin">
        <color theme="0" tint="-0.499984740745262"/>
      </bottom>
      <diagonal/>
    </border>
    <border>
      <left/>
      <right style="hair">
        <color theme="0" tint="-0.34998626667073579"/>
      </right>
      <top/>
      <bottom style="hair">
        <color theme="0" tint="-0.34998626667073579"/>
      </bottom>
      <diagonal/>
    </border>
    <border>
      <left/>
      <right style="hair">
        <color theme="0" tint="-0.34998626667073579"/>
      </right>
      <top style="hair">
        <color theme="0" tint="-0.34998626667073579"/>
      </top>
      <bottom style="thin">
        <color indexed="64"/>
      </bottom>
      <diagonal/>
    </border>
    <border>
      <left style="thin">
        <color theme="4"/>
      </left>
      <right style="hair">
        <color indexed="64"/>
      </right>
      <top style="thin">
        <color indexed="64"/>
      </top>
      <bottom style="thin">
        <color indexed="64"/>
      </bottom>
      <diagonal/>
    </border>
    <border>
      <left style="hair">
        <color indexed="64"/>
      </left>
      <right style="thin">
        <color theme="4"/>
      </right>
      <top style="thin">
        <color indexed="64"/>
      </top>
      <bottom style="thin">
        <color indexed="64"/>
      </bottom>
      <diagonal/>
    </border>
    <border>
      <left/>
      <right style="hair">
        <color indexed="64"/>
      </right>
      <top style="hair">
        <color theme="0" tint="-0.34998626667073579"/>
      </top>
      <bottom style="hair">
        <color theme="0" tint="-0.34998626667073579"/>
      </bottom>
      <diagonal/>
    </border>
    <border>
      <left style="hair">
        <color indexed="64"/>
      </left>
      <right style="dashed">
        <color indexed="64"/>
      </right>
      <top style="thin">
        <color indexed="64"/>
      </top>
      <bottom style="thin">
        <color indexed="64"/>
      </bottom>
      <diagonal/>
    </border>
    <border>
      <left style="hair">
        <color indexed="64"/>
      </left>
      <right style="dashed">
        <color indexed="64"/>
      </right>
      <top style="thin">
        <color indexed="64"/>
      </top>
      <bottom style="hair">
        <color theme="0" tint="-0.34998626667073579"/>
      </bottom>
      <diagonal/>
    </border>
    <border>
      <left style="hair">
        <color indexed="64"/>
      </left>
      <right style="dashed">
        <color indexed="64"/>
      </right>
      <top style="hair">
        <color theme="0" tint="-0.34998626667073579"/>
      </top>
      <bottom style="hair">
        <color theme="0" tint="-0.34998626667073579"/>
      </bottom>
      <diagonal/>
    </border>
    <border>
      <left style="hair">
        <color indexed="64"/>
      </left>
      <right style="dashed">
        <color indexed="64"/>
      </right>
      <top style="hair">
        <color theme="0" tint="-0.34998626667073579"/>
      </top>
      <bottom style="thin">
        <color theme="0" tint="-0.499984740745262"/>
      </bottom>
      <diagonal/>
    </border>
    <border>
      <left/>
      <right style="thin">
        <color indexed="64"/>
      </right>
      <top/>
      <bottom style="thin">
        <color theme="0" tint="-0.499984740745262"/>
      </bottom>
      <diagonal/>
    </border>
    <border>
      <left style="hair">
        <color indexed="64"/>
      </left>
      <right style="dashed">
        <color indexed="64"/>
      </right>
      <top style="thin">
        <color theme="0" tint="-0.499984740745262"/>
      </top>
      <bottom style="hair">
        <color theme="0" tint="-0.34998626667073579"/>
      </bottom>
      <diagonal/>
    </border>
    <border>
      <left/>
      <right style="hair">
        <color indexed="64"/>
      </right>
      <top style="thin">
        <color theme="0" tint="-0.499984740745262"/>
      </top>
      <bottom style="hair">
        <color theme="0" tint="-0.34998626667073579"/>
      </bottom>
      <diagonal/>
    </border>
    <border>
      <left/>
      <right style="hair">
        <color indexed="64"/>
      </right>
      <top style="hair">
        <color theme="0" tint="-0.34998626667073579"/>
      </top>
      <bottom style="thin">
        <color theme="0" tint="-0.499984740745262"/>
      </bottom>
      <diagonal/>
    </border>
    <border>
      <left/>
      <right style="thin">
        <color theme="4"/>
      </right>
      <top/>
      <bottom style="thin">
        <color indexed="64"/>
      </bottom>
      <diagonal/>
    </border>
    <border>
      <left style="thin">
        <color indexed="64"/>
      </left>
      <right style="hair">
        <color theme="0" tint="-0.499984740745262"/>
      </right>
      <top style="hair">
        <color theme="0" tint="-0.499984740745262"/>
      </top>
      <bottom/>
      <diagonal/>
    </border>
    <border>
      <left style="hair">
        <color theme="0" tint="-0.499984740745262"/>
      </left>
      <right style="dashed">
        <color theme="0" tint="-0.499984740745262"/>
      </right>
      <top style="hair">
        <color theme="0" tint="-0.499984740745262"/>
      </top>
      <bottom/>
      <diagonal/>
    </border>
  </borders>
  <cellStyleXfs count="8">
    <xf numFmtId="0" fontId="0" fillId="0" borderId="0"/>
    <xf numFmtId="165" fontId="9" fillId="0" borderId="0" applyFont="0" applyFill="0" applyBorder="0" applyAlignment="0" applyProtection="0"/>
    <xf numFmtId="9" fontId="9" fillId="0" borderId="0" applyFont="0" applyFill="0" applyBorder="0" applyAlignment="0" applyProtection="0"/>
    <xf numFmtId="0" fontId="20" fillId="0" borderId="0"/>
    <xf numFmtId="0" fontId="22" fillId="0" borderId="0" applyNumberFormat="0" applyFill="0" applyBorder="0" applyAlignment="0" applyProtection="0"/>
    <xf numFmtId="0" fontId="2" fillId="0" borderId="0"/>
    <xf numFmtId="9" fontId="2" fillId="0" borderId="0" applyFont="0" applyFill="0" applyBorder="0" applyAlignment="0" applyProtection="0"/>
    <xf numFmtId="43" fontId="2" fillId="0" borderId="0" applyFont="0" applyFill="0" applyBorder="0" applyAlignment="0" applyProtection="0"/>
  </cellStyleXfs>
  <cellXfs count="2595">
    <xf numFmtId="0" fontId="0" fillId="0" borderId="0" xfId="0"/>
    <xf numFmtId="0" fontId="0" fillId="0" borderId="1" xfId="0" applyBorder="1" applyAlignment="1">
      <alignment horizontal="center" vertical="center"/>
    </xf>
    <xf numFmtId="0" fontId="5" fillId="0" borderId="1" xfId="0" applyFont="1" applyBorder="1" applyAlignment="1">
      <alignment horizontal="center" vertical="center" wrapText="1" readingOrder="1"/>
    </xf>
    <xf numFmtId="0" fontId="0" fillId="0" borderId="1" xfId="0" applyBorder="1" applyAlignment="1">
      <alignment horizontal="center" vertical="center" wrapText="1"/>
    </xf>
    <xf numFmtId="0" fontId="0" fillId="0" borderId="1" xfId="0" applyBorder="1"/>
    <xf numFmtId="0" fontId="8" fillId="0" borderId="1" xfId="0" applyFont="1" applyBorder="1" applyAlignment="1">
      <alignment horizontal="left" vertical="center" wrapText="1" readingOrder="1"/>
    </xf>
    <xf numFmtId="0" fontId="12" fillId="0" borderId="1" xfId="0" applyFont="1" applyBorder="1" applyAlignment="1">
      <alignment horizontal="left" vertical="center" wrapText="1" readingOrder="1"/>
    </xf>
    <xf numFmtId="0" fontId="11" fillId="0" borderId="1" xfId="0" applyFont="1" applyBorder="1"/>
    <xf numFmtId="0" fontId="7" fillId="0" borderId="1" xfId="0" applyFont="1" applyBorder="1" applyAlignment="1">
      <alignment horizontal="center" vertical="center" wrapText="1" readingOrder="1"/>
    </xf>
    <xf numFmtId="0" fontId="14" fillId="0" borderId="1" xfId="0" applyFont="1" applyBorder="1" applyAlignment="1">
      <alignment vertical="center"/>
    </xf>
    <xf numFmtId="0" fontId="15" fillId="0" borderId="1" xfId="0" applyFont="1" applyBorder="1" applyAlignment="1">
      <alignment vertical="center"/>
    </xf>
    <xf numFmtId="0" fontId="13" fillId="0" borderId="1" xfId="0" applyFont="1" applyBorder="1" applyAlignment="1">
      <alignment vertical="center" wrapText="1" readingOrder="1"/>
    </xf>
    <xf numFmtId="0" fontId="15" fillId="0" borderId="1" xfId="0" applyFont="1" applyBorder="1" applyAlignment="1">
      <alignment vertical="center" wrapText="1" readingOrder="1"/>
    </xf>
    <xf numFmtId="0" fontId="4" fillId="0" borderId="1" xfId="0" applyFont="1" applyBorder="1" applyAlignment="1">
      <alignment vertical="center" wrapText="1" readingOrder="1"/>
    </xf>
    <xf numFmtId="0" fontId="8" fillId="0" borderId="1" xfId="0" applyFont="1" applyBorder="1" applyAlignment="1">
      <alignment horizontal="center" vertical="center" wrapText="1" readingOrder="1"/>
    </xf>
    <xf numFmtId="0" fontId="13" fillId="0" borderId="1" xfId="0" applyFont="1" applyBorder="1" applyAlignment="1">
      <alignment vertical="center"/>
    </xf>
    <xf numFmtId="10" fontId="0" fillId="0" borderId="1" xfId="0" applyNumberFormat="1" applyBorder="1" applyAlignment="1">
      <alignment horizontal="center" vertical="center" wrapText="1"/>
    </xf>
    <xf numFmtId="9" fontId="0" fillId="0" borderId="1" xfId="0" applyNumberFormat="1" applyBorder="1" applyAlignment="1">
      <alignment horizontal="center" vertical="center"/>
    </xf>
    <xf numFmtId="0" fontId="0" fillId="0" borderId="1" xfId="0" quotePrefix="1" applyBorder="1" applyAlignment="1">
      <alignment horizontal="center" vertical="center"/>
    </xf>
    <xf numFmtId="10" fontId="0" fillId="0" borderId="1" xfId="0" applyNumberFormat="1" applyBorder="1" applyAlignment="1">
      <alignment horizontal="center" vertical="center"/>
    </xf>
    <xf numFmtId="37" fontId="0" fillId="0" borderId="1" xfId="0" applyNumberFormat="1" applyBorder="1" applyAlignment="1">
      <alignment horizontal="center" vertical="center"/>
    </xf>
    <xf numFmtId="9" fontId="0" fillId="0" borderId="1" xfId="0" applyNumberFormat="1" applyBorder="1" applyAlignment="1">
      <alignment horizontal="center" vertical="center" wrapText="1"/>
    </xf>
    <xf numFmtId="1" fontId="8" fillId="0" borderId="1" xfId="0" applyNumberFormat="1" applyFont="1" applyBorder="1" applyAlignment="1">
      <alignment horizontal="center" vertical="center" wrapText="1" readingOrder="1"/>
    </xf>
    <xf numFmtId="0" fontId="0" fillId="0" borderId="1" xfId="0" quotePrefix="1" applyBorder="1" applyAlignment="1">
      <alignment horizontal="center" vertical="center" wrapText="1"/>
    </xf>
    <xf numFmtId="0" fontId="18" fillId="0" borderId="1" xfId="0" applyFont="1" applyBorder="1" applyAlignment="1">
      <alignment vertical="center" wrapText="1" readingOrder="1"/>
    </xf>
    <xf numFmtId="0" fontId="19" fillId="0" borderId="1" xfId="0" applyFont="1" applyBorder="1" applyAlignment="1">
      <alignment horizontal="left" vertical="center" wrapText="1" readingOrder="1"/>
    </xf>
    <xf numFmtId="3" fontId="0" fillId="0" borderId="1" xfId="0" applyNumberFormat="1" applyBorder="1" applyAlignment="1">
      <alignment horizontal="center" vertical="center"/>
    </xf>
    <xf numFmtId="0" fontId="0" fillId="4" borderId="1" xfId="0" applyFill="1" applyBorder="1" applyAlignment="1">
      <alignment horizontal="center" vertical="center" wrapText="1"/>
    </xf>
    <xf numFmtId="0" fontId="0" fillId="0" borderId="1" xfId="0" applyBorder="1" applyAlignment="1">
      <alignment horizontal="center"/>
    </xf>
    <xf numFmtId="0" fontId="4" fillId="0" borderId="1" xfId="0" applyFont="1" applyBorder="1" applyAlignment="1">
      <alignment horizontal="center" vertical="center" wrapText="1" readingOrder="1"/>
    </xf>
    <xf numFmtId="0" fontId="17" fillId="0" borderId="1" xfId="0" applyFont="1" applyBorder="1" applyAlignment="1">
      <alignment vertical="center" wrapText="1" readingOrder="1"/>
    </xf>
    <xf numFmtId="0" fontId="16" fillId="0" borderId="1" xfId="0" applyFont="1" applyBorder="1" applyAlignment="1">
      <alignment vertical="center" wrapText="1" readingOrder="1"/>
    </xf>
    <xf numFmtId="0" fontId="3" fillId="0" borderId="1" xfId="0" applyFont="1" applyBorder="1" applyAlignment="1">
      <alignment vertical="center" wrapText="1" readingOrder="1"/>
    </xf>
    <xf numFmtId="0" fontId="3" fillId="2" borderId="1" xfId="0" applyFont="1" applyFill="1" applyBorder="1" applyAlignment="1">
      <alignment vertical="center" wrapText="1" readingOrder="1"/>
    </xf>
    <xf numFmtId="0" fontId="3" fillId="2" borderId="1" xfId="0" applyFont="1" applyFill="1" applyBorder="1" applyAlignment="1">
      <alignment horizontal="center" vertical="center" wrapText="1" readingOrder="1"/>
    </xf>
    <xf numFmtId="0" fontId="6" fillId="2" borderId="1" xfId="0" applyFont="1" applyFill="1" applyBorder="1" applyAlignment="1">
      <alignment horizontal="center" vertical="center" wrapText="1" readingOrder="1"/>
    </xf>
    <xf numFmtId="0" fontId="14" fillId="0" borderId="1" xfId="0" applyFont="1" applyBorder="1" applyAlignment="1">
      <alignment vertical="top"/>
    </xf>
    <xf numFmtId="0" fontId="17" fillId="0" borderId="1" xfId="0" applyFont="1" applyBorder="1" applyAlignment="1">
      <alignment vertical="top" wrapText="1" readingOrder="1"/>
    </xf>
    <xf numFmtId="0" fontId="3" fillId="0" borderId="1" xfId="0" applyFont="1" applyBorder="1" applyAlignment="1">
      <alignment vertical="top" wrapText="1" readingOrder="1"/>
    </xf>
    <xf numFmtId="166" fontId="0" fillId="0" borderId="1" xfId="2" applyNumberFormat="1" applyFont="1" applyBorder="1" applyAlignment="1">
      <alignment horizontal="center" vertical="center"/>
    </xf>
    <xf numFmtId="2" fontId="0" fillId="0" borderId="1" xfId="1" applyNumberFormat="1" applyFont="1" applyBorder="1" applyAlignment="1">
      <alignment horizontal="center" vertical="center"/>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0" fillId="5" borderId="1" xfId="0" applyFill="1" applyBorder="1" applyAlignment="1">
      <alignment horizontal="center" vertical="center"/>
    </xf>
    <xf numFmtId="0" fontId="0" fillId="5" borderId="1" xfId="0" applyFill="1" applyBorder="1" applyAlignment="1">
      <alignment horizontal="center" vertical="center" wrapText="1"/>
    </xf>
    <xf numFmtId="2" fontId="0" fillId="0" borderId="1" xfId="0" applyNumberFormat="1" applyBorder="1" applyAlignment="1">
      <alignment horizontal="center" vertical="center"/>
    </xf>
    <xf numFmtId="165" fontId="0" fillId="0" borderId="1" xfId="1" applyFont="1" applyBorder="1" applyAlignment="1">
      <alignment horizontal="center" vertical="center"/>
    </xf>
    <xf numFmtId="167" fontId="0" fillId="0" borderId="1" xfId="0" applyNumberFormat="1" applyBorder="1" applyAlignment="1">
      <alignment horizontal="center"/>
    </xf>
    <xf numFmtId="0" fontId="14" fillId="0" borderId="0" xfId="0" applyFont="1" applyAlignment="1">
      <alignment vertical="center"/>
    </xf>
    <xf numFmtId="0" fontId="11" fillId="0" borderId="0" xfId="0" applyFont="1"/>
    <xf numFmtId="0" fontId="11" fillId="0" borderId="0" xfId="0" applyFont="1" applyAlignment="1">
      <alignment horizontal="center"/>
    </xf>
    <xf numFmtId="0" fontId="0" fillId="0" borderId="0" xfId="0" applyAlignment="1">
      <alignment horizontal="center" vertical="center"/>
    </xf>
    <xf numFmtId="0" fontId="0" fillId="0" borderId="0" xfId="0" applyAlignment="1">
      <alignment horizontal="center"/>
    </xf>
    <xf numFmtId="2" fontId="0" fillId="0" borderId="1" xfId="0" applyNumberFormat="1" applyBorder="1" applyAlignment="1">
      <alignment horizontal="center" wrapText="1"/>
    </xf>
    <xf numFmtId="2" fontId="0" fillId="0" borderId="1" xfId="0" applyNumberFormat="1" applyBorder="1"/>
    <xf numFmtId="9" fontId="0" fillId="5" borderId="1" xfId="0" applyNumberFormat="1" applyFill="1" applyBorder="1" applyAlignment="1">
      <alignment horizontal="center" vertical="center" wrapText="1"/>
    </xf>
    <xf numFmtId="0" fontId="0" fillId="0" borderId="0" xfId="0" applyAlignment="1">
      <alignment horizontal="left"/>
    </xf>
    <xf numFmtId="167" fontId="0" fillId="0" borderId="7" xfId="0" applyNumberFormat="1" applyBorder="1" applyAlignment="1">
      <alignment horizontal="center"/>
    </xf>
    <xf numFmtId="0" fontId="3" fillId="2" borderId="1" xfId="0" applyFont="1" applyFill="1" applyBorder="1" applyAlignment="1">
      <alignment horizontal="left" vertical="center" wrapText="1" readingOrder="1"/>
    </xf>
    <xf numFmtId="0" fontId="3" fillId="0" borderId="1" xfId="0" applyFont="1" applyBorder="1" applyAlignment="1">
      <alignment horizontal="left" vertical="center" wrapText="1" readingOrder="1"/>
    </xf>
    <xf numFmtId="0" fontId="14" fillId="0" borderId="1" xfId="0" applyFont="1" applyBorder="1" applyAlignment="1">
      <alignment horizontal="left" vertical="center"/>
    </xf>
    <xf numFmtId="0" fontId="17" fillId="0" borderId="1" xfId="0" applyFont="1" applyBorder="1" applyAlignment="1">
      <alignment horizontal="left" vertical="center" wrapText="1" readingOrder="1"/>
    </xf>
    <xf numFmtId="0" fontId="13" fillId="0" borderId="1" xfId="0" applyFont="1" applyBorder="1" applyAlignment="1">
      <alignment horizontal="left" vertical="center"/>
    </xf>
    <xf numFmtId="0" fontId="11" fillId="0" borderId="1" xfId="0" applyFont="1" applyBorder="1" applyAlignment="1">
      <alignment horizontal="left" vertical="center"/>
    </xf>
    <xf numFmtId="0" fontId="15" fillId="0" borderId="1" xfId="0" applyFont="1" applyBorder="1" applyAlignment="1">
      <alignment horizontal="left" vertical="center"/>
    </xf>
    <xf numFmtId="0" fontId="14" fillId="0" borderId="0" xfId="0" applyFont="1" applyAlignment="1">
      <alignment horizontal="left" vertical="center"/>
    </xf>
    <xf numFmtId="0" fontId="11" fillId="0" borderId="0" xfId="0" applyFont="1" applyAlignment="1">
      <alignment horizontal="left"/>
    </xf>
    <xf numFmtId="0" fontId="0" fillId="0" borderId="0" xfId="0" applyAlignment="1">
      <alignment vertical="center"/>
    </xf>
    <xf numFmtId="0" fontId="0" fillId="3" borderId="0" xfId="0" applyFill="1"/>
    <xf numFmtId="0" fontId="27" fillId="0" borderId="1" xfId="0" applyFont="1" applyBorder="1" applyAlignment="1">
      <alignment horizontal="left" vertical="center" wrapText="1" readingOrder="1"/>
    </xf>
    <xf numFmtId="0" fontId="28" fillId="0" borderId="1" xfId="0" applyFont="1" applyBorder="1" applyAlignment="1">
      <alignment horizontal="center" vertical="center" wrapText="1" readingOrder="1"/>
    </xf>
    <xf numFmtId="0" fontId="29" fillId="0" borderId="1" xfId="0" applyFont="1" applyBorder="1" applyAlignment="1">
      <alignment horizontal="center" vertical="center" wrapText="1" readingOrder="1"/>
    </xf>
    <xf numFmtId="0" fontId="29" fillId="0" borderId="1" xfId="0" applyFont="1" applyBorder="1" applyAlignment="1">
      <alignment horizontal="left" vertical="center" wrapText="1" readingOrder="1"/>
    </xf>
    <xf numFmtId="0" fontId="18" fillId="0" borderId="1" xfId="0" applyFont="1" applyBorder="1" applyAlignment="1">
      <alignment horizontal="center" vertical="center" wrapText="1" readingOrder="1"/>
    </xf>
    <xf numFmtId="0" fontId="11" fillId="0" borderId="0" xfId="0" applyFont="1" applyAlignment="1">
      <alignment vertical="center"/>
    </xf>
    <xf numFmtId="0" fontId="8" fillId="3" borderId="1" xfId="0" applyFont="1" applyFill="1" applyBorder="1" applyAlignment="1">
      <alignment horizontal="center" vertical="center" wrapText="1" readingOrder="1"/>
    </xf>
    <xf numFmtId="0" fontId="5" fillId="3" borderId="1" xfId="0" applyFont="1" applyFill="1" applyBorder="1" applyAlignment="1">
      <alignment horizontal="center" vertical="center" wrapText="1" readingOrder="1"/>
    </xf>
    <xf numFmtId="0" fontId="36" fillId="0" borderId="0" xfId="0" applyFont="1" applyAlignment="1">
      <alignment vertical="center"/>
    </xf>
    <xf numFmtId="0" fontId="37" fillId="2" borderId="1" xfId="0" applyFont="1" applyFill="1" applyBorder="1" applyAlignment="1">
      <alignment horizontal="center" vertical="center" wrapText="1" readingOrder="1"/>
    </xf>
    <xf numFmtId="0" fontId="38" fillId="0" borderId="1" xfId="0" applyFont="1" applyBorder="1" applyAlignment="1">
      <alignment horizontal="left" vertical="center" wrapText="1" readingOrder="1"/>
    </xf>
    <xf numFmtId="0" fontId="21" fillId="0" borderId="0" xfId="3" applyFont="1" applyAlignment="1">
      <alignment horizontal="center" vertical="center"/>
    </xf>
    <xf numFmtId="0" fontId="21" fillId="0" borderId="0" xfId="3" applyFont="1" applyAlignment="1">
      <alignment horizontal="center" vertical="center" wrapText="1"/>
    </xf>
    <xf numFmtId="0" fontId="35" fillId="0" borderId="0" xfId="3" applyFont="1" applyAlignment="1">
      <alignment horizontal="center" vertical="center" wrapText="1"/>
    </xf>
    <xf numFmtId="0" fontId="8" fillId="14" borderId="1" xfId="0" applyFont="1" applyFill="1" applyBorder="1" applyAlignment="1">
      <alignment horizontal="left" vertical="center" wrapText="1" readingOrder="1"/>
    </xf>
    <xf numFmtId="0" fontId="0" fillId="0" borderId="7" xfId="0" applyBorder="1" applyAlignment="1">
      <alignment horizontal="center" vertical="center"/>
    </xf>
    <xf numFmtId="0" fontId="27" fillId="2" borderId="1" xfId="0" applyFont="1" applyFill="1" applyBorder="1" applyAlignment="1">
      <alignment vertical="center" wrapText="1" readingOrder="1"/>
    </xf>
    <xf numFmtId="0" fontId="27" fillId="2" borderId="1" xfId="0" applyFont="1" applyFill="1" applyBorder="1" applyAlignment="1">
      <alignment horizontal="center" vertical="center" wrapText="1" readingOrder="1"/>
    </xf>
    <xf numFmtId="0" fontId="27" fillId="0" borderId="1" xfId="0" applyFont="1" applyBorder="1" applyAlignment="1">
      <alignment vertical="top" wrapText="1" readingOrder="1"/>
    </xf>
    <xf numFmtId="0" fontId="11" fillId="0" borderId="0" xfId="0" applyFont="1" applyAlignment="1">
      <alignment horizontal="center" vertical="center"/>
    </xf>
    <xf numFmtId="0" fontId="0" fillId="0" borderId="7" xfId="0" applyBorder="1" applyAlignment="1">
      <alignment horizontal="center" vertical="center" wrapText="1"/>
    </xf>
    <xf numFmtId="10" fontId="0" fillId="0" borderId="7" xfId="0" applyNumberFormat="1" applyBorder="1" applyAlignment="1">
      <alignment horizontal="center" vertical="center"/>
    </xf>
    <xf numFmtId="0" fontId="0" fillId="0" borderId="7" xfId="0" quotePrefix="1" applyBorder="1" applyAlignment="1">
      <alignment horizontal="center" vertical="center"/>
    </xf>
    <xf numFmtId="9" fontId="0" fillId="5" borderId="7" xfId="0" applyNumberFormat="1" applyFill="1" applyBorder="1" applyAlignment="1">
      <alignment horizontal="center" vertical="center" wrapText="1"/>
    </xf>
    <xf numFmtId="0" fontId="0" fillId="5" borderId="7" xfId="0" applyFill="1" applyBorder="1" applyAlignment="1">
      <alignment horizontal="center" vertical="center" wrapText="1"/>
    </xf>
    <xf numFmtId="2" fontId="0" fillId="5" borderId="1" xfId="0" applyNumberFormat="1" applyFill="1" applyBorder="1" applyAlignment="1">
      <alignment horizontal="center" vertical="center" wrapText="1"/>
    </xf>
    <xf numFmtId="0" fontId="4" fillId="3" borderId="1" xfId="0" applyFont="1" applyFill="1" applyBorder="1" applyAlignment="1">
      <alignment horizontal="center" vertical="center" wrapText="1" readingOrder="1"/>
    </xf>
    <xf numFmtId="0" fontId="0" fillId="3" borderId="1" xfId="0" applyFill="1" applyBorder="1" applyAlignment="1">
      <alignment horizontal="center" vertical="center"/>
    </xf>
    <xf numFmtId="0" fontId="12" fillId="3" borderId="1" xfId="0" applyFont="1" applyFill="1" applyBorder="1" applyAlignment="1">
      <alignment horizontal="left" vertical="center" wrapText="1" readingOrder="1"/>
    </xf>
    <xf numFmtId="0" fontId="31" fillId="14" borderId="1" xfId="0" applyFont="1" applyFill="1" applyBorder="1" applyAlignment="1">
      <alignment horizontal="left" vertical="center" wrapText="1" readingOrder="1"/>
    </xf>
    <xf numFmtId="0" fontId="29" fillId="14" borderId="1" xfId="0" applyFont="1" applyFill="1" applyBorder="1" applyAlignment="1">
      <alignment horizontal="left" vertical="center" wrapText="1" readingOrder="1"/>
    </xf>
    <xf numFmtId="0" fontId="13" fillId="3" borderId="1" xfId="0" applyFont="1" applyFill="1" applyBorder="1" applyAlignment="1">
      <alignment vertical="center" wrapText="1" readingOrder="1"/>
    </xf>
    <xf numFmtId="0" fontId="3" fillId="3" borderId="1" xfId="0" applyFont="1" applyFill="1" applyBorder="1" applyAlignment="1">
      <alignment vertical="center" wrapText="1" readingOrder="1"/>
    </xf>
    <xf numFmtId="9" fontId="0" fillId="3" borderId="1" xfId="0" applyNumberFormat="1" applyFill="1" applyBorder="1" applyAlignment="1">
      <alignment horizontal="center" vertical="center" wrapText="1"/>
    </xf>
    <xf numFmtId="0" fontId="53" fillId="0" borderId="0" xfId="0" applyFont="1" applyAlignment="1">
      <alignment vertical="top"/>
    </xf>
    <xf numFmtId="0" fontId="54" fillId="0" borderId="0" xfId="0" applyFont="1" applyAlignment="1">
      <alignment vertical="top"/>
    </xf>
    <xf numFmtId="0" fontId="54" fillId="0" borderId="0" xfId="0" applyFont="1" applyAlignment="1">
      <alignment horizontal="center" vertical="top"/>
    </xf>
    <xf numFmtId="0" fontId="53" fillId="0" borderId="0" xfId="0" applyFont="1" applyAlignment="1">
      <alignment horizontal="center" vertical="top"/>
    </xf>
    <xf numFmtId="0" fontId="56" fillId="0" borderId="0" xfId="0" applyFont="1" applyAlignment="1">
      <alignment vertical="center"/>
    </xf>
    <xf numFmtId="0" fontId="58" fillId="0" borderId="0" xfId="0" applyFont="1" applyAlignment="1">
      <alignment vertical="top"/>
    </xf>
    <xf numFmtId="0" fontId="58" fillId="0" borderId="0" xfId="0" applyFont="1" applyAlignment="1">
      <alignment horizontal="center" vertical="top"/>
    </xf>
    <xf numFmtId="0" fontId="59" fillId="2" borderId="1" xfId="0" applyFont="1" applyFill="1" applyBorder="1" applyAlignment="1">
      <alignment horizontal="center" vertical="center" wrapText="1" readingOrder="1"/>
    </xf>
    <xf numFmtId="0" fontId="59" fillId="2" borderId="7" xfId="0" applyFont="1" applyFill="1" applyBorder="1" applyAlignment="1">
      <alignment horizontal="center" vertical="center" wrapText="1" readingOrder="1"/>
    </xf>
    <xf numFmtId="0" fontId="58" fillId="3" borderId="94" xfId="0" applyFont="1" applyFill="1" applyBorder="1" applyAlignment="1">
      <alignment horizontal="center" vertical="top"/>
    </xf>
    <xf numFmtId="0" fontId="58" fillId="0" borderId="92" xfId="0" applyFont="1" applyBorder="1" applyAlignment="1">
      <alignment vertical="top"/>
    </xf>
    <xf numFmtId="0" fontId="58" fillId="3" borderId="33" xfId="0" applyFont="1" applyFill="1" applyBorder="1" applyAlignment="1">
      <alignment horizontal="center" vertical="top"/>
    </xf>
    <xf numFmtId="0" fontId="58" fillId="0" borderId="115" xfId="0" applyFont="1" applyBorder="1" applyAlignment="1">
      <alignment vertical="top"/>
    </xf>
    <xf numFmtId="0" fontId="58" fillId="0" borderId="85" xfId="0" applyFont="1" applyBorder="1" applyAlignment="1">
      <alignment horizontal="center" vertical="top" wrapText="1" readingOrder="1"/>
    </xf>
    <xf numFmtId="0" fontId="58" fillId="3" borderId="85" xfId="0" applyFont="1" applyFill="1" applyBorder="1" applyAlignment="1">
      <alignment horizontal="center" vertical="top"/>
    </xf>
    <xf numFmtId="0" fontId="59" fillId="2" borderId="63" xfId="0" applyFont="1" applyFill="1" applyBorder="1" applyAlignment="1">
      <alignment vertical="center" wrapText="1" readingOrder="1"/>
    </xf>
    <xf numFmtId="0" fontId="59" fillId="2" borderId="69" xfId="0" applyFont="1" applyFill="1" applyBorder="1" applyAlignment="1">
      <alignment vertical="center" wrapText="1" readingOrder="1"/>
    </xf>
    <xf numFmtId="0" fontId="58" fillId="0" borderId="132" xfId="0" applyFont="1" applyBorder="1" applyAlignment="1">
      <alignment horizontal="center" vertical="top" wrapText="1" readingOrder="1"/>
    </xf>
    <xf numFmtId="0" fontId="58" fillId="0" borderId="133" xfId="0" applyFont="1" applyBorder="1" applyAlignment="1">
      <alignment horizontal="left" vertical="top" wrapText="1" readingOrder="1"/>
    </xf>
    <xf numFmtId="0" fontId="58" fillId="0" borderId="135" xfId="0" applyFont="1" applyBorder="1" applyAlignment="1">
      <alignment horizontal="center" vertical="top" wrapText="1" readingOrder="1"/>
    </xf>
    <xf numFmtId="0" fontId="58" fillId="0" borderId="136" xfId="0" applyFont="1" applyBorder="1" applyAlignment="1">
      <alignment horizontal="left" vertical="top" wrapText="1" readingOrder="1"/>
    </xf>
    <xf numFmtId="0" fontId="58" fillId="0" borderId="138" xfId="0" applyFont="1" applyBorder="1" applyAlignment="1">
      <alignment horizontal="center" vertical="top" wrapText="1" readingOrder="1"/>
    </xf>
    <xf numFmtId="0" fontId="58" fillId="0" borderId="139" xfId="0" applyFont="1" applyBorder="1" applyAlignment="1">
      <alignment horizontal="left" vertical="top" wrapText="1" readingOrder="1"/>
    </xf>
    <xf numFmtId="0" fontId="59" fillId="2" borderId="63" xfId="0" applyFont="1" applyFill="1" applyBorder="1" applyAlignment="1">
      <alignment horizontal="center" vertical="center" wrapText="1" readingOrder="1"/>
    </xf>
    <xf numFmtId="0" fontId="59" fillId="2" borderId="64" xfId="0" applyFont="1" applyFill="1" applyBorder="1" applyAlignment="1">
      <alignment horizontal="center" vertical="center" wrapText="1" readingOrder="1"/>
    </xf>
    <xf numFmtId="0" fontId="58" fillId="0" borderId="131" xfId="0" applyFont="1" applyBorder="1" applyAlignment="1">
      <alignment horizontal="center" vertical="top" wrapText="1" readingOrder="1"/>
    </xf>
    <xf numFmtId="0" fontId="58" fillId="3" borderId="133" xfId="0" applyFont="1" applyFill="1" applyBorder="1" applyAlignment="1">
      <alignment horizontal="center" vertical="top" wrapText="1" readingOrder="1"/>
    </xf>
    <xf numFmtId="0" fontId="58" fillId="3" borderId="136" xfId="0" applyFont="1" applyFill="1" applyBorder="1" applyAlignment="1">
      <alignment horizontal="center" vertical="top" wrapText="1" readingOrder="1"/>
    </xf>
    <xf numFmtId="0" fontId="58" fillId="3" borderId="139" xfId="0" applyFont="1" applyFill="1" applyBorder="1" applyAlignment="1">
      <alignment horizontal="center" vertical="top" wrapText="1" readingOrder="1"/>
    </xf>
    <xf numFmtId="0" fontId="58" fillId="0" borderId="142" xfId="0" applyFont="1" applyBorder="1" applyAlignment="1">
      <alignment horizontal="center" vertical="top" wrapText="1" readingOrder="1"/>
    </xf>
    <xf numFmtId="0" fontId="58" fillId="0" borderId="143" xfId="0" applyFont="1" applyBorder="1" applyAlignment="1">
      <alignment horizontal="left" vertical="top" wrapText="1" readingOrder="1"/>
    </xf>
    <xf numFmtId="0" fontId="58" fillId="3" borderId="143" xfId="0" applyFont="1" applyFill="1" applyBorder="1" applyAlignment="1">
      <alignment horizontal="center" vertical="top" wrapText="1" readingOrder="1"/>
    </xf>
    <xf numFmtId="0" fontId="58" fillId="3" borderId="140" xfId="0" applyFont="1" applyFill="1" applyBorder="1" applyAlignment="1">
      <alignment horizontal="center" vertical="top"/>
    </xf>
    <xf numFmtId="0" fontId="58" fillId="0" borderId="150" xfId="0" applyFont="1" applyBorder="1" applyAlignment="1">
      <alignment horizontal="center" vertical="top" wrapText="1" readingOrder="1"/>
    </xf>
    <xf numFmtId="0" fontId="58" fillId="0" borderId="151" xfId="0" applyFont="1" applyBorder="1" applyAlignment="1">
      <alignment horizontal="left" vertical="top" wrapText="1" readingOrder="1"/>
    </xf>
    <xf numFmtId="0" fontId="58" fillId="3" borderId="151" xfId="0" applyFont="1" applyFill="1" applyBorder="1" applyAlignment="1">
      <alignment horizontal="center" vertical="top" wrapText="1" readingOrder="1"/>
    </xf>
    <xf numFmtId="0" fontId="58" fillId="3" borderId="104" xfId="0" applyFont="1" applyFill="1" applyBorder="1" applyAlignment="1">
      <alignment horizontal="center" vertical="top"/>
    </xf>
    <xf numFmtId="0" fontId="58" fillId="0" borderId="155" xfId="0" applyFont="1" applyBorder="1" applyAlignment="1">
      <alignment horizontal="center" vertical="top" wrapText="1" readingOrder="1"/>
    </xf>
    <xf numFmtId="0" fontId="58" fillId="0" borderId="156" xfId="0" applyFont="1" applyBorder="1" applyAlignment="1">
      <alignment horizontal="left" vertical="top" wrapText="1" readingOrder="1"/>
    </xf>
    <xf numFmtId="0" fontId="58" fillId="3" borderId="156" xfId="0" applyFont="1" applyFill="1" applyBorder="1" applyAlignment="1">
      <alignment horizontal="center" vertical="top" wrapText="1" readingOrder="1"/>
    </xf>
    <xf numFmtId="0" fontId="58" fillId="3" borderId="157" xfId="0" applyFont="1" applyFill="1" applyBorder="1" applyAlignment="1">
      <alignment horizontal="center" vertical="top"/>
    </xf>
    <xf numFmtId="0" fontId="58" fillId="0" borderId="159" xfId="0" applyFont="1" applyBorder="1" applyAlignment="1">
      <alignment vertical="top"/>
    </xf>
    <xf numFmtId="0" fontId="58" fillId="0" borderId="145" xfId="0" applyFont="1" applyBorder="1" applyAlignment="1">
      <alignment vertical="top"/>
    </xf>
    <xf numFmtId="0" fontId="58" fillId="0" borderId="164" xfId="0" applyFont="1" applyBorder="1" applyAlignment="1">
      <alignment horizontal="center" vertical="top" wrapText="1" readingOrder="1"/>
    </xf>
    <xf numFmtId="0" fontId="58" fillId="0" borderId="165" xfId="0" applyFont="1" applyBorder="1" applyAlignment="1">
      <alignment horizontal="left" vertical="top" wrapText="1" readingOrder="1"/>
    </xf>
    <xf numFmtId="0" fontId="58" fillId="0" borderId="166" xfId="0" applyFont="1" applyBorder="1" applyAlignment="1">
      <alignment horizontal="center" vertical="top" wrapText="1" readingOrder="1"/>
    </xf>
    <xf numFmtId="0" fontId="58" fillId="0" borderId="163" xfId="0" applyFont="1" applyBorder="1" applyAlignment="1">
      <alignment horizontal="center" vertical="top" wrapText="1" readingOrder="1"/>
    </xf>
    <xf numFmtId="0" fontId="58" fillId="3" borderId="165" xfId="0" applyFont="1" applyFill="1" applyBorder="1" applyAlignment="1">
      <alignment horizontal="center" vertical="top" wrapText="1" readingOrder="1"/>
    </xf>
    <xf numFmtId="0" fontId="58" fillId="3" borderId="166" xfId="0" applyFont="1" applyFill="1" applyBorder="1" applyAlignment="1">
      <alignment horizontal="center" vertical="top"/>
    </xf>
    <xf numFmtId="0" fontId="58" fillId="0" borderId="173" xfId="0" applyFont="1" applyBorder="1" applyAlignment="1">
      <alignment horizontal="center" vertical="top" wrapText="1" readingOrder="1"/>
    </xf>
    <xf numFmtId="0" fontId="58" fillId="0" borderId="174" xfId="0" applyFont="1" applyBorder="1" applyAlignment="1">
      <alignment horizontal="left" vertical="top" wrapText="1" readingOrder="1"/>
    </xf>
    <xf numFmtId="0" fontId="58" fillId="3" borderId="174" xfId="0" applyFont="1" applyFill="1" applyBorder="1" applyAlignment="1">
      <alignment horizontal="center" vertical="top" wrapText="1" readingOrder="1"/>
    </xf>
    <xf numFmtId="0" fontId="58" fillId="3" borderId="175" xfId="0" applyFont="1" applyFill="1" applyBorder="1" applyAlignment="1">
      <alignment horizontal="center" vertical="top"/>
    </xf>
    <xf numFmtId="0" fontId="59" fillId="2" borderId="63" xfId="0" applyFont="1" applyFill="1" applyBorder="1" applyAlignment="1">
      <alignment vertical="top" wrapText="1" readingOrder="1"/>
    </xf>
    <xf numFmtId="0" fontId="59" fillId="2" borderId="69" xfId="0" applyFont="1" applyFill="1" applyBorder="1" applyAlignment="1">
      <alignment vertical="top" wrapText="1" readingOrder="1"/>
    </xf>
    <xf numFmtId="0" fontId="59" fillId="2" borderId="69" xfId="0" applyFont="1" applyFill="1" applyBorder="1" applyAlignment="1">
      <alignment horizontal="center" vertical="top" wrapText="1" readingOrder="1"/>
    </xf>
    <xf numFmtId="0" fontId="59" fillId="2" borderId="64" xfId="0" applyFont="1" applyFill="1" applyBorder="1" applyAlignment="1">
      <alignment vertical="top" wrapText="1" readingOrder="1"/>
    </xf>
    <xf numFmtId="0" fontId="59" fillId="2" borderId="1" xfId="0" applyFont="1" applyFill="1" applyBorder="1" applyAlignment="1">
      <alignment horizontal="center" vertical="top" wrapText="1" readingOrder="1"/>
    </xf>
    <xf numFmtId="0" fontId="59" fillId="2" borderId="63" xfId="0" applyFont="1" applyFill="1" applyBorder="1" applyAlignment="1">
      <alignment horizontal="center" vertical="top" wrapText="1" readingOrder="1"/>
    </xf>
    <xf numFmtId="0" fontId="59" fillId="2" borderId="64" xfId="0" applyFont="1" applyFill="1" applyBorder="1" applyAlignment="1">
      <alignment horizontal="center" vertical="top" wrapText="1" readingOrder="1"/>
    </xf>
    <xf numFmtId="0" fontId="59" fillId="2" borderId="7" xfId="0" applyFont="1" applyFill="1" applyBorder="1" applyAlignment="1">
      <alignment horizontal="center" vertical="top" wrapText="1" readingOrder="1"/>
    </xf>
    <xf numFmtId="0" fontId="59" fillId="0" borderId="0" xfId="0" applyFont="1" applyAlignment="1">
      <alignment vertical="top"/>
    </xf>
    <xf numFmtId="0" fontId="59" fillId="2" borderId="79" xfId="0" applyFont="1" applyFill="1" applyBorder="1" applyAlignment="1">
      <alignment horizontal="center" vertical="center" wrapText="1" readingOrder="1"/>
    </xf>
    <xf numFmtId="0" fontId="59" fillId="2" borderId="34" xfId="0" applyFont="1" applyFill="1" applyBorder="1" applyAlignment="1">
      <alignment horizontal="left" vertical="center" wrapText="1" readingOrder="1"/>
    </xf>
    <xf numFmtId="0" fontId="59" fillId="2" borderId="34" xfId="0" applyFont="1" applyFill="1" applyBorder="1" applyAlignment="1">
      <alignment horizontal="center" vertical="center" wrapText="1" readingOrder="1"/>
    </xf>
    <xf numFmtId="0" fontId="59" fillId="2" borderId="35" xfId="0" applyFont="1" applyFill="1" applyBorder="1" applyAlignment="1">
      <alignment horizontal="center" vertical="center" wrapText="1" readingOrder="1"/>
    </xf>
    <xf numFmtId="0" fontId="58" fillId="0" borderId="0" xfId="0" applyFont="1" applyAlignment="1">
      <alignment horizontal="center" vertical="center"/>
    </xf>
    <xf numFmtId="0" fontId="60" fillId="0" borderId="25" xfId="0" applyFont="1" applyBorder="1" applyAlignment="1">
      <alignment vertical="top"/>
    </xf>
    <xf numFmtId="0" fontId="60" fillId="0" borderId="0" xfId="0" applyFont="1" applyAlignment="1">
      <alignment vertical="top"/>
    </xf>
    <xf numFmtId="0" fontId="60" fillId="0" borderId="0" xfId="0" applyFont="1" applyAlignment="1">
      <alignment horizontal="center" vertical="top"/>
    </xf>
    <xf numFmtId="0" fontId="53" fillId="0" borderId="0" xfId="0" applyFont="1" applyAlignment="1">
      <alignment vertical="center"/>
    </xf>
    <xf numFmtId="0" fontId="58" fillId="0" borderId="0" xfId="0" applyFont="1"/>
    <xf numFmtId="0" fontId="58" fillId="0" borderId="0" xfId="0" applyFont="1" applyAlignment="1">
      <alignment vertical="center"/>
    </xf>
    <xf numFmtId="0" fontId="58" fillId="0" borderId="0" xfId="0" applyFont="1" applyAlignment="1">
      <alignment horizontal="center"/>
    </xf>
    <xf numFmtId="0" fontId="59" fillId="2" borderId="79" xfId="0" applyFont="1" applyFill="1" applyBorder="1" applyAlignment="1">
      <alignment vertical="center" wrapText="1" readingOrder="1"/>
    </xf>
    <xf numFmtId="0" fontId="59" fillId="2" borderId="34" xfId="0" applyFont="1" applyFill="1" applyBorder="1" applyAlignment="1">
      <alignment vertical="center" wrapText="1" readingOrder="1"/>
    </xf>
    <xf numFmtId="0" fontId="59" fillId="2" borderId="182" xfId="0" applyFont="1" applyFill="1" applyBorder="1" applyAlignment="1">
      <alignment horizontal="center" vertical="center" wrapText="1" readingOrder="1"/>
    </xf>
    <xf numFmtId="0" fontId="58" fillId="0" borderId="92" xfId="0" applyFont="1" applyBorder="1" applyAlignment="1">
      <alignment horizontal="center" vertical="top" wrapText="1" readingOrder="1"/>
    </xf>
    <xf numFmtId="0" fontId="58" fillId="0" borderId="92" xfId="0" applyFont="1" applyBorder="1" applyAlignment="1">
      <alignment horizontal="left" vertical="top" wrapText="1" readingOrder="1"/>
    </xf>
    <xf numFmtId="0" fontId="58" fillId="0" borderId="93" xfId="0" applyFont="1" applyBorder="1" applyAlignment="1">
      <alignment horizontal="center" vertical="top" wrapText="1" readingOrder="1"/>
    </xf>
    <xf numFmtId="0" fontId="58" fillId="0" borderId="91" xfId="0" applyFont="1" applyBorder="1" applyAlignment="1">
      <alignment horizontal="center" vertical="top" wrapText="1" readingOrder="1"/>
    </xf>
    <xf numFmtId="0" fontId="58" fillId="0" borderId="110" xfId="0" applyFont="1" applyBorder="1" applyAlignment="1">
      <alignment vertical="top"/>
    </xf>
    <xf numFmtId="0" fontId="58" fillId="0" borderId="110" xfId="0" applyFont="1" applyBorder="1" applyAlignment="1">
      <alignment horizontal="center" vertical="top" wrapText="1" readingOrder="1"/>
    </xf>
    <xf numFmtId="0" fontId="58" fillId="0" borderId="110" xfId="0" applyFont="1" applyBorder="1" applyAlignment="1">
      <alignment horizontal="left" vertical="top" wrapText="1" readingOrder="1"/>
    </xf>
    <xf numFmtId="0" fontId="58" fillId="0" borderId="111" xfId="0" applyFont="1" applyBorder="1" applyAlignment="1">
      <alignment horizontal="center" vertical="top" wrapText="1" readingOrder="1"/>
    </xf>
    <xf numFmtId="0" fontId="58" fillId="0" borderId="109" xfId="0" applyFont="1" applyBorder="1" applyAlignment="1">
      <alignment horizontal="center" vertical="top" wrapText="1" readingOrder="1"/>
    </xf>
    <xf numFmtId="0" fontId="64" fillId="0" borderId="92" xfId="0" applyFont="1" applyBorder="1" applyAlignment="1">
      <alignment horizontal="left" vertical="top" wrapText="1" readingOrder="1"/>
    </xf>
    <xf numFmtId="0" fontId="58" fillId="0" borderId="177" xfId="0" applyFont="1" applyBorder="1" applyAlignment="1">
      <alignment horizontal="center" vertical="top" wrapText="1" readingOrder="1"/>
    </xf>
    <xf numFmtId="0" fontId="64" fillId="0" borderId="177" xfId="0" applyFont="1" applyBorder="1" applyAlignment="1">
      <alignment horizontal="left" vertical="top" wrapText="1" readingOrder="1"/>
    </xf>
    <xf numFmtId="0" fontId="58" fillId="0" borderId="180" xfId="0" applyFont="1" applyBorder="1" applyAlignment="1">
      <alignment horizontal="center" vertical="top" wrapText="1" readingOrder="1"/>
    </xf>
    <xf numFmtId="0" fontId="58" fillId="0" borderId="176" xfId="0" applyFont="1" applyBorder="1" applyAlignment="1">
      <alignment horizontal="center" vertical="top" wrapText="1" readingOrder="1"/>
    </xf>
    <xf numFmtId="0" fontId="58" fillId="0" borderId="83" xfId="0" applyFont="1" applyBorder="1" applyAlignment="1">
      <alignment horizontal="center" vertical="top" wrapText="1" readingOrder="1"/>
    </xf>
    <xf numFmtId="0" fontId="58" fillId="0" borderId="83" xfId="0" applyFont="1" applyBorder="1" applyAlignment="1">
      <alignment horizontal="left" vertical="top" wrapText="1" readingOrder="1"/>
    </xf>
    <xf numFmtId="0" fontId="58" fillId="0" borderId="84" xfId="0" applyFont="1" applyBorder="1" applyAlignment="1">
      <alignment horizontal="center" vertical="top" wrapText="1" readingOrder="1"/>
    </xf>
    <xf numFmtId="0" fontId="58" fillId="0" borderId="82" xfId="0" applyFont="1" applyBorder="1" applyAlignment="1">
      <alignment horizontal="center" vertical="top" wrapText="1" readingOrder="1"/>
    </xf>
    <xf numFmtId="0" fontId="58" fillId="0" borderId="145" xfId="0" applyFont="1" applyBorder="1" applyAlignment="1">
      <alignment horizontal="center" vertical="top" wrapText="1" readingOrder="1"/>
    </xf>
    <xf numFmtId="0" fontId="58" fillId="0" borderId="145" xfId="0" applyFont="1" applyBorder="1" applyAlignment="1">
      <alignment horizontal="left" vertical="top" wrapText="1" readingOrder="1"/>
    </xf>
    <xf numFmtId="0" fontId="58" fillId="0" borderId="148" xfId="0" applyFont="1" applyBorder="1" applyAlignment="1">
      <alignment horizontal="center" vertical="top" wrapText="1" readingOrder="1"/>
    </xf>
    <xf numFmtId="0" fontId="58" fillId="0" borderId="144" xfId="0" applyFont="1" applyBorder="1" applyAlignment="1">
      <alignment horizontal="center" vertical="top" wrapText="1" readingOrder="1"/>
    </xf>
    <xf numFmtId="0" fontId="58" fillId="0" borderId="115" xfId="0" applyFont="1" applyBorder="1" applyAlignment="1">
      <alignment horizontal="center" vertical="top" wrapText="1" readingOrder="1"/>
    </xf>
    <xf numFmtId="0" fontId="58" fillId="0" borderId="115" xfId="0" applyFont="1" applyBorder="1" applyAlignment="1">
      <alignment horizontal="left" vertical="top" wrapText="1" readingOrder="1"/>
    </xf>
    <xf numFmtId="0" fontId="58" fillId="0" borderId="116" xfId="0" applyFont="1" applyBorder="1" applyAlignment="1">
      <alignment horizontal="center" vertical="top" wrapText="1" readingOrder="1"/>
    </xf>
    <xf numFmtId="0" fontId="58" fillId="0" borderId="100" xfId="0" applyFont="1" applyBorder="1" applyAlignment="1">
      <alignment horizontal="center" vertical="top" wrapText="1" readingOrder="1"/>
    </xf>
    <xf numFmtId="0" fontId="58" fillId="0" borderId="123" xfId="0" applyFont="1" applyBorder="1" applyAlignment="1">
      <alignment vertical="top" wrapText="1" readingOrder="1"/>
    </xf>
    <xf numFmtId="0" fontId="65" fillId="0" borderId="51" xfId="0" applyFont="1" applyBorder="1" applyAlignment="1">
      <alignment vertical="top" wrapText="1" readingOrder="1"/>
    </xf>
    <xf numFmtId="0" fontId="65" fillId="0" borderId="210" xfId="0" applyFont="1" applyBorder="1" applyAlignment="1">
      <alignment vertical="top" wrapText="1" readingOrder="1"/>
    </xf>
    <xf numFmtId="0" fontId="58" fillId="0" borderId="121" xfId="0" applyFont="1" applyBorder="1" applyAlignment="1">
      <alignment vertical="top"/>
    </xf>
    <xf numFmtId="0" fontId="65" fillId="0" borderId="52" xfId="0" applyFont="1" applyBorder="1" applyAlignment="1">
      <alignment vertical="top"/>
    </xf>
    <xf numFmtId="0" fontId="65" fillId="0" borderId="211" xfId="0" applyFont="1" applyBorder="1" applyAlignment="1">
      <alignment vertical="top"/>
    </xf>
    <xf numFmtId="0" fontId="58" fillId="0" borderId="52" xfId="0" applyFont="1" applyBorder="1" applyAlignment="1">
      <alignment vertical="top"/>
    </xf>
    <xf numFmtId="0" fontId="65" fillId="0" borderId="212" xfId="0" applyFont="1" applyBorder="1" applyAlignment="1">
      <alignment vertical="top"/>
    </xf>
    <xf numFmtId="0" fontId="65" fillId="0" borderId="122" xfId="0" applyFont="1" applyBorder="1" applyAlignment="1">
      <alignment vertical="top" wrapText="1" readingOrder="1"/>
    </xf>
    <xf numFmtId="0" fontId="65" fillId="0" borderId="120" xfId="0" applyFont="1" applyBorder="1" applyAlignment="1">
      <alignment vertical="top"/>
    </xf>
    <xf numFmtId="0" fontId="58" fillId="0" borderId="101" xfId="0" applyFont="1" applyBorder="1" applyAlignment="1">
      <alignment horizontal="center" vertical="top" wrapText="1" readingOrder="1"/>
    </xf>
    <xf numFmtId="0" fontId="58" fillId="0" borderId="101" xfId="0" applyFont="1" applyBorder="1" applyAlignment="1">
      <alignment horizontal="left" vertical="top" wrapText="1" readingOrder="1"/>
    </xf>
    <xf numFmtId="0" fontId="58" fillId="0" borderId="102" xfId="0" applyFont="1" applyBorder="1" applyAlignment="1">
      <alignment horizontal="center" vertical="top" wrapText="1" readingOrder="1"/>
    </xf>
    <xf numFmtId="0" fontId="58" fillId="0" borderId="103" xfId="0" applyFont="1" applyBorder="1" applyAlignment="1">
      <alignment horizontal="center" vertical="top" wrapText="1" readingOrder="1"/>
    </xf>
    <xf numFmtId="0" fontId="58" fillId="0" borderId="216" xfId="0" applyFont="1" applyBorder="1" applyAlignment="1">
      <alignment vertical="top" wrapText="1" readingOrder="1"/>
    </xf>
    <xf numFmtId="0" fontId="58" fillId="0" borderId="217" xfId="0" applyFont="1" applyBorder="1" applyAlignment="1">
      <alignment vertical="top"/>
    </xf>
    <xf numFmtId="0" fontId="58" fillId="0" borderId="159" xfId="0" applyFont="1" applyBorder="1" applyAlignment="1">
      <alignment horizontal="center" vertical="top" wrapText="1" readingOrder="1"/>
    </xf>
    <xf numFmtId="0" fontId="58" fillId="0" borderId="159" xfId="0" applyFont="1" applyBorder="1" applyAlignment="1">
      <alignment horizontal="left" vertical="top" wrapText="1" readingOrder="1"/>
    </xf>
    <xf numFmtId="0" fontId="58" fillId="0" borderId="162" xfId="0" applyFont="1" applyBorder="1" applyAlignment="1">
      <alignment horizontal="center" vertical="top" wrapText="1" readingOrder="1"/>
    </xf>
    <xf numFmtId="0" fontId="58" fillId="0" borderId="158" xfId="0" applyFont="1" applyBorder="1" applyAlignment="1">
      <alignment horizontal="center" vertical="top" wrapText="1" readingOrder="1"/>
    </xf>
    <xf numFmtId="0" fontId="58" fillId="0" borderId="177" xfId="0" applyFont="1" applyBorder="1" applyAlignment="1">
      <alignment horizontal="left" vertical="top" wrapText="1" readingOrder="1"/>
    </xf>
    <xf numFmtId="0" fontId="58" fillId="0" borderId="51" xfId="0" applyFont="1" applyBorder="1" applyAlignment="1">
      <alignment vertical="top" wrapText="1" readingOrder="1"/>
    </xf>
    <xf numFmtId="0" fontId="67" fillId="0" borderId="0" xfId="0" applyFont="1" applyAlignment="1">
      <alignment vertical="top"/>
    </xf>
    <xf numFmtId="0" fontId="58" fillId="0" borderId="78" xfId="0" applyFont="1" applyBorder="1" applyAlignment="1">
      <alignment vertical="top"/>
    </xf>
    <xf numFmtId="0" fontId="70" fillId="0" borderId="132" xfId="0" applyFont="1" applyBorder="1" applyAlignment="1">
      <alignment horizontal="center" vertical="top" wrapText="1" readingOrder="1"/>
    </xf>
    <xf numFmtId="0" fontId="70" fillId="0" borderId="132" xfId="0" applyFont="1" applyBorder="1" applyAlignment="1">
      <alignment horizontal="left" vertical="top" wrapText="1" readingOrder="1"/>
    </xf>
    <xf numFmtId="0" fontId="70" fillId="0" borderId="133" xfId="0" applyFont="1" applyBorder="1" applyAlignment="1">
      <alignment horizontal="center" vertical="top" wrapText="1" readingOrder="1"/>
    </xf>
    <xf numFmtId="0" fontId="71" fillId="0" borderId="131" xfId="0" applyFont="1" applyBorder="1" applyAlignment="1">
      <alignment horizontal="center" vertical="top" wrapText="1" readingOrder="1"/>
    </xf>
    <xf numFmtId="0" fontId="71" fillId="0" borderId="133" xfId="0" applyFont="1" applyBorder="1" applyAlignment="1">
      <alignment horizontal="center" vertical="top" wrapText="1" readingOrder="1"/>
    </xf>
    <xf numFmtId="0" fontId="70" fillId="0" borderId="138" xfId="0" applyFont="1" applyBorder="1" applyAlignment="1">
      <alignment horizontal="center" vertical="top" wrapText="1" readingOrder="1"/>
    </xf>
    <xf numFmtId="0" fontId="70" fillId="0" borderId="138" xfId="0" applyFont="1" applyBorder="1" applyAlignment="1">
      <alignment horizontal="left" vertical="top" wrapText="1" readingOrder="1"/>
    </xf>
    <xf numFmtId="0" fontId="70" fillId="0" borderId="139" xfId="0" applyFont="1" applyBorder="1" applyAlignment="1">
      <alignment horizontal="center" vertical="top" wrapText="1" readingOrder="1"/>
    </xf>
    <xf numFmtId="0" fontId="71" fillId="0" borderId="137" xfId="0" applyFont="1" applyBorder="1" applyAlignment="1">
      <alignment horizontal="center" vertical="top" wrapText="1" readingOrder="1"/>
    </xf>
    <xf numFmtId="0" fontId="71" fillId="0" borderId="139" xfId="0" applyFont="1" applyBorder="1" applyAlignment="1">
      <alignment horizontal="center" vertical="top" wrapText="1" readingOrder="1"/>
    </xf>
    <xf numFmtId="0" fontId="70" fillId="0" borderId="229" xfId="0" applyFont="1" applyBorder="1" applyAlignment="1">
      <alignment horizontal="center" vertical="top" wrapText="1" readingOrder="1"/>
    </xf>
    <xf numFmtId="0" fontId="70" fillId="0" borderId="229" xfId="0" applyFont="1" applyBorder="1" applyAlignment="1">
      <alignment horizontal="left" vertical="top" wrapText="1" readingOrder="1"/>
    </xf>
    <xf numFmtId="0" fontId="70" fillId="0" borderId="230" xfId="0" applyFont="1" applyBorder="1" applyAlignment="1">
      <alignment horizontal="center" vertical="top" wrapText="1" readingOrder="1"/>
    </xf>
    <xf numFmtId="0" fontId="71" fillId="0" borderId="231" xfId="0" applyFont="1" applyBorder="1" applyAlignment="1">
      <alignment horizontal="center" vertical="top" wrapText="1" readingOrder="1"/>
    </xf>
    <xf numFmtId="0" fontId="71" fillId="0" borderId="230" xfId="0" applyFont="1" applyBorder="1" applyAlignment="1">
      <alignment horizontal="center" vertical="top" wrapText="1" readingOrder="1"/>
    </xf>
    <xf numFmtId="0" fontId="70" fillId="0" borderId="135" xfId="0" applyFont="1" applyBorder="1" applyAlignment="1">
      <alignment horizontal="center" vertical="top" wrapText="1" readingOrder="1"/>
    </xf>
    <xf numFmtId="0" fontId="70" fillId="0" borderId="135" xfId="0" applyFont="1" applyBorder="1" applyAlignment="1">
      <alignment horizontal="left" vertical="top" wrapText="1" readingOrder="1"/>
    </xf>
    <xf numFmtId="0" fontId="70" fillId="0" borderId="136" xfId="0" applyFont="1" applyBorder="1" applyAlignment="1">
      <alignment horizontal="center" vertical="top" wrapText="1" readingOrder="1"/>
    </xf>
    <xf numFmtId="0" fontId="71" fillId="0" borderId="134" xfId="0" applyFont="1" applyBorder="1" applyAlignment="1">
      <alignment horizontal="center" vertical="top" wrapText="1" readingOrder="1"/>
    </xf>
    <xf numFmtId="0" fontId="71" fillId="0" borderId="136" xfId="0" applyFont="1" applyBorder="1" applyAlignment="1">
      <alignment horizontal="center" vertical="top" wrapText="1" readingOrder="1"/>
    </xf>
    <xf numFmtId="0" fontId="69" fillId="2" borderId="63" xfId="0" applyFont="1" applyFill="1" applyBorder="1" applyAlignment="1">
      <alignment horizontal="center" vertical="top" wrapText="1" readingOrder="1"/>
    </xf>
    <xf numFmtId="0" fontId="69" fillId="2" borderId="64" xfId="0" applyFont="1" applyFill="1" applyBorder="1" applyAlignment="1">
      <alignment horizontal="center" vertical="top" wrapText="1" readingOrder="1"/>
    </xf>
    <xf numFmtId="0" fontId="69" fillId="2" borderId="1" xfId="0" applyFont="1" applyFill="1" applyBorder="1" applyAlignment="1">
      <alignment horizontal="center" vertical="top" wrapText="1" readingOrder="1"/>
    </xf>
    <xf numFmtId="0" fontId="66" fillId="0" borderId="135" xfId="0" applyFont="1" applyBorder="1" applyAlignment="1">
      <alignment horizontal="left" vertical="top" wrapText="1" readingOrder="1"/>
    </xf>
    <xf numFmtId="0" fontId="66" fillId="0" borderId="135" xfId="0" applyFont="1" applyBorder="1" applyAlignment="1">
      <alignment horizontal="center" vertical="top" wrapText="1" readingOrder="1"/>
    </xf>
    <xf numFmtId="1" fontId="58" fillId="0" borderId="128" xfId="0" applyNumberFormat="1" applyFont="1" applyBorder="1" applyAlignment="1">
      <alignment horizontal="center" vertical="top" wrapText="1"/>
    </xf>
    <xf numFmtId="169" fontId="58" fillId="0" borderId="130" xfId="0" applyNumberFormat="1" applyFont="1" applyBorder="1" applyAlignment="1">
      <alignment horizontal="center" vertical="top" wrapText="1"/>
    </xf>
    <xf numFmtId="0" fontId="59" fillId="0" borderId="0" xfId="0" applyFont="1" applyAlignment="1">
      <alignment horizontal="center" vertical="top"/>
    </xf>
    <xf numFmtId="0" fontId="68" fillId="2" borderId="69" xfId="0" applyFont="1" applyFill="1" applyBorder="1" applyAlignment="1">
      <alignment horizontal="center" vertical="top" wrapText="1" readingOrder="1"/>
    </xf>
    <xf numFmtId="167" fontId="58" fillId="0" borderId="15" xfId="0" applyNumberFormat="1" applyFont="1" applyBorder="1" applyAlignment="1">
      <alignment horizontal="center" vertical="top"/>
    </xf>
    <xf numFmtId="167" fontId="72" fillId="0" borderId="26" xfId="0" applyNumberFormat="1" applyFont="1" applyBorder="1" applyAlignment="1">
      <alignment horizontal="center" vertical="top"/>
    </xf>
    <xf numFmtId="167" fontId="72" fillId="0" borderId="223" xfId="0" applyNumberFormat="1" applyFont="1" applyBorder="1" applyAlignment="1">
      <alignment horizontal="center" vertical="top"/>
    </xf>
    <xf numFmtId="167" fontId="58" fillId="0" borderId="232" xfId="0" applyNumberFormat="1" applyFont="1" applyBorder="1" applyAlignment="1">
      <alignment horizontal="center" vertical="top"/>
    </xf>
    <xf numFmtId="167" fontId="72" fillId="0" borderId="14" xfId="0" applyNumberFormat="1" applyFont="1" applyBorder="1" applyAlignment="1">
      <alignment horizontal="center" vertical="top"/>
    </xf>
    <xf numFmtId="0" fontId="64" fillId="0" borderId="145" xfId="0" applyFont="1" applyBorder="1" applyAlignment="1">
      <alignment horizontal="left" vertical="top" wrapText="1" readingOrder="1"/>
    </xf>
    <xf numFmtId="167" fontId="60" fillId="0" borderId="233" xfId="0" applyNumberFormat="1" applyFont="1" applyBorder="1" applyAlignment="1">
      <alignment horizontal="center" vertical="top"/>
    </xf>
    <xf numFmtId="167" fontId="72" fillId="0" borderId="234" xfId="0" applyNumberFormat="1" applyFont="1" applyBorder="1" applyAlignment="1">
      <alignment horizontal="center" vertical="top"/>
    </xf>
    <xf numFmtId="0" fontId="60" fillId="0" borderId="235" xfId="0" applyFont="1" applyBorder="1" applyAlignment="1">
      <alignment vertical="top" wrapText="1" readingOrder="1"/>
    </xf>
    <xf numFmtId="0" fontId="65" fillId="0" borderId="236" xfId="0" applyFont="1" applyBorder="1" applyAlignment="1">
      <alignment vertical="top" wrapText="1" readingOrder="1"/>
    </xf>
    <xf numFmtId="0" fontId="58" fillId="0" borderId="237" xfId="0" applyFont="1" applyBorder="1" applyAlignment="1">
      <alignment vertical="top" wrapText="1" readingOrder="1"/>
    </xf>
    <xf numFmtId="0" fontId="65" fillId="0" borderId="238" xfId="0" applyFont="1" applyBorder="1" applyAlignment="1">
      <alignment vertical="top" wrapText="1" readingOrder="1"/>
    </xf>
    <xf numFmtId="0" fontId="58" fillId="0" borderId="239" xfId="0" applyFont="1" applyBorder="1" applyAlignment="1">
      <alignment vertical="top" wrapText="1" readingOrder="1"/>
    </xf>
    <xf numFmtId="167" fontId="72" fillId="0" borderId="240" xfId="0" applyNumberFormat="1" applyFont="1" applyBorder="1" applyAlignment="1">
      <alignment horizontal="center" vertical="top"/>
    </xf>
    <xf numFmtId="0" fontId="65" fillId="0" borderId="241" xfId="0" applyFont="1" applyBorder="1" applyAlignment="1">
      <alignment vertical="top" wrapText="1" readingOrder="1"/>
    </xf>
    <xf numFmtId="0" fontId="65" fillId="0" borderId="242" xfId="0" applyFont="1" applyBorder="1" applyAlignment="1">
      <alignment vertical="top" wrapText="1" readingOrder="1"/>
    </xf>
    <xf numFmtId="167" fontId="72" fillId="0" borderId="244" xfId="0" applyNumberFormat="1" applyFont="1" applyBorder="1" applyAlignment="1">
      <alignment horizontal="center" vertical="top"/>
    </xf>
    <xf numFmtId="167" fontId="72" fillId="0" borderId="245" xfId="0" applyNumberFormat="1" applyFont="1" applyBorder="1" applyAlignment="1">
      <alignment horizontal="center" vertical="top"/>
    </xf>
    <xf numFmtId="0" fontId="65" fillId="0" borderId="246" xfId="0" applyFont="1" applyBorder="1" applyAlignment="1">
      <alignment vertical="top" wrapText="1" readingOrder="1"/>
    </xf>
    <xf numFmtId="167" fontId="60" fillId="0" borderId="249" xfId="0" applyNumberFormat="1" applyFont="1" applyBorder="1" applyAlignment="1">
      <alignment horizontal="center" vertical="top"/>
    </xf>
    <xf numFmtId="0" fontId="60" fillId="0" borderId="250" xfId="0" applyFont="1" applyBorder="1" applyAlignment="1">
      <alignment vertical="top" wrapText="1" readingOrder="1"/>
    </xf>
    <xf numFmtId="167" fontId="72" fillId="0" borderId="251" xfId="0" applyNumberFormat="1" applyFont="1" applyBorder="1" applyAlignment="1">
      <alignment horizontal="center" vertical="top"/>
    </xf>
    <xf numFmtId="167" fontId="72" fillId="0" borderId="253" xfId="0" applyNumberFormat="1" applyFont="1" applyBorder="1" applyAlignment="1">
      <alignment horizontal="center" vertical="top"/>
    </xf>
    <xf numFmtId="167" fontId="72" fillId="0" borderId="255" xfId="0" applyNumberFormat="1" applyFont="1" applyBorder="1" applyAlignment="1">
      <alignment horizontal="center" vertical="top"/>
    </xf>
    <xf numFmtId="0" fontId="65" fillId="0" borderId="252" xfId="0" applyFont="1" applyBorder="1" applyAlignment="1">
      <alignment vertical="top" wrapText="1" readingOrder="1"/>
    </xf>
    <xf numFmtId="0" fontId="65" fillId="0" borderId="254" xfId="0" applyFont="1" applyBorder="1" applyAlignment="1">
      <alignment vertical="top" wrapText="1" readingOrder="1"/>
    </xf>
    <xf numFmtId="0" fontId="65" fillId="0" borderId="256" xfId="0" applyFont="1" applyBorder="1" applyAlignment="1">
      <alignment vertical="top" wrapText="1" readingOrder="1"/>
    </xf>
    <xf numFmtId="0" fontId="65" fillId="0" borderId="257" xfId="0" applyFont="1" applyBorder="1" applyAlignment="1">
      <alignment vertical="top" wrapText="1" readingOrder="1"/>
    </xf>
    <xf numFmtId="167" fontId="60" fillId="0" borderId="258" xfId="0" applyNumberFormat="1" applyFont="1" applyBorder="1" applyAlignment="1">
      <alignment horizontal="center" vertical="top"/>
    </xf>
    <xf numFmtId="0" fontId="60" fillId="0" borderId="259" xfId="0" applyFont="1" applyBorder="1" applyAlignment="1">
      <alignment vertical="top" wrapText="1" readingOrder="1"/>
    </xf>
    <xf numFmtId="167" fontId="72" fillId="0" borderId="260" xfId="0" applyNumberFormat="1" applyFont="1" applyBorder="1" applyAlignment="1">
      <alignment horizontal="center" vertical="top"/>
    </xf>
    <xf numFmtId="0" fontId="65" fillId="0" borderId="261" xfId="0" applyFont="1" applyBorder="1" applyAlignment="1">
      <alignment vertical="top" wrapText="1" readingOrder="1"/>
    </xf>
    <xf numFmtId="0" fontId="60" fillId="0" borderId="262" xfId="0" applyFont="1" applyBorder="1" applyAlignment="1">
      <alignment vertical="top" wrapText="1" readingOrder="1"/>
    </xf>
    <xf numFmtId="167" fontId="60" fillId="0" borderId="263" xfId="0" applyNumberFormat="1" applyFont="1" applyBorder="1" applyAlignment="1">
      <alignment horizontal="center" vertical="top"/>
    </xf>
    <xf numFmtId="0" fontId="58" fillId="3" borderId="111" xfId="0" applyFont="1" applyFill="1" applyBorder="1" applyAlignment="1">
      <alignment horizontal="center" vertical="top" wrapText="1" readingOrder="1"/>
    </xf>
    <xf numFmtId="0" fontId="58" fillId="3" borderId="93" xfId="0" applyFont="1" applyFill="1" applyBorder="1" applyAlignment="1">
      <alignment horizontal="center" vertical="top" wrapText="1" readingOrder="1"/>
    </xf>
    <xf numFmtId="0" fontId="58" fillId="3" borderId="180" xfId="0" applyFont="1" applyFill="1" applyBorder="1" applyAlignment="1">
      <alignment horizontal="center" vertical="top" wrapText="1" readingOrder="1"/>
    </xf>
    <xf numFmtId="0" fontId="58" fillId="3" borderId="84" xfId="0" applyFont="1" applyFill="1" applyBorder="1" applyAlignment="1">
      <alignment horizontal="center" vertical="top" wrapText="1" readingOrder="1"/>
    </xf>
    <xf numFmtId="0" fontId="58" fillId="3" borderId="148" xfId="0" applyFont="1" applyFill="1" applyBorder="1" applyAlignment="1">
      <alignment horizontal="center" vertical="top" wrapText="1" readingOrder="1"/>
    </xf>
    <xf numFmtId="0" fontId="58" fillId="3" borderId="162" xfId="0" applyFont="1" applyFill="1" applyBorder="1" applyAlignment="1">
      <alignment horizontal="center" vertical="top" wrapText="1" readingOrder="1"/>
    </xf>
    <xf numFmtId="0" fontId="58" fillId="3" borderId="102" xfId="0" applyFont="1" applyFill="1" applyBorder="1" applyAlignment="1">
      <alignment horizontal="center" vertical="top" wrapText="1" readingOrder="1"/>
    </xf>
    <xf numFmtId="0" fontId="58" fillId="3" borderId="116" xfId="0" applyFont="1" applyFill="1" applyBorder="1" applyAlignment="1">
      <alignment horizontal="center" vertical="top" wrapText="1" readingOrder="1"/>
    </xf>
    <xf numFmtId="167" fontId="58" fillId="0" borderId="25" xfId="0" applyNumberFormat="1" applyFont="1" applyBorder="1" applyAlignment="1">
      <alignment horizontal="center" vertical="top"/>
    </xf>
    <xf numFmtId="167" fontId="73" fillId="0" borderId="25" xfId="0" applyNumberFormat="1" applyFont="1" applyBorder="1" applyAlignment="1">
      <alignment horizontal="center" vertical="top"/>
    </xf>
    <xf numFmtId="167" fontId="73" fillId="0" borderId="264" xfId="0" applyNumberFormat="1" applyFont="1" applyBorder="1" applyAlignment="1">
      <alignment horizontal="center" vertical="top"/>
    </xf>
    <xf numFmtId="0" fontId="58" fillId="0" borderId="43" xfId="0" applyFont="1" applyBorder="1" applyAlignment="1">
      <alignment vertical="top" wrapText="1" readingOrder="1"/>
    </xf>
    <xf numFmtId="0" fontId="65" fillId="0" borderId="43" xfId="0" applyFont="1" applyBorder="1" applyAlignment="1">
      <alignment vertical="top" wrapText="1" readingOrder="1"/>
    </xf>
    <xf numFmtId="0" fontId="58" fillId="0" borderId="265" xfId="0" applyFont="1" applyBorder="1" applyAlignment="1">
      <alignment vertical="top" wrapText="1" readingOrder="1"/>
    </xf>
    <xf numFmtId="0" fontId="65" fillId="0" borderId="266" xfId="0" applyFont="1" applyBorder="1" applyAlignment="1">
      <alignment vertical="top" wrapText="1" readingOrder="1"/>
    </xf>
    <xf numFmtId="0" fontId="58" fillId="0" borderId="75" xfId="0" applyFont="1" applyBorder="1" applyAlignment="1">
      <alignment vertical="top" wrapText="1" readingOrder="1"/>
    </xf>
    <xf numFmtId="0" fontId="65" fillId="0" borderId="75" xfId="0" applyFont="1" applyBorder="1" applyAlignment="1">
      <alignment vertical="top" wrapText="1" readingOrder="1"/>
    </xf>
    <xf numFmtId="0" fontId="58" fillId="0" borderId="267" xfId="0" applyFont="1" applyBorder="1" applyAlignment="1">
      <alignment vertical="top" wrapText="1" readingOrder="1"/>
    </xf>
    <xf numFmtId="0" fontId="65" fillId="0" borderId="268" xfId="0" applyFont="1" applyBorder="1" applyAlignment="1">
      <alignment vertical="top" wrapText="1" readingOrder="1"/>
    </xf>
    <xf numFmtId="0" fontId="72" fillId="0" borderId="94" xfId="0" applyFont="1" applyBorder="1" applyAlignment="1">
      <alignment horizontal="center" vertical="top" wrapText="1" readingOrder="1"/>
    </xf>
    <xf numFmtId="0" fontId="72" fillId="0" borderId="134" xfId="0" applyFont="1" applyBorder="1" applyAlignment="1">
      <alignment horizontal="center" vertical="top" wrapText="1" readingOrder="1"/>
    </xf>
    <xf numFmtId="0" fontId="72" fillId="0" borderId="104" xfId="0" applyFont="1" applyBorder="1" applyAlignment="1">
      <alignment horizontal="center" vertical="top" wrapText="1" readingOrder="1"/>
    </xf>
    <xf numFmtId="0" fontId="72" fillId="0" borderId="149" xfId="0" applyFont="1" applyBorder="1" applyAlignment="1">
      <alignment horizontal="center" vertical="top" wrapText="1" readingOrder="1"/>
    </xf>
    <xf numFmtId="0" fontId="72" fillId="0" borderId="140" xfId="0" applyFont="1" applyBorder="1" applyAlignment="1">
      <alignment horizontal="center" vertical="top" wrapText="1" readingOrder="1"/>
    </xf>
    <xf numFmtId="0" fontId="72" fillId="0" borderId="141" xfId="0" applyFont="1" applyBorder="1" applyAlignment="1">
      <alignment horizontal="center" vertical="top" wrapText="1" readingOrder="1"/>
    </xf>
    <xf numFmtId="0" fontId="66" fillId="0" borderId="173" xfId="0" applyFont="1" applyBorder="1" applyAlignment="1">
      <alignment horizontal="center" vertical="top" wrapText="1" readingOrder="1"/>
    </xf>
    <xf numFmtId="0" fontId="66" fillId="0" borderId="173" xfId="0" applyFont="1" applyBorder="1" applyAlignment="1">
      <alignment horizontal="left" vertical="top" wrapText="1" readingOrder="1"/>
    </xf>
    <xf numFmtId="0" fontId="70" fillId="0" borderId="174" xfId="0" applyFont="1" applyBorder="1" applyAlignment="1">
      <alignment horizontal="center" vertical="top" wrapText="1" readingOrder="1"/>
    </xf>
    <xf numFmtId="0" fontId="71" fillId="0" borderId="172" xfId="0" applyFont="1" applyBorder="1" applyAlignment="1">
      <alignment horizontal="center" vertical="top" wrapText="1" readingOrder="1"/>
    </xf>
    <xf numFmtId="0" fontId="71" fillId="0" borderId="174" xfId="0" applyFont="1" applyBorder="1" applyAlignment="1">
      <alignment horizontal="center" vertical="top" wrapText="1" readingOrder="1"/>
    </xf>
    <xf numFmtId="0" fontId="70" fillId="0" borderId="150" xfId="0" applyFont="1" applyBorder="1" applyAlignment="1">
      <alignment horizontal="center" vertical="top" wrapText="1" readingOrder="1"/>
    </xf>
    <xf numFmtId="0" fontId="70" fillId="0" borderId="150" xfId="0" applyFont="1" applyBorder="1" applyAlignment="1">
      <alignment horizontal="left" vertical="top" wrapText="1" readingOrder="1"/>
    </xf>
    <xf numFmtId="0" fontId="70" fillId="0" borderId="151" xfId="0" applyFont="1" applyBorder="1" applyAlignment="1">
      <alignment horizontal="center" vertical="top" wrapText="1" readingOrder="1"/>
    </xf>
    <xf numFmtId="0" fontId="71" fillId="0" borderId="149" xfId="0" applyFont="1" applyBorder="1" applyAlignment="1">
      <alignment horizontal="center" vertical="top" wrapText="1" readingOrder="1"/>
    </xf>
    <xf numFmtId="0" fontId="71" fillId="0" borderId="151" xfId="0" applyFont="1" applyBorder="1" applyAlignment="1">
      <alignment horizontal="center" vertical="top" wrapText="1" readingOrder="1"/>
    </xf>
    <xf numFmtId="169" fontId="58" fillId="0" borderId="153" xfId="0" applyNumberFormat="1" applyFont="1" applyBorder="1" applyAlignment="1">
      <alignment horizontal="center" vertical="top" wrapText="1"/>
    </xf>
    <xf numFmtId="0" fontId="70" fillId="0" borderId="155" xfId="0" applyFont="1" applyBorder="1" applyAlignment="1">
      <alignment horizontal="center" vertical="top" wrapText="1" readingOrder="1"/>
    </xf>
    <xf numFmtId="0" fontId="70" fillId="0" borderId="155" xfId="0" applyFont="1" applyBorder="1" applyAlignment="1">
      <alignment horizontal="left" vertical="top" wrapText="1" readingOrder="1"/>
    </xf>
    <xf numFmtId="0" fontId="70" fillId="0" borderId="156" xfId="0" applyFont="1" applyBorder="1" applyAlignment="1">
      <alignment horizontal="center" vertical="top" wrapText="1" readingOrder="1"/>
    </xf>
    <xf numFmtId="0" fontId="71" fillId="0" borderId="154" xfId="0" applyFont="1" applyBorder="1" applyAlignment="1">
      <alignment horizontal="center" vertical="top" wrapText="1" readingOrder="1"/>
    </xf>
    <xf numFmtId="0" fontId="71" fillId="0" borderId="156" xfId="0" applyFont="1" applyBorder="1" applyAlignment="1">
      <alignment horizontal="center" vertical="top" wrapText="1" readingOrder="1"/>
    </xf>
    <xf numFmtId="0" fontId="70" fillId="0" borderId="142" xfId="0" applyFont="1" applyBorder="1" applyAlignment="1">
      <alignment horizontal="center" vertical="top" wrapText="1" readingOrder="1"/>
    </xf>
    <xf numFmtId="0" fontId="70" fillId="0" borderId="142" xfId="0" applyFont="1" applyBorder="1" applyAlignment="1">
      <alignment horizontal="left" vertical="top" wrapText="1" readingOrder="1"/>
    </xf>
    <xf numFmtId="0" fontId="70" fillId="0" borderId="143" xfId="0" applyFont="1" applyBorder="1" applyAlignment="1">
      <alignment horizontal="center" vertical="top" wrapText="1" readingOrder="1"/>
    </xf>
    <xf numFmtId="0" fontId="71" fillId="0" borderId="141" xfId="0" applyFont="1" applyBorder="1" applyAlignment="1">
      <alignment horizontal="center" vertical="top" wrapText="1" readingOrder="1"/>
    </xf>
    <xf numFmtId="0" fontId="71" fillId="0" borderId="143" xfId="0" applyFont="1" applyBorder="1" applyAlignment="1">
      <alignment horizontal="center" vertical="top" wrapText="1" readingOrder="1"/>
    </xf>
    <xf numFmtId="169" fontId="58" fillId="0" borderId="147" xfId="0" applyNumberFormat="1" applyFont="1" applyBorder="1" applyAlignment="1">
      <alignment horizontal="center" vertical="top" wrapText="1"/>
    </xf>
    <xf numFmtId="0" fontId="69" fillId="19" borderId="1" xfId="0" applyFont="1" applyFill="1" applyBorder="1" applyAlignment="1">
      <alignment horizontal="center" vertical="top" wrapText="1" readingOrder="1"/>
    </xf>
    <xf numFmtId="0" fontId="58" fillId="19" borderId="32" xfId="0" applyFont="1" applyFill="1" applyBorder="1" applyAlignment="1">
      <alignment horizontal="center" vertical="top"/>
    </xf>
    <xf numFmtId="0" fontId="58" fillId="19" borderId="94" xfId="0" quotePrefix="1" applyFont="1" applyFill="1" applyBorder="1" applyAlignment="1">
      <alignment horizontal="center" vertical="top"/>
    </xf>
    <xf numFmtId="0" fontId="58" fillId="19" borderId="94" xfId="0" applyFont="1" applyFill="1" applyBorder="1" applyAlignment="1">
      <alignment horizontal="center" vertical="top" wrapText="1"/>
    </xf>
    <xf numFmtId="0" fontId="58" fillId="19" borderId="94" xfId="0" applyFont="1" applyFill="1" applyBorder="1" applyAlignment="1">
      <alignment horizontal="center" vertical="top"/>
    </xf>
    <xf numFmtId="0" fontId="58" fillId="19" borderId="175" xfId="0" applyFont="1" applyFill="1" applyBorder="1" applyAlignment="1">
      <alignment horizontal="center" vertical="top"/>
    </xf>
    <xf numFmtId="10" fontId="58" fillId="19" borderId="85" xfId="0" applyNumberFormat="1" applyFont="1" applyFill="1" applyBorder="1" applyAlignment="1">
      <alignment horizontal="center" vertical="top" wrapText="1"/>
    </xf>
    <xf numFmtId="1" fontId="58" fillId="19" borderId="104" xfId="0" applyNumberFormat="1" applyFont="1" applyFill="1" applyBorder="1" applyAlignment="1">
      <alignment horizontal="center" vertical="top" wrapText="1"/>
    </xf>
    <xf numFmtId="0" fontId="58" fillId="19" borderId="157" xfId="0" applyFont="1" applyFill="1" applyBorder="1" applyAlignment="1">
      <alignment horizontal="center" vertical="top"/>
    </xf>
    <xf numFmtId="1" fontId="58" fillId="19" borderId="140" xfId="0" applyNumberFormat="1" applyFont="1" applyFill="1" applyBorder="1" applyAlignment="1">
      <alignment horizontal="center" vertical="top" wrapText="1"/>
    </xf>
    <xf numFmtId="1" fontId="58" fillId="19" borderId="33" xfId="0" applyNumberFormat="1" applyFont="1" applyFill="1" applyBorder="1" applyAlignment="1">
      <alignment horizontal="center" vertical="top" wrapText="1"/>
    </xf>
    <xf numFmtId="0" fontId="59" fillId="19" borderId="7" xfId="0" applyFont="1" applyFill="1" applyBorder="1" applyAlignment="1">
      <alignment horizontal="center" vertical="center" wrapText="1" readingOrder="1"/>
    </xf>
    <xf numFmtId="0" fontId="58" fillId="19" borderId="85" xfId="0" applyFont="1" applyFill="1" applyBorder="1" applyAlignment="1">
      <alignment horizontal="center" vertical="top"/>
    </xf>
    <xf numFmtId="0" fontId="58" fillId="19" borderId="140" xfId="0" applyFont="1" applyFill="1" applyBorder="1" applyAlignment="1">
      <alignment horizontal="center" vertical="top"/>
    </xf>
    <xf numFmtId="0" fontId="58" fillId="19" borderId="104" xfId="0" applyFont="1" applyFill="1" applyBorder="1" applyAlignment="1">
      <alignment horizontal="center" vertical="top"/>
    </xf>
    <xf numFmtId="0" fontId="58" fillId="19" borderId="33" xfId="0" applyFont="1" applyFill="1" applyBorder="1" applyAlignment="1">
      <alignment horizontal="center" vertical="top"/>
    </xf>
    <xf numFmtId="1" fontId="58" fillId="19" borderId="94" xfId="0" applyNumberFormat="1" applyFont="1" applyFill="1" applyBorder="1" applyAlignment="1">
      <alignment horizontal="center" vertical="top" wrapText="1"/>
    </xf>
    <xf numFmtId="10" fontId="58" fillId="19" borderId="86" xfId="0" applyNumberFormat="1" applyFont="1" applyFill="1" applyBorder="1" applyAlignment="1">
      <alignment horizontal="center" vertical="top" wrapText="1"/>
    </xf>
    <xf numFmtId="1" fontId="58" fillId="19" borderId="95" xfId="0" applyNumberFormat="1" applyFont="1" applyFill="1" applyBorder="1" applyAlignment="1">
      <alignment horizontal="center" vertical="top" wrapText="1"/>
    </xf>
    <xf numFmtId="10" fontId="58" fillId="19" borderId="175" xfId="0" applyNumberFormat="1" applyFont="1" applyFill="1" applyBorder="1" applyAlignment="1">
      <alignment horizontal="center" vertical="top" wrapText="1"/>
    </xf>
    <xf numFmtId="1" fontId="58" fillId="19" borderId="85" xfId="0" applyNumberFormat="1" applyFont="1" applyFill="1" applyBorder="1" applyAlignment="1">
      <alignment horizontal="center" vertical="top" wrapText="1"/>
    </xf>
    <xf numFmtId="0" fontId="58" fillId="0" borderId="270" xfId="0" applyFont="1" applyBorder="1" applyAlignment="1">
      <alignment vertical="top" wrapText="1" readingOrder="1"/>
    </xf>
    <xf numFmtId="0" fontId="58" fillId="0" borderId="271" xfId="0" applyFont="1" applyBorder="1" applyAlignment="1">
      <alignment vertical="top"/>
    </xf>
    <xf numFmtId="0" fontId="65" fillId="0" borderId="75" xfId="0" applyFont="1" applyBorder="1" applyAlignment="1">
      <alignment vertical="top"/>
    </xf>
    <xf numFmtId="0" fontId="65" fillId="0" borderId="269" xfId="0" applyFont="1" applyBorder="1" applyAlignment="1">
      <alignment vertical="top"/>
    </xf>
    <xf numFmtId="0" fontId="58" fillId="0" borderId="75" xfId="0" applyFont="1" applyBorder="1" applyAlignment="1">
      <alignment vertical="top"/>
    </xf>
    <xf numFmtId="0" fontId="65" fillId="0" borderId="268" xfId="0" applyFont="1" applyBorder="1" applyAlignment="1">
      <alignment vertical="top"/>
    </xf>
    <xf numFmtId="0" fontId="59" fillId="2" borderId="69" xfId="0" applyFont="1" applyFill="1" applyBorder="1" applyAlignment="1">
      <alignment horizontal="left" vertical="top" wrapText="1" readingOrder="1"/>
    </xf>
    <xf numFmtId="0" fontId="58" fillId="0" borderId="224" xfId="0" applyFont="1" applyBorder="1" applyAlignment="1">
      <alignment vertical="top" wrapText="1" readingOrder="1"/>
    </xf>
    <xf numFmtId="0" fontId="58" fillId="0" borderId="225" xfId="0" applyFont="1" applyBorder="1" applyAlignment="1">
      <alignment vertical="top"/>
    </xf>
    <xf numFmtId="0" fontId="58" fillId="0" borderId="132" xfId="0" applyFont="1" applyBorder="1" applyAlignment="1">
      <alignment vertical="top"/>
    </xf>
    <xf numFmtId="0" fontId="65" fillId="0" borderId="150" xfId="0" applyFont="1" applyBorder="1" applyAlignment="1">
      <alignment vertical="top"/>
    </xf>
    <xf numFmtId="0" fontId="65" fillId="0" borderId="70" xfId="0" applyFont="1" applyBorder="1" applyAlignment="1">
      <alignment vertical="top" wrapText="1" readingOrder="1"/>
    </xf>
    <xf numFmtId="0" fontId="65" fillId="0" borderId="71" xfId="0" applyFont="1" applyBorder="1" applyAlignment="1">
      <alignment vertical="top"/>
    </xf>
    <xf numFmtId="0" fontId="58" fillId="0" borderId="45" xfId="0" applyFont="1" applyBorder="1" applyAlignment="1">
      <alignment horizontal="center" vertical="top" wrapText="1" readingOrder="1"/>
    </xf>
    <xf numFmtId="0" fontId="58" fillId="0" borderId="65" xfId="0" applyFont="1" applyBorder="1" applyAlignment="1">
      <alignment horizontal="center" vertical="top" wrapText="1" readingOrder="1"/>
    </xf>
    <xf numFmtId="167" fontId="58" fillId="0" borderId="37" xfId="0" applyNumberFormat="1" applyFont="1" applyBorder="1" applyAlignment="1">
      <alignment horizontal="center" vertical="top"/>
    </xf>
    <xf numFmtId="0" fontId="58" fillId="0" borderId="47" xfId="0" applyFont="1" applyBorder="1" applyAlignment="1">
      <alignment horizontal="center" vertical="top" wrapText="1" readingOrder="1"/>
    </xf>
    <xf numFmtId="0" fontId="58" fillId="0" borderId="66" xfId="0" applyFont="1" applyBorder="1" applyAlignment="1">
      <alignment horizontal="center" vertical="top" wrapText="1" readingOrder="1"/>
    </xf>
    <xf numFmtId="167" fontId="58" fillId="0" borderId="39" xfId="0" applyNumberFormat="1" applyFont="1" applyBorder="1" applyAlignment="1">
      <alignment horizontal="center" vertical="top"/>
    </xf>
    <xf numFmtId="0" fontId="58" fillId="0" borderId="67" xfId="0" applyFont="1" applyBorder="1" applyAlignment="1">
      <alignment horizontal="center" vertical="top" wrapText="1" readingOrder="1"/>
    </xf>
    <xf numFmtId="0" fontId="58" fillId="0" borderId="68" xfId="0" applyFont="1" applyBorder="1" applyAlignment="1">
      <alignment horizontal="center" vertical="top" wrapText="1" readingOrder="1"/>
    </xf>
    <xf numFmtId="167" fontId="58" fillId="0" borderId="58" xfId="0" applyNumberFormat="1" applyFont="1" applyBorder="1" applyAlignment="1">
      <alignment horizontal="center" vertical="top"/>
    </xf>
    <xf numFmtId="0" fontId="59" fillId="19" borderId="8" xfId="0" applyFont="1" applyFill="1" applyBorder="1" applyAlignment="1">
      <alignment horizontal="center" vertical="center" wrapText="1" readingOrder="1"/>
    </xf>
    <xf numFmtId="169" fontId="58" fillId="19" borderId="36" xfId="0" applyNumberFormat="1" applyFont="1" applyFill="1" applyBorder="1" applyAlignment="1">
      <alignment horizontal="center" vertical="top" wrapText="1"/>
    </xf>
    <xf numFmtId="169" fontId="58" fillId="19" borderId="38" xfId="0" applyNumberFormat="1" applyFont="1" applyFill="1" applyBorder="1" applyAlignment="1">
      <alignment horizontal="center" vertical="top" wrapText="1"/>
    </xf>
    <xf numFmtId="169" fontId="58" fillId="19" borderId="62" xfId="0" applyNumberFormat="1" applyFont="1" applyFill="1" applyBorder="1" applyAlignment="1">
      <alignment horizontal="center" vertical="top" wrapText="1"/>
    </xf>
    <xf numFmtId="0" fontId="58" fillId="0" borderId="45" xfId="0" applyFont="1" applyBorder="1" applyAlignment="1">
      <alignment vertical="top" wrapText="1" readingOrder="1"/>
    </xf>
    <xf numFmtId="0" fontId="58" fillId="0" borderId="72" xfId="0" applyFont="1" applyBorder="1" applyAlignment="1">
      <alignment vertical="top"/>
    </xf>
    <xf numFmtId="0" fontId="58" fillId="0" borderId="72" xfId="0" applyFont="1" applyBorder="1" applyAlignment="1">
      <alignment horizontal="center" vertical="top" wrapText="1" readingOrder="1"/>
    </xf>
    <xf numFmtId="0" fontId="58" fillId="0" borderId="72" xfId="0" applyFont="1" applyBorder="1" applyAlignment="1">
      <alignment horizontal="left" vertical="top" wrapText="1" readingOrder="1"/>
    </xf>
    <xf numFmtId="0" fontId="58" fillId="0" borderId="47" xfId="0" applyFont="1" applyBorder="1" applyAlignment="1">
      <alignment vertical="top" wrapText="1" readingOrder="1"/>
    </xf>
    <xf numFmtId="0" fontId="58" fillId="0" borderId="73" xfId="0" applyFont="1" applyBorder="1" applyAlignment="1">
      <alignment vertical="top"/>
    </xf>
    <xf numFmtId="0" fontId="58" fillId="0" borderId="73" xfId="0" applyFont="1" applyBorder="1" applyAlignment="1">
      <alignment horizontal="center" vertical="top" wrapText="1" readingOrder="1"/>
    </xf>
    <xf numFmtId="0" fontId="58" fillId="0" borderId="73" xfId="0" applyFont="1" applyBorder="1" applyAlignment="1">
      <alignment horizontal="left" vertical="top" wrapText="1" readingOrder="1"/>
    </xf>
    <xf numFmtId="0" fontId="58" fillId="0" borderId="67" xfId="0" applyFont="1" applyBorder="1" applyAlignment="1">
      <alignment vertical="top" wrapText="1" readingOrder="1"/>
    </xf>
    <xf numFmtId="0" fontId="58" fillId="0" borderId="74" xfId="0" applyFont="1" applyBorder="1" applyAlignment="1">
      <alignment vertical="top"/>
    </xf>
    <xf numFmtId="0" fontId="58" fillId="0" borderId="74" xfId="0" applyFont="1" applyBorder="1" applyAlignment="1">
      <alignment horizontal="center" vertical="top" wrapText="1" readingOrder="1"/>
    </xf>
    <xf numFmtId="0" fontId="58" fillId="0" borderId="74" xfId="0" applyFont="1" applyBorder="1" applyAlignment="1">
      <alignment horizontal="left" vertical="top" wrapText="1" readingOrder="1"/>
    </xf>
    <xf numFmtId="2" fontId="58" fillId="3" borderId="0" xfId="0" applyNumberFormat="1" applyFont="1" applyFill="1" applyAlignment="1">
      <alignment vertical="top"/>
    </xf>
    <xf numFmtId="167" fontId="58" fillId="0" borderId="16" xfId="0" applyNumberFormat="1" applyFont="1" applyBorder="1" applyAlignment="1">
      <alignment horizontal="center" vertical="top"/>
    </xf>
    <xf numFmtId="0" fontId="67" fillId="3" borderId="110" xfId="0" applyFont="1" applyFill="1" applyBorder="1" applyAlignment="1">
      <alignment vertical="top" wrapText="1"/>
    </xf>
    <xf numFmtId="0" fontId="70" fillId="0" borderId="110" xfId="0" applyFont="1" applyBorder="1" applyAlignment="1">
      <alignment horizontal="center" vertical="top" wrapText="1" readingOrder="1"/>
    </xf>
    <xf numFmtId="0" fontId="70" fillId="0" borderId="110" xfId="0" applyFont="1" applyBorder="1" applyAlignment="1">
      <alignment horizontal="left" vertical="top" wrapText="1" readingOrder="1"/>
    </xf>
    <xf numFmtId="0" fontId="67" fillId="3" borderId="92" xfId="0" applyFont="1" applyFill="1" applyBorder="1" applyAlignment="1">
      <alignment vertical="top" wrapText="1"/>
    </xf>
    <xf numFmtId="0" fontId="70" fillId="0" borderId="92" xfId="0" applyFont="1" applyBorder="1" applyAlignment="1">
      <alignment horizontal="center" vertical="top" wrapText="1" readingOrder="1"/>
    </xf>
    <xf numFmtId="0" fontId="70" fillId="0" borderId="92" xfId="0" applyFont="1" applyBorder="1" applyAlignment="1">
      <alignment horizontal="left" vertical="top" wrapText="1" readingOrder="1"/>
    </xf>
    <xf numFmtId="0" fontId="70" fillId="0" borderId="115" xfId="0" applyFont="1" applyBorder="1" applyAlignment="1">
      <alignment horizontal="center" vertical="top" wrapText="1" readingOrder="1"/>
    </xf>
    <xf numFmtId="0" fontId="67" fillId="0" borderId="123" xfId="0" applyFont="1" applyBorder="1" applyAlignment="1">
      <alignment vertical="top" wrapText="1" readingOrder="1"/>
    </xf>
    <xf numFmtId="174" fontId="58" fillId="0" borderId="195" xfId="1" applyNumberFormat="1" applyFont="1" applyBorder="1" applyAlignment="1">
      <alignment horizontal="center" vertical="top" wrapText="1"/>
    </xf>
    <xf numFmtId="174" fontId="58" fillId="0" borderId="128" xfId="1" applyNumberFormat="1" applyFont="1" applyBorder="1" applyAlignment="1">
      <alignment horizontal="center" vertical="top" wrapText="1"/>
    </xf>
    <xf numFmtId="9" fontId="58" fillId="0" borderId="128" xfId="0" applyNumberFormat="1" applyFont="1" applyBorder="1" applyAlignment="1">
      <alignment horizontal="center" vertical="top"/>
    </xf>
    <xf numFmtId="0" fontId="70" fillId="0" borderId="183" xfId="0" applyFont="1" applyBorder="1" applyAlignment="1">
      <alignment horizontal="center" vertical="top" wrapText="1" readingOrder="1"/>
    </xf>
    <xf numFmtId="0" fontId="70" fillId="0" borderId="184" xfId="0" applyFont="1" applyBorder="1" applyAlignment="1">
      <alignment horizontal="center" vertical="top" wrapText="1" readingOrder="1"/>
    </xf>
    <xf numFmtId="0" fontId="70" fillId="0" borderId="188" xfId="0" applyFont="1" applyBorder="1" applyAlignment="1">
      <alignment horizontal="center" vertical="top" wrapText="1" readingOrder="1"/>
    </xf>
    <xf numFmtId="0" fontId="71" fillId="0" borderId="198" xfId="0" applyFont="1" applyBorder="1" applyAlignment="1">
      <alignment horizontal="center" vertical="top" wrapText="1" readingOrder="1"/>
    </xf>
    <xf numFmtId="0" fontId="71" fillId="0" borderId="275" xfId="0" applyFont="1" applyBorder="1" applyAlignment="1">
      <alignment horizontal="center" vertical="top" wrapText="1" readingOrder="1"/>
    </xf>
    <xf numFmtId="0" fontId="71" fillId="0" borderId="200" xfId="0" applyFont="1" applyBorder="1" applyAlignment="1">
      <alignment horizontal="center" vertical="top" wrapText="1" readingOrder="1"/>
    </xf>
    <xf numFmtId="0" fontId="71" fillId="0" borderId="127" xfId="0" applyFont="1" applyBorder="1" applyAlignment="1">
      <alignment horizontal="center" vertical="top" wrapText="1" readingOrder="1"/>
    </xf>
    <xf numFmtId="0" fontId="71" fillId="0" borderId="208" xfId="0" applyFont="1" applyBorder="1" applyAlignment="1">
      <alignment horizontal="center" vertical="top" wrapText="1" readingOrder="1"/>
    </xf>
    <xf numFmtId="0" fontId="71" fillId="0" borderId="129" xfId="0" applyFont="1" applyBorder="1" applyAlignment="1">
      <alignment horizontal="center" vertical="top" wrapText="1" readingOrder="1"/>
    </xf>
    <xf numFmtId="0" fontId="59" fillId="2" borderId="196" xfId="0" applyFont="1" applyFill="1" applyBorder="1" applyAlignment="1">
      <alignment horizontal="center" vertical="center" wrapText="1" readingOrder="1"/>
    </xf>
    <xf numFmtId="0" fontId="59" fillId="2" borderId="124" xfId="0" applyFont="1" applyFill="1" applyBorder="1" applyAlignment="1">
      <alignment horizontal="center" vertical="center" wrapText="1" readingOrder="1"/>
    </xf>
    <xf numFmtId="0" fontId="71" fillId="0" borderId="213" xfId="0" applyFont="1" applyBorder="1" applyAlignment="1">
      <alignment horizontal="center" vertical="top" wrapText="1" readingOrder="1"/>
    </xf>
    <xf numFmtId="0" fontId="71" fillId="0" borderId="152" xfId="0" applyFont="1" applyBorder="1" applyAlignment="1">
      <alignment horizontal="center" vertical="top" wrapText="1" readingOrder="1"/>
    </xf>
    <xf numFmtId="0" fontId="67" fillId="3" borderId="159" xfId="0" applyFont="1" applyFill="1" applyBorder="1" applyAlignment="1">
      <alignment vertical="top" wrapText="1"/>
    </xf>
    <xf numFmtId="0" fontId="70" fillId="0" borderId="159" xfId="0" applyFont="1" applyBorder="1" applyAlignment="1">
      <alignment horizontal="center" vertical="top" wrapText="1" readingOrder="1"/>
    </xf>
    <xf numFmtId="0" fontId="70" fillId="0" borderId="159" xfId="0" applyFont="1" applyBorder="1" applyAlignment="1">
      <alignment horizontal="left" vertical="top" wrapText="1" readingOrder="1"/>
    </xf>
    <xf numFmtId="0" fontId="70" fillId="0" borderId="219" xfId="0" applyFont="1" applyBorder="1" applyAlignment="1">
      <alignment horizontal="center" vertical="top" wrapText="1" readingOrder="1"/>
    </xf>
    <xf numFmtId="0" fontId="71" fillId="0" borderId="218" xfId="0" applyFont="1" applyBorder="1" applyAlignment="1">
      <alignment horizontal="center" vertical="top" wrapText="1" readingOrder="1"/>
    </xf>
    <xf numFmtId="0" fontId="71" fillId="0" borderId="160" xfId="0" applyFont="1" applyBorder="1" applyAlignment="1">
      <alignment horizontal="center" vertical="top" wrapText="1" readingOrder="1"/>
    </xf>
    <xf numFmtId="174" fontId="58" fillId="0" borderId="161" xfId="1" applyNumberFormat="1" applyFont="1" applyBorder="1" applyAlignment="1">
      <alignment horizontal="center" vertical="top" wrapText="1"/>
    </xf>
    <xf numFmtId="0" fontId="67" fillId="3" borderId="145" xfId="0" applyFont="1" applyFill="1" applyBorder="1" applyAlignment="1">
      <alignment vertical="top" wrapText="1"/>
    </xf>
    <xf numFmtId="0" fontId="70" fillId="0" borderId="145" xfId="0" applyFont="1" applyBorder="1" applyAlignment="1">
      <alignment horizontal="center" vertical="top" wrapText="1" readingOrder="1"/>
    </xf>
    <xf numFmtId="0" fontId="71" fillId="0" borderId="206" xfId="0" applyFont="1" applyBorder="1" applyAlignment="1">
      <alignment horizontal="center" vertical="top" wrapText="1" readingOrder="1"/>
    </xf>
    <xf numFmtId="0" fontId="71" fillId="0" borderId="146" xfId="0" applyFont="1" applyBorder="1" applyAlignment="1">
      <alignment horizontal="center" vertical="top" wrapText="1" readingOrder="1"/>
    </xf>
    <xf numFmtId="0" fontId="67" fillId="3" borderId="83" xfId="0" applyFont="1" applyFill="1" applyBorder="1" applyAlignment="1">
      <alignment vertical="top" wrapText="1"/>
    </xf>
    <xf numFmtId="0" fontId="70" fillId="0" borderId="83" xfId="0" applyFont="1" applyBorder="1" applyAlignment="1">
      <alignment horizontal="center" vertical="top" wrapText="1" readingOrder="1"/>
    </xf>
    <xf numFmtId="0" fontId="70" fillId="0" borderId="83" xfId="0" applyFont="1" applyBorder="1" applyAlignment="1">
      <alignment horizontal="left" vertical="top" wrapText="1" readingOrder="1"/>
    </xf>
    <xf numFmtId="0" fontId="70" fillId="0" borderId="186" xfId="0" applyFont="1" applyBorder="1" applyAlignment="1">
      <alignment horizontal="center" vertical="top" wrapText="1" readingOrder="1"/>
    </xf>
    <xf numFmtId="0" fontId="71" fillId="0" borderId="204" xfId="0" applyFont="1" applyBorder="1" applyAlignment="1">
      <alignment horizontal="center" vertical="top" wrapText="1" readingOrder="1"/>
    </xf>
    <xf numFmtId="0" fontId="71" fillId="0" borderId="125" xfId="0" applyFont="1" applyBorder="1" applyAlignment="1">
      <alignment horizontal="center" vertical="top" wrapText="1" readingOrder="1"/>
    </xf>
    <xf numFmtId="174" fontId="58" fillId="0" borderId="126" xfId="1" applyNumberFormat="1" applyFont="1" applyBorder="1" applyAlignment="1">
      <alignment horizontal="center" vertical="top" wrapText="1"/>
    </xf>
    <xf numFmtId="0" fontId="70" fillId="9" borderId="92" xfId="0" applyFont="1" applyFill="1" applyBorder="1" applyAlignment="1">
      <alignment horizontal="left" vertical="top" wrapText="1" readingOrder="1"/>
    </xf>
    <xf numFmtId="0" fontId="70" fillId="9" borderId="145" xfId="0" applyFont="1" applyFill="1" applyBorder="1" applyAlignment="1">
      <alignment horizontal="left" vertical="top" wrapText="1" readingOrder="1"/>
    </xf>
    <xf numFmtId="167" fontId="72" fillId="0" borderId="25" xfId="0" applyNumberFormat="1" applyFont="1" applyBorder="1" applyAlignment="1">
      <alignment horizontal="center" vertical="top"/>
    </xf>
    <xf numFmtId="0" fontId="74" fillId="0" borderId="51" xfId="0" applyFont="1" applyBorder="1" applyAlignment="1">
      <alignment vertical="top" wrapText="1" readingOrder="1"/>
    </xf>
    <xf numFmtId="167" fontId="72" fillId="0" borderId="264" xfId="0" applyNumberFormat="1" applyFont="1" applyBorder="1" applyAlignment="1">
      <alignment horizontal="center" vertical="top"/>
    </xf>
    <xf numFmtId="0" fontId="74" fillId="0" borderId="210" xfId="0" applyFont="1" applyBorder="1" applyAlignment="1">
      <alignment vertical="top" wrapText="1" readingOrder="1"/>
    </xf>
    <xf numFmtId="167" fontId="58" fillId="0" borderId="284" xfId="0" applyNumberFormat="1" applyFont="1" applyBorder="1" applyAlignment="1">
      <alignment horizontal="center" vertical="top"/>
    </xf>
    <xf numFmtId="0" fontId="67" fillId="0" borderId="216" xfId="0" applyFont="1" applyBorder="1" applyAlignment="1">
      <alignment vertical="top" wrapText="1" readingOrder="1"/>
    </xf>
    <xf numFmtId="0" fontId="70" fillId="0" borderId="146" xfId="0" applyFont="1" applyBorder="1" applyAlignment="1">
      <alignment horizontal="center" vertical="top" wrapText="1" readingOrder="1"/>
    </xf>
    <xf numFmtId="167" fontId="72" fillId="0" borderId="2" xfId="0" applyNumberFormat="1" applyFont="1" applyBorder="1" applyAlignment="1">
      <alignment horizontal="center" vertical="top"/>
    </xf>
    <xf numFmtId="0" fontId="74" fillId="0" borderId="122" xfId="0" applyFont="1" applyBorder="1" applyAlignment="1">
      <alignment vertical="top" wrapText="1" readingOrder="1"/>
    </xf>
    <xf numFmtId="0" fontId="70" fillId="9" borderId="115" xfId="0" applyFont="1" applyFill="1" applyBorder="1" applyAlignment="1">
      <alignment horizontal="left" vertical="top" wrapText="1" readingOrder="1"/>
    </xf>
    <xf numFmtId="0" fontId="59" fillId="9" borderId="194" xfId="0" applyFont="1" applyFill="1" applyBorder="1" applyAlignment="1">
      <alignment horizontal="center" vertical="center" wrapText="1" readingOrder="1"/>
    </xf>
    <xf numFmtId="0" fontId="58" fillId="9" borderId="272" xfId="0" applyFont="1" applyFill="1" applyBorder="1" applyAlignment="1">
      <alignment horizontal="center" vertical="top"/>
    </xf>
    <xf numFmtId="0" fontId="58" fillId="9" borderId="273" xfId="0" applyFont="1" applyFill="1" applyBorder="1" applyAlignment="1">
      <alignment horizontal="center" vertical="top"/>
    </xf>
    <xf numFmtId="9" fontId="58" fillId="9" borderId="273" xfId="0" applyNumberFormat="1" applyFont="1" applyFill="1" applyBorder="1" applyAlignment="1">
      <alignment horizontal="center" vertical="top"/>
    </xf>
    <xf numFmtId="0" fontId="58" fillId="9" borderId="278" xfId="0" applyFont="1" applyFill="1" applyBorder="1" applyAlignment="1">
      <alignment horizontal="center" vertical="top" wrapText="1"/>
    </xf>
    <xf numFmtId="0" fontId="58" fillId="9" borderId="279" xfId="0" applyFont="1" applyFill="1" applyBorder="1" applyAlignment="1">
      <alignment horizontal="center" vertical="top"/>
    </xf>
    <xf numFmtId="0" fontId="58" fillId="9" borderId="281" xfId="0" applyFont="1" applyFill="1" applyBorder="1" applyAlignment="1">
      <alignment horizontal="center" vertical="top" wrapText="1"/>
    </xf>
    <xf numFmtId="0" fontId="58" fillId="9" borderId="283" xfId="0" applyFont="1" applyFill="1" applyBorder="1" applyAlignment="1">
      <alignment horizontal="center" vertical="top"/>
    </xf>
    <xf numFmtId="0" fontId="58" fillId="9" borderId="274" xfId="0" applyFont="1" applyFill="1" applyBorder="1" applyAlignment="1">
      <alignment horizontal="center" vertical="top" wrapText="1"/>
    </xf>
    <xf numFmtId="167" fontId="53" fillId="0" borderId="16" xfId="0" applyNumberFormat="1" applyFont="1" applyBorder="1" applyAlignment="1">
      <alignment horizontal="center" vertical="top"/>
    </xf>
    <xf numFmtId="0" fontId="55" fillId="0" borderId="226" xfId="0" applyFont="1" applyBorder="1" applyAlignment="1">
      <alignment vertical="top" wrapText="1" readingOrder="1"/>
    </xf>
    <xf numFmtId="0" fontId="65" fillId="0" borderId="227" xfId="0" applyFont="1" applyBorder="1" applyAlignment="1">
      <alignment vertical="top" wrapText="1" readingOrder="1"/>
    </xf>
    <xf numFmtId="0" fontId="65" fillId="0" borderId="285" xfId="0" applyFont="1" applyBorder="1" applyAlignment="1">
      <alignment vertical="top" wrapText="1" readingOrder="1"/>
    </xf>
    <xf numFmtId="167" fontId="53" fillId="0" borderId="284" xfId="0" applyNumberFormat="1" applyFont="1" applyBorder="1" applyAlignment="1">
      <alignment horizontal="center" vertical="top"/>
    </xf>
    <xf numFmtId="0" fontId="55" fillId="0" borderId="286" xfId="0" applyFont="1" applyBorder="1" applyAlignment="1">
      <alignment vertical="top" wrapText="1" readingOrder="1"/>
    </xf>
    <xf numFmtId="0" fontId="65" fillId="0" borderId="228" xfId="0" applyFont="1" applyBorder="1" applyAlignment="1">
      <alignment vertical="top" wrapText="1" readingOrder="1"/>
    </xf>
    <xf numFmtId="0" fontId="58" fillId="0" borderId="198" xfId="0" applyFont="1" applyBorder="1" applyAlignment="1">
      <alignment horizontal="center" vertical="top" wrapText="1" readingOrder="1"/>
    </xf>
    <xf numFmtId="0" fontId="58" fillId="0" borderId="275" xfId="0" applyFont="1" applyBorder="1" applyAlignment="1">
      <alignment horizontal="center" vertical="top" wrapText="1" readingOrder="1"/>
    </xf>
    <xf numFmtId="0" fontId="58" fillId="0" borderId="200" xfId="0" applyFont="1" applyBorder="1" applyAlignment="1">
      <alignment horizontal="center" vertical="top" wrapText="1" readingOrder="1"/>
    </xf>
    <xf numFmtId="0" fontId="58" fillId="0" borderId="127" xfId="0" applyFont="1" applyBorder="1" applyAlignment="1">
      <alignment horizontal="center" vertical="top" wrapText="1" readingOrder="1"/>
    </xf>
    <xf numFmtId="0" fontId="58" fillId="0" borderId="206" xfId="0" applyFont="1" applyBorder="1" applyAlignment="1">
      <alignment horizontal="center" vertical="top" wrapText="1" readingOrder="1"/>
    </xf>
    <xf numFmtId="0" fontId="58" fillId="0" borderId="146" xfId="0" applyFont="1" applyBorder="1" applyAlignment="1">
      <alignment horizontal="center" vertical="top" wrapText="1" readingOrder="1"/>
    </xf>
    <xf numFmtId="0" fontId="58" fillId="0" borderId="218" xfId="0" applyFont="1" applyBorder="1" applyAlignment="1">
      <alignment horizontal="center" vertical="top" wrapText="1" readingOrder="1"/>
    </xf>
    <xf numFmtId="0" fontId="58" fillId="0" borderId="160" xfId="0" applyFont="1" applyBorder="1" applyAlignment="1">
      <alignment horizontal="center" vertical="top" wrapText="1" readingOrder="1"/>
    </xf>
    <xf numFmtId="0" fontId="58" fillId="9" borderId="92" xfId="0" applyFont="1" applyFill="1" applyBorder="1" applyAlignment="1">
      <alignment horizontal="left" vertical="top" wrapText="1" readingOrder="1"/>
    </xf>
    <xf numFmtId="0" fontId="58" fillId="9" borderId="145" xfId="0" applyFont="1" applyFill="1" applyBorder="1" applyAlignment="1">
      <alignment horizontal="left" vertical="top" wrapText="1" readingOrder="1"/>
    </xf>
    <xf numFmtId="0" fontId="58" fillId="9" borderId="115" xfId="0" applyFont="1" applyFill="1" applyBorder="1" applyAlignment="1">
      <alignment horizontal="left" vertical="top" wrapText="1" readingOrder="1"/>
    </xf>
    <xf numFmtId="0" fontId="58" fillId="0" borderId="129" xfId="0" applyFont="1" applyBorder="1" applyAlignment="1">
      <alignment horizontal="center" vertical="top" wrapText="1" readingOrder="1"/>
    </xf>
    <xf numFmtId="0" fontId="58" fillId="0" borderId="208" xfId="0" applyFont="1" applyBorder="1" applyAlignment="1">
      <alignment horizontal="center" vertical="top" wrapText="1" readingOrder="1"/>
    </xf>
    <xf numFmtId="0" fontId="57" fillId="2" borderId="7" xfId="0" applyFont="1" applyFill="1" applyBorder="1" applyAlignment="1">
      <alignment horizontal="center" vertical="top" wrapText="1" readingOrder="1"/>
    </xf>
    <xf numFmtId="0" fontId="57" fillId="2" borderId="196" xfId="0" applyFont="1" applyFill="1" applyBorder="1" applyAlignment="1">
      <alignment vertical="top" wrapText="1" readingOrder="1"/>
    </xf>
    <xf numFmtId="0" fontId="57" fillId="2" borderId="34" xfId="0" applyFont="1" applyFill="1" applyBorder="1" applyAlignment="1">
      <alignment vertical="top" wrapText="1" readingOrder="1"/>
    </xf>
    <xf numFmtId="0" fontId="57" fillId="2" borderId="124" xfId="0" applyFont="1" applyFill="1" applyBorder="1" applyAlignment="1">
      <alignment horizontal="center" vertical="top" wrapText="1" readingOrder="1"/>
    </xf>
    <xf numFmtId="0" fontId="57" fillId="2" borderId="196" xfId="0" applyFont="1" applyFill="1" applyBorder="1" applyAlignment="1">
      <alignment horizontal="center" vertical="top" wrapText="1" readingOrder="1"/>
    </xf>
    <xf numFmtId="0" fontId="57" fillId="9" borderId="194" xfId="0" applyFont="1" applyFill="1" applyBorder="1" applyAlignment="1">
      <alignment horizontal="center" vertical="top" wrapText="1" readingOrder="1"/>
    </xf>
    <xf numFmtId="0" fontId="70" fillId="0" borderId="0" xfId="0" applyFont="1" applyAlignment="1">
      <alignment vertical="top"/>
    </xf>
    <xf numFmtId="0" fontId="70" fillId="0" borderId="0" xfId="0" applyFont="1" applyAlignment="1">
      <alignment horizontal="center" vertical="top"/>
    </xf>
    <xf numFmtId="0" fontId="70" fillId="3" borderId="0" xfId="0" applyFont="1" applyFill="1" applyAlignment="1">
      <alignment vertical="top"/>
    </xf>
    <xf numFmtId="167" fontId="70" fillId="3" borderId="0" xfId="0" applyNumberFormat="1" applyFont="1" applyFill="1" applyAlignment="1">
      <alignment vertical="top"/>
    </xf>
    <xf numFmtId="0" fontId="70" fillId="3" borderId="127" xfId="0" applyFont="1" applyFill="1" applyBorder="1" applyAlignment="1">
      <alignment horizontal="center" vertical="top" wrapText="1" readingOrder="1"/>
    </xf>
    <xf numFmtId="0" fontId="70" fillId="3" borderId="129" xfId="0" applyFont="1" applyFill="1" applyBorder="1" applyAlignment="1">
      <alignment horizontal="center" vertical="top" wrapText="1" readingOrder="1"/>
    </xf>
    <xf numFmtId="0" fontId="70" fillId="3" borderId="200" xfId="0" applyFont="1" applyFill="1" applyBorder="1" applyAlignment="1">
      <alignment horizontal="center" vertical="top" wrapText="1" readingOrder="1"/>
    </xf>
    <xf numFmtId="0" fontId="70" fillId="3" borderId="127" xfId="0" applyFont="1" applyFill="1" applyBorder="1" applyAlignment="1">
      <alignment horizontal="center" vertical="top"/>
    </xf>
    <xf numFmtId="0" fontId="70" fillId="3" borderId="208" xfId="0" applyFont="1" applyFill="1" applyBorder="1" applyAlignment="1">
      <alignment horizontal="center" vertical="top" wrapText="1" readingOrder="1"/>
    </xf>
    <xf numFmtId="0" fontId="70" fillId="3" borderId="129" xfId="0" applyFont="1" applyFill="1" applyBorder="1" applyAlignment="1">
      <alignment horizontal="center" vertical="top"/>
    </xf>
    <xf numFmtId="0" fontId="70" fillId="3" borderId="288" xfId="0" applyFont="1" applyFill="1" applyBorder="1" applyAlignment="1">
      <alignment horizontal="center" vertical="top" wrapText="1"/>
    </xf>
    <xf numFmtId="0" fontId="70" fillId="3" borderId="288" xfId="0" applyFont="1" applyFill="1" applyBorder="1" applyAlignment="1">
      <alignment horizontal="center" vertical="top"/>
    </xf>
    <xf numFmtId="10" fontId="70" fillId="3" borderId="288" xfId="0" applyNumberFormat="1" applyFont="1" applyFill="1" applyBorder="1" applyAlignment="1">
      <alignment horizontal="center" vertical="top"/>
    </xf>
    <xf numFmtId="0" fontId="70" fillId="3" borderId="288" xfId="0" quotePrefix="1" applyFont="1" applyFill="1" applyBorder="1" applyAlignment="1">
      <alignment horizontal="center" vertical="top"/>
    </xf>
    <xf numFmtId="10" fontId="70" fillId="3" borderId="288" xfId="0" applyNumberFormat="1" applyFont="1" applyFill="1" applyBorder="1" applyAlignment="1">
      <alignment horizontal="center" vertical="top" wrapText="1"/>
    </xf>
    <xf numFmtId="2" fontId="70" fillId="3" borderId="288" xfId="0" applyNumberFormat="1" applyFont="1" applyFill="1" applyBorder="1" applyAlignment="1">
      <alignment horizontal="center" vertical="top" wrapText="1"/>
    </xf>
    <xf numFmtId="169" fontId="70" fillId="3" borderId="288" xfId="0" applyNumberFormat="1" applyFont="1" applyFill="1" applyBorder="1" applyAlignment="1">
      <alignment horizontal="center" vertical="top" wrapText="1"/>
    </xf>
    <xf numFmtId="0" fontId="70" fillId="3" borderId="289" xfId="0" applyFont="1" applyFill="1" applyBorder="1" applyAlignment="1">
      <alignment horizontal="center" vertical="top"/>
    </xf>
    <xf numFmtId="1" fontId="70" fillId="3" borderId="200" xfId="0" applyNumberFormat="1" applyFont="1" applyFill="1" applyBorder="1" applyAlignment="1">
      <alignment horizontal="center" vertical="top" wrapText="1"/>
    </xf>
    <xf numFmtId="1" fontId="70" fillId="3" borderId="96" xfId="0" applyNumberFormat="1" applyFont="1" applyFill="1" applyBorder="1" applyAlignment="1">
      <alignment horizontal="center" vertical="top" wrapText="1"/>
    </xf>
    <xf numFmtId="2" fontId="70" fillId="3" borderId="200" xfId="0" applyNumberFormat="1" applyFont="1" applyFill="1" applyBorder="1" applyAlignment="1">
      <alignment horizontal="center" vertical="top" wrapText="1"/>
    </xf>
    <xf numFmtId="2" fontId="70" fillId="3" borderId="96" xfId="0" applyNumberFormat="1" applyFont="1" applyFill="1" applyBorder="1" applyAlignment="1">
      <alignment horizontal="center" vertical="top" wrapText="1"/>
    </xf>
    <xf numFmtId="0" fontId="70" fillId="3" borderId="200" xfId="0" applyFont="1" applyFill="1" applyBorder="1" applyAlignment="1">
      <alignment horizontal="center" vertical="top" wrapText="1"/>
    </xf>
    <xf numFmtId="10" fontId="70" fillId="3" borderId="200" xfId="2" applyNumberFormat="1" applyFont="1" applyFill="1" applyBorder="1" applyAlignment="1">
      <alignment horizontal="center" vertical="top" wrapText="1"/>
    </xf>
    <xf numFmtId="10" fontId="70" fillId="3" borderId="96" xfId="2" applyNumberFormat="1" applyFont="1" applyFill="1" applyBorder="1" applyAlignment="1">
      <alignment horizontal="center" vertical="top" wrapText="1"/>
    </xf>
    <xf numFmtId="2" fontId="70" fillId="3" borderId="200" xfId="0" quotePrefix="1" applyNumberFormat="1" applyFont="1" applyFill="1" applyBorder="1" applyAlignment="1">
      <alignment horizontal="center" vertical="top" wrapText="1"/>
    </xf>
    <xf numFmtId="2" fontId="70" fillId="3" borderId="96" xfId="0" quotePrefix="1" applyNumberFormat="1" applyFont="1" applyFill="1" applyBorder="1" applyAlignment="1">
      <alignment horizontal="center" vertical="top" wrapText="1"/>
    </xf>
    <xf numFmtId="2" fontId="70" fillId="3" borderId="96" xfId="0" applyNumberFormat="1" applyFont="1" applyFill="1" applyBorder="1" applyAlignment="1">
      <alignment horizontal="center" vertical="top"/>
    </xf>
    <xf numFmtId="1" fontId="70" fillId="3" borderId="96" xfId="0" applyNumberFormat="1" applyFont="1" applyFill="1" applyBorder="1" applyAlignment="1">
      <alignment horizontal="center" vertical="top"/>
    </xf>
    <xf numFmtId="1" fontId="70" fillId="3" borderId="128" xfId="0" applyNumberFormat="1" applyFont="1" applyFill="1" applyBorder="1" applyAlignment="1">
      <alignment horizontal="center" vertical="top"/>
    </xf>
    <xf numFmtId="2" fontId="70" fillId="3" borderId="128" xfId="0" applyNumberFormat="1" applyFont="1" applyFill="1" applyBorder="1" applyAlignment="1">
      <alignment horizontal="center" vertical="top"/>
    </xf>
    <xf numFmtId="1" fontId="70" fillId="3" borderId="128" xfId="0" applyNumberFormat="1" applyFont="1" applyFill="1" applyBorder="1" applyAlignment="1">
      <alignment horizontal="center" vertical="top" wrapText="1"/>
    </xf>
    <xf numFmtId="2" fontId="70" fillId="3" borderId="128" xfId="0" applyNumberFormat="1" applyFont="1" applyFill="1" applyBorder="1" applyAlignment="1">
      <alignment horizontal="center" vertical="top" wrapText="1"/>
    </xf>
    <xf numFmtId="10" fontId="70" fillId="3" borderId="128" xfId="2" applyNumberFormat="1" applyFont="1" applyFill="1" applyBorder="1" applyAlignment="1">
      <alignment horizontal="center" vertical="top"/>
    </xf>
    <xf numFmtId="2" fontId="70" fillId="3" borderId="128" xfId="0" quotePrefix="1" applyNumberFormat="1" applyFont="1" applyFill="1" applyBorder="1" applyAlignment="1">
      <alignment horizontal="center" vertical="top"/>
    </xf>
    <xf numFmtId="0" fontId="70" fillId="3" borderId="125" xfId="0" applyFont="1" applyFill="1" applyBorder="1" applyAlignment="1">
      <alignment horizontal="center" vertical="top" wrapText="1" readingOrder="1"/>
    </xf>
    <xf numFmtId="0" fontId="70" fillId="3" borderId="204" xfId="0" applyFont="1" applyFill="1" applyBorder="1" applyAlignment="1">
      <alignment horizontal="center" vertical="top" wrapText="1" readingOrder="1"/>
    </xf>
    <xf numFmtId="0" fontId="70" fillId="3" borderId="290" xfId="0" applyFont="1" applyFill="1" applyBorder="1" applyAlignment="1">
      <alignment horizontal="center" vertical="top" wrapText="1"/>
    </xf>
    <xf numFmtId="1" fontId="70" fillId="3" borderId="204" xfId="0" applyNumberFormat="1" applyFont="1" applyFill="1" applyBorder="1" applyAlignment="1">
      <alignment horizontal="center" vertical="top" wrapText="1"/>
    </xf>
    <xf numFmtId="1" fontId="70" fillId="3" borderId="87" xfId="0" applyNumberFormat="1" applyFont="1" applyFill="1" applyBorder="1" applyAlignment="1">
      <alignment horizontal="center" vertical="top" wrapText="1"/>
    </xf>
    <xf numFmtId="1" fontId="70" fillId="3" borderId="126" xfId="0" applyNumberFormat="1" applyFont="1" applyFill="1" applyBorder="1" applyAlignment="1">
      <alignment horizontal="center" vertical="top"/>
    </xf>
    <xf numFmtId="1" fontId="70" fillId="3" borderId="87" xfId="0" applyNumberFormat="1" applyFont="1" applyFill="1" applyBorder="1" applyAlignment="1">
      <alignment horizontal="center" vertical="top"/>
    </xf>
    <xf numFmtId="0" fontId="70" fillId="3" borderId="146" xfId="0" applyFont="1" applyFill="1" applyBorder="1" applyAlignment="1">
      <alignment horizontal="center" vertical="top" wrapText="1" readingOrder="1"/>
    </xf>
    <xf numFmtId="0" fontId="70" fillId="3" borderId="206" xfId="0" applyFont="1" applyFill="1" applyBorder="1" applyAlignment="1">
      <alignment horizontal="center" vertical="top" wrapText="1" readingOrder="1"/>
    </xf>
    <xf numFmtId="0" fontId="70" fillId="3" borderId="146" xfId="0" applyFont="1" applyFill="1" applyBorder="1" applyAlignment="1">
      <alignment horizontal="center" vertical="top"/>
    </xf>
    <xf numFmtId="0" fontId="70" fillId="3" borderId="291" xfId="0" applyFont="1" applyFill="1" applyBorder="1" applyAlignment="1">
      <alignment horizontal="center" vertical="top"/>
    </xf>
    <xf numFmtId="1" fontId="70" fillId="3" borderId="206" xfId="0" applyNumberFormat="1" applyFont="1" applyFill="1" applyBorder="1" applyAlignment="1">
      <alignment horizontal="center" vertical="top" wrapText="1"/>
    </xf>
    <xf numFmtId="1" fontId="70" fillId="3" borderId="192" xfId="0" applyNumberFormat="1" applyFont="1" applyFill="1" applyBorder="1" applyAlignment="1">
      <alignment horizontal="center" vertical="top" wrapText="1"/>
    </xf>
    <xf numFmtId="1" fontId="70" fillId="3" borderId="147" xfId="0" applyNumberFormat="1" applyFont="1" applyFill="1" applyBorder="1" applyAlignment="1">
      <alignment horizontal="center" vertical="top" wrapText="1"/>
    </xf>
    <xf numFmtId="1" fontId="70" fillId="3" borderId="192" xfId="0" applyNumberFormat="1" applyFont="1" applyFill="1" applyBorder="1" applyAlignment="1">
      <alignment horizontal="center" vertical="top"/>
    </xf>
    <xf numFmtId="2" fontId="70" fillId="3" borderId="111" xfId="0" applyNumberFormat="1" applyFont="1" applyFill="1" applyBorder="1" applyAlignment="1">
      <alignment horizontal="center" vertical="top"/>
    </xf>
    <xf numFmtId="2" fontId="70" fillId="3" borderId="93" xfId="0" applyNumberFormat="1" applyFont="1" applyFill="1" applyBorder="1" applyAlignment="1">
      <alignment horizontal="center" vertical="top"/>
    </xf>
    <xf numFmtId="2" fontId="70" fillId="3" borderId="148" xfId="0" applyNumberFormat="1" applyFont="1" applyFill="1" applyBorder="1" applyAlignment="1">
      <alignment horizontal="center" vertical="top"/>
    </xf>
    <xf numFmtId="2" fontId="70" fillId="3" borderId="84" xfId="0" applyNumberFormat="1" applyFont="1" applyFill="1" applyBorder="1" applyAlignment="1">
      <alignment horizontal="center" vertical="top"/>
    </xf>
    <xf numFmtId="2" fontId="70" fillId="3" borderId="93" xfId="0" quotePrefix="1" applyNumberFormat="1" applyFont="1" applyFill="1" applyBorder="1" applyAlignment="1">
      <alignment horizontal="center" vertical="top"/>
    </xf>
    <xf numFmtId="2" fontId="70" fillId="3" borderId="200" xfId="0" applyNumberFormat="1" applyFont="1" applyFill="1" applyBorder="1" applyAlignment="1">
      <alignment horizontal="left" vertical="top" wrapText="1"/>
    </xf>
    <xf numFmtId="2" fontId="70" fillId="3" borderId="200" xfId="0" applyNumberFormat="1" applyFont="1" applyFill="1" applyBorder="1" applyAlignment="1">
      <alignment horizontal="left" vertical="top"/>
    </xf>
    <xf numFmtId="2" fontId="70" fillId="3" borderId="116" xfId="0" applyNumberFormat="1" applyFont="1" applyFill="1" applyBorder="1" applyAlignment="1">
      <alignment horizontal="center" vertical="top"/>
    </xf>
    <xf numFmtId="2" fontId="70" fillId="3" borderId="99" xfId="0" applyNumberFormat="1" applyFont="1" applyFill="1" applyBorder="1" applyAlignment="1">
      <alignment vertical="top"/>
    </xf>
    <xf numFmtId="2" fontId="70" fillId="3" borderId="282" xfId="0" applyNumberFormat="1" applyFont="1" applyFill="1" applyBorder="1" applyAlignment="1">
      <alignment vertical="top"/>
    </xf>
    <xf numFmtId="2" fontId="70" fillId="3" borderId="90" xfId="0" applyNumberFormat="1" applyFont="1" applyFill="1" applyBorder="1" applyAlignment="1">
      <alignment vertical="top"/>
    </xf>
    <xf numFmtId="2" fontId="70" fillId="3" borderId="195" xfId="0" applyNumberFormat="1" applyFont="1" applyFill="1" applyBorder="1" applyAlignment="1">
      <alignment horizontal="center" vertical="top"/>
    </xf>
    <xf numFmtId="2" fontId="70" fillId="3" borderId="147" xfId="0" applyNumberFormat="1" applyFont="1" applyFill="1" applyBorder="1" applyAlignment="1">
      <alignment horizontal="center" vertical="top"/>
    </xf>
    <xf numFmtId="2" fontId="70" fillId="3" borderId="126" xfId="0" applyNumberFormat="1" applyFont="1" applyFill="1" applyBorder="1" applyAlignment="1">
      <alignment horizontal="center" vertical="top"/>
    </xf>
    <xf numFmtId="2" fontId="70" fillId="3" borderId="87" xfId="0" applyNumberFormat="1" applyFont="1" applyFill="1" applyBorder="1" applyAlignment="1">
      <alignment horizontal="center" vertical="top"/>
    </xf>
    <xf numFmtId="2" fontId="70" fillId="3" borderId="96" xfId="0" applyNumberFormat="1" applyFont="1" applyFill="1" applyBorder="1" applyAlignment="1">
      <alignment horizontal="left" vertical="top"/>
    </xf>
    <xf numFmtId="2" fontId="70" fillId="3" borderId="206" xfId="0" applyNumberFormat="1" applyFont="1" applyFill="1" applyBorder="1" applyAlignment="1">
      <alignment horizontal="left" vertical="top" wrapText="1"/>
    </xf>
    <xf numFmtId="2" fontId="70" fillId="3" borderId="192" xfId="0" applyNumberFormat="1" applyFont="1" applyFill="1" applyBorder="1" applyAlignment="1">
      <alignment horizontal="left" vertical="top"/>
    </xf>
    <xf numFmtId="2" fontId="70" fillId="3" borderId="204" xfId="0" applyNumberFormat="1" applyFont="1" applyFill="1" applyBorder="1" applyAlignment="1">
      <alignment horizontal="left" vertical="top"/>
    </xf>
    <xf numFmtId="2" fontId="70" fillId="3" borderId="87" xfId="0" applyNumberFormat="1" applyFont="1" applyFill="1" applyBorder="1" applyAlignment="1">
      <alignment horizontal="left" vertical="top"/>
    </xf>
    <xf numFmtId="0" fontId="70" fillId="0" borderId="292" xfId="0" applyFont="1" applyBorder="1" applyAlignment="1">
      <alignment horizontal="left" vertical="top" wrapText="1" readingOrder="1"/>
    </xf>
    <xf numFmtId="2" fontId="70" fillId="0" borderId="0" xfId="0" applyNumberFormat="1" applyFont="1" applyAlignment="1">
      <alignment horizontal="center" vertical="top"/>
    </xf>
    <xf numFmtId="2" fontId="70" fillId="3" borderId="87" xfId="0" applyNumberFormat="1" applyFont="1" applyFill="1" applyBorder="1" applyAlignment="1">
      <alignment horizontal="center" vertical="top" wrapText="1"/>
    </xf>
    <xf numFmtId="0" fontId="70" fillId="3" borderId="178" xfId="0" applyFont="1" applyFill="1" applyBorder="1" applyAlignment="1">
      <alignment horizontal="center" vertical="top" wrapText="1" readingOrder="1"/>
    </xf>
    <xf numFmtId="0" fontId="70" fillId="3" borderId="202" xfId="0" applyFont="1" applyFill="1" applyBorder="1" applyAlignment="1">
      <alignment horizontal="center" vertical="top" wrapText="1" readingOrder="1"/>
    </xf>
    <xf numFmtId="0" fontId="70" fillId="3" borderId="293" xfId="0" applyFont="1" applyFill="1" applyBorder="1" applyAlignment="1">
      <alignment horizontal="center" vertical="top" wrapText="1"/>
    </xf>
    <xf numFmtId="2" fontId="70" fillId="3" borderId="202" xfId="0" applyNumberFormat="1" applyFont="1" applyFill="1" applyBorder="1" applyAlignment="1">
      <alignment horizontal="center" vertical="top" wrapText="1"/>
    </xf>
    <xf numFmtId="2" fontId="70" fillId="3" borderId="190" xfId="0" applyNumberFormat="1" applyFont="1" applyFill="1" applyBorder="1" applyAlignment="1">
      <alignment horizontal="center" vertical="top" wrapText="1"/>
    </xf>
    <xf numFmtId="2" fontId="70" fillId="3" borderId="179" xfId="0" applyNumberFormat="1" applyFont="1" applyFill="1" applyBorder="1" applyAlignment="1">
      <alignment horizontal="center" vertical="top"/>
    </xf>
    <xf numFmtId="2" fontId="70" fillId="3" borderId="294" xfId="0" applyNumberFormat="1" applyFont="1" applyFill="1" applyBorder="1" applyAlignment="1">
      <alignment vertical="top"/>
    </xf>
    <xf numFmtId="2" fontId="70" fillId="3" borderId="202" xfId="0" applyNumberFormat="1" applyFont="1" applyFill="1" applyBorder="1" applyAlignment="1">
      <alignment horizontal="left" vertical="top"/>
    </xf>
    <xf numFmtId="2" fontId="70" fillId="3" borderId="190" xfId="0" applyNumberFormat="1" applyFont="1" applyFill="1" applyBorder="1" applyAlignment="1">
      <alignment horizontal="left" vertical="top"/>
    </xf>
    <xf numFmtId="2" fontId="70" fillId="3" borderId="180" xfId="0" applyNumberFormat="1" applyFont="1" applyFill="1" applyBorder="1" applyAlignment="1">
      <alignment horizontal="center" vertical="top"/>
    </xf>
    <xf numFmtId="0" fontId="70" fillId="3" borderId="290" xfId="0" applyFont="1" applyFill="1" applyBorder="1" applyAlignment="1">
      <alignment horizontal="center" vertical="top"/>
    </xf>
    <xf numFmtId="0" fontId="70" fillId="3" borderId="169" xfId="0" applyFont="1" applyFill="1" applyBorder="1" applyAlignment="1">
      <alignment horizontal="center" vertical="top" wrapText="1" readingOrder="1"/>
    </xf>
    <xf numFmtId="0" fontId="70" fillId="3" borderId="296" xfId="0" applyFont="1" applyFill="1" applyBorder="1" applyAlignment="1">
      <alignment horizontal="center" vertical="top" wrapText="1" readingOrder="1"/>
    </xf>
    <xf numFmtId="0" fontId="70" fillId="3" borderId="297" xfId="0" applyFont="1" applyFill="1" applyBorder="1" applyAlignment="1">
      <alignment horizontal="center" vertical="top" wrapText="1"/>
    </xf>
    <xf numFmtId="1" fontId="70" fillId="3" borderId="296" xfId="0" applyNumberFormat="1" applyFont="1" applyFill="1" applyBorder="1" applyAlignment="1">
      <alignment horizontal="center" vertical="top" wrapText="1"/>
    </xf>
    <xf numFmtId="1" fontId="70" fillId="3" borderId="170" xfId="0" applyNumberFormat="1" applyFont="1" applyFill="1" applyBorder="1" applyAlignment="1">
      <alignment horizontal="center" vertical="top"/>
    </xf>
    <xf numFmtId="1" fontId="70" fillId="3" borderId="298" xfId="0" applyNumberFormat="1" applyFont="1" applyFill="1" applyBorder="1" applyAlignment="1">
      <alignment horizontal="center" vertical="top"/>
    </xf>
    <xf numFmtId="2" fontId="70" fillId="3" borderId="299" xfId="0" applyNumberFormat="1" applyFont="1" applyFill="1" applyBorder="1" applyAlignment="1">
      <alignment vertical="top"/>
    </xf>
    <xf numFmtId="2" fontId="70" fillId="3" borderId="296" xfId="0" applyNumberFormat="1" applyFont="1" applyFill="1" applyBorder="1" applyAlignment="1">
      <alignment horizontal="left" vertical="top"/>
    </xf>
    <xf numFmtId="2" fontId="70" fillId="3" borderId="298" xfId="0" applyNumberFormat="1" applyFont="1" applyFill="1" applyBorder="1" applyAlignment="1">
      <alignment horizontal="left" vertical="top"/>
    </xf>
    <xf numFmtId="2" fontId="70" fillId="3" borderId="170" xfId="0" applyNumberFormat="1" applyFont="1" applyFill="1" applyBorder="1" applyAlignment="1">
      <alignment horizontal="center" vertical="top"/>
    </xf>
    <xf numFmtId="2" fontId="70" fillId="3" borderId="171" xfId="0" applyNumberFormat="1" applyFont="1" applyFill="1" applyBorder="1" applyAlignment="1">
      <alignment horizontal="center" vertical="top"/>
    </xf>
    <xf numFmtId="1" fontId="70" fillId="3" borderId="190" xfId="0" applyNumberFormat="1" applyFont="1" applyFill="1" applyBorder="1" applyAlignment="1">
      <alignment horizontal="center" vertical="top"/>
    </xf>
    <xf numFmtId="0" fontId="70" fillId="3" borderId="297" xfId="0" applyFont="1" applyFill="1" applyBorder="1" applyAlignment="1">
      <alignment horizontal="center" vertical="top"/>
    </xf>
    <xf numFmtId="1" fontId="70" fillId="3" borderId="298" xfId="0" applyNumberFormat="1" applyFont="1" applyFill="1" applyBorder="1" applyAlignment="1">
      <alignment horizontal="center" vertical="top" wrapText="1"/>
    </xf>
    <xf numFmtId="0" fontId="70" fillId="3" borderId="293" xfId="0" applyFont="1" applyFill="1" applyBorder="1" applyAlignment="1">
      <alignment horizontal="center" vertical="top"/>
    </xf>
    <xf numFmtId="1" fontId="70" fillId="3" borderId="179" xfId="0" applyNumberFormat="1" applyFont="1" applyFill="1" applyBorder="1" applyAlignment="1">
      <alignment horizontal="center" vertical="top"/>
    </xf>
    <xf numFmtId="0" fontId="70" fillId="3" borderId="125" xfId="0" applyFont="1" applyFill="1" applyBorder="1" applyAlignment="1">
      <alignment horizontal="center" vertical="top"/>
    </xf>
    <xf numFmtId="2" fontId="70" fillId="3" borderId="204" xfId="0" applyNumberFormat="1" applyFont="1" applyFill="1" applyBorder="1" applyAlignment="1">
      <alignment horizontal="center" vertical="top" wrapText="1"/>
    </xf>
    <xf numFmtId="2" fontId="70" fillId="3" borderId="126" xfId="0" applyNumberFormat="1" applyFont="1" applyFill="1" applyBorder="1" applyAlignment="1">
      <alignment horizontal="center" vertical="top" wrapText="1"/>
    </xf>
    <xf numFmtId="2" fontId="70" fillId="3" borderId="179" xfId="0" applyNumberFormat="1" applyFont="1" applyFill="1" applyBorder="1" applyAlignment="1">
      <alignment horizontal="center" vertical="top" wrapText="1"/>
    </xf>
    <xf numFmtId="0" fontId="70" fillId="3" borderId="302" xfId="0" applyFont="1" applyFill="1" applyBorder="1" applyAlignment="1">
      <alignment horizontal="center" vertical="top" wrapText="1" readingOrder="1"/>
    </xf>
    <xf numFmtId="0" fontId="70" fillId="3" borderId="303" xfId="0" applyFont="1" applyFill="1" applyBorder="1" applyAlignment="1">
      <alignment horizontal="center" vertical="top" wrapText="1" readingOrder="1"/>
    </xf>
    <xf numFmtId="0" fontId="70" fillId="3" borderId="302" xfId="0" applyFont="1" applyFill="1" applyBorder="1" applyAlignment="1">
      <alignment horizontal="center" vertical="top"/>
    </xf>
    <xf numFmtId="0" fontId="70" fillId="3" borderId="304" xfId="0" applyFont="1" applyFill="1" applyBorder="1" applyAlignment="1">
      <alignment horizontal="center" vertical="top" wrapText="1"/>
    </xf>
    <xf numFmtId="2" fontId="70" fillId="3" borderId="303" xfId="0" applyNumberFormat="1" applyFont="1" applyFill="1" applyBorder="1" applyAlignment="1">
      <alignment horizontal="center" vertical="top" wrapText="1"/>
    </xf>
    <xf numFmtId="2" fontId="70" fillId="3" borderId="305" xfId="0" applyNumberFormat="1" applyFont="1" applyFill="1" applyBorder="1" applyAlignment="1">
      <alignment horizontal="center" vertical="top" wrapText="1"/>
    </xf>
    <xf numFmtId="2" fontId="70" fillId="3" borderId="306" xfId="0" applyNumberFormat="1" applyFont="1" applyFill="1" applyBorder="1" applyAlignment="1">
      <alignment horizontal="center" vertical="top" wrapText="1"/>
    </xf>
    <xf numFmtId="2" fontId="70" fillId="3" borderId="307" xfId="0" applyNumberFormat="1" applyFont="1" applyFill="1" applyBorder="1" applyAlignment="1">
      <alignment vertical="top"/>
    </xf>
    <xf numFmtId="2" fontId="70" fillId="3" borderId="303" xfId="0" applyNumberFormat="1" applyFont="1" applyFill="1" applyBorder="1" applyAlignment="1">
      <alignment horizontal="left" vertical="top"/>
    </xf>
    <xf numFmtId="2" fontId="70" fillId="3" borderId="305" xfId="0" applyNumberFormat="1" applyFont="1" applyFill="1" applyBorder="1" applyAlignment="1">
      <alignment horizontal="left" vertical="top"/>
    </xf>
    <xf numFmtId="2" fontId="70" fillId="3" borderId="306" xfId="0" applyNumberFormat="1" applyFont="1" applyFill="1" applyBorder="1" applyAlignment="1">
      <alignment horizontal="center" vertical="top"/>
    </xf>
    <xf numFmtId="2" fontId="70" fillId="3" borderId="295" xfId="0" applyNumberFormat="1" applyFont="1" applyFill="1" applyBorder="1" applyAlignment="1">
      <alignment horizontal="center" vertical="top"/>
    </xf>
    <xf numFmtId="3" fontId="70" fillId="3" borderId="288" xfId="0" applyNumberFormat="1" applyFont="1" applyFill="1" applyBorder="1" applyAlignment="1">
      <alignment horizontal="center" vertical="top" wrapText="1"/>
    </xf>
    <xf numFmtId="3" fontId="70" fillId="3" borderId="200" xfId="0" applyNumberFormat="1" applyFont="1" applyFill="1" applyBorder="1" applyAlignment="1">
      <alignment horizontal="center" vertical="top" wrapText="1"/>
    </xf>
    <xf numFmtId="3" fontId="70" fillId="3" borderId="96" xfId="0" applyNumberFormat="1" applyFont="1" applyFill="1" applyBorder="1" applyAlignment="1">
      <alignment horizontal="center" vertical="top" wrapText="1"/>
    </xf>
    <xf numFmtId="3" fontId="70" fillId="3" borderId="128" xfId="0" applyNumberFormat="1" applyFont="1" applyFill="1" applyBorder="1" applyAlignment="1">
      <alignment horizontal="center" vertical="top"/>
    </xf>
    <xf numFmtId="3" fontId="70" fillId="3" borderId="96" xfId="0" applyNumberFormat="1" applyFont="1" applyFill="1" applyBorder="1" applyAlignment="1">
      <alignment horizontal="center" vertical="top"/>
    </xf>
    <xf numFmtId="1" fontId="70" fillId="3" borderId="293" xfId="0" applyNumberFormat="1" applyFont="1" applyFill="1" applyBorder="1" applyAlignment="1">
      <alignment horizontal="center" vertical="top" wrapText="1"/>
    </xf>
    <xf numFmtId="3" fontId="70" fillId="3" borderId="297" xfId="0" applyNumberFormat="1" applyFont="1" applyFill="1" applyBorder="1" applyAlignment="1">
      <alignment horizontal="center" vertical="top" wrapText="1"/>
    </xf>
    <xf numFmtId="3" fontId="70" fillId="3" borderId="296" xfId="0" applyNumberFormat="1" applyFont="1" applyFill="1" applyBorder="1" applyAlignment="1">
      <alignment horizontal="center" vertical="top" wrapText="1"/>
    </xf>
    <xf numFmtId="3" fontId="70" fillId="3" borderId="298" xfId="0" applyNumberFormat="1" applyFont="1" applyFill="1" applyBorder="1" applyAlignment="1">
      <alignment horizontal="center" vertical="top" wrapText="1"/>
    </xf>
    <xf numFmtId="3" fontId="70" fillId="3" borderId="170" xfId="0" applyNumberFormat="1" applyFont="1" applyFill="1" applyBorder="1" applyAlignment="1">
      <alignment horizontal="center" vertical="top"/>
    </xf>
    <xf numFmtId="3" fontId="70" fillId="3" borderId="298" xfId="0" applyNumberFormat="1" applyFont="1" applyFill="1" applyBorder="1" applyAlignment="1">
      <alignment horizontal="center" vertical="top"/>
    </xf>
    <xf numFmtId="3" fontId="70" fillId="3" borderId="293" xfId="0" applyNumberFormat="1" applyFont="1" applyFill="1" applyBorder="1" applyAlignment="1">
      <alignment horizontal="center" vertical="top" wrapText="1"/>
    </xf>
    <xf numFmtId="3" fontId="70" fillId="3" borderId="202" xfId="0" applyNumberFormat="1" applyFont="1" applyFill="1" applyBorder="1" applyAlignment="1">
      <alignment horizontal="center" vertical="top" wrapText="1"/>
    </xf>
    <xf numFmtId="3" fontId="70" fillId="3" borderId="190" xfId="0" applyNumberFormat="1" applyFont="1" applyFill="1" applyBorder="1" applyAlignment="1">
      <alignment horizontal="center" vertical="top" wrapText="1"/>
    </xf>
    <xf numFmtId="3" fontId="70" fillId="3" borderId="179" xfId="0" applyNumberFormat="1" applyFont="1" applyFill="1" applyBorder="1" applyAlignment="1">
      <alignment horizontal="center" vertical="top"/>
    </xf>
    <xf numFmtId="3" fontId="70" fillId="3" borderId="190" xfId="0" applyNumberFormat="1" applyFont="1" applyFill="1" applyBorder="1" applyAlignment="1">
      <alignment horizontal="center" vertical="top"/>
    </xf>
    <xf numFmtId="0" fontId="70" fillId="19" borderId="288" xfId="0" applyFont="1" applyFill="1" applyBorder="1" applyAlignment="1">
      <alignment horizontal="center" vertical="top"/>
    </xf>
    <xf numFmtId="0" fontId="70" fillId="2" borderId="308" xfId="0" applyFont="1" applyFill="1" applyBorder="1" applyAlignment="1">
      <alignment horizontal="center" vertical="top" wrapText="1" readingOrder="1"/>
    </xf>
    <xf numFmtId="2" fontId="70" fillId="3" borderId="206" xfId="0" applyNumberFormat="1" applyFont="1" applyFill="1" applyBorder="1" applyAlignment="1">
      <alignment horizontal="left" vertical="top"/>
    </xf>
    <xf numFmtId="0" fontId="70" fillId="3" borderId="152" xfId="0" applyFont="1" applyFill="1" applyBorder="1" applyAlignment="1">
      <alignment horizontal="center" vertical="top" wrapText="1" readingOrder="1"/>
    </xf>
    <xf numFmtId="0" fontId="70" fillId="3" borderId="213" xfId="0" applyFont="1" applyFill="1" applyBorder="1" applyAlignment="1">
      <alignment horizontal="center" vertical="top" wrapText="1" readingOrder="1"/>
    </xf>
    <xf numFmtId="2" fontId="70" fillId="3" borderId="102" xfId="0" applyNumberFormat="1" applyFont="1" applyFill="1" applyBorder="1" applyAlignment="1">
      <alignment horizontal="center" vertical="top"/>
    </xf>
    <xf numFmtId="0" fontId="70" fillId="3" borderId="310" xfId="0" applyFont="1" applyFill="1" applyBorder="1" applyAlignment="1">
      <alignment horizontal="center" vertical="top"/>
    </xf>
    <xf numFmtId="169" fontId="70" fillId="3" borderId="293" xfId="0" applyNumberFormat="1" applyFont="1" applyFill="1" applyBorder="1" applyAlignment="1">
      <alignment horizontal="center" vertical="top" wrapText="1"/>
    </xf>
    <xf numFmtId="0" fontId="79" fillId="0" borderId="0" xfId="0" applyFont="1" applyAlignment="1">
      <alignment vertical="center"/>
    </xf>
    <xf numFmtId="0" fontId="80" fillId="10" borderId="0" xfId="0" applyFont="1" applyFill="1" applyAlignment="1">
      <alignment vertical="center"/>
    </xf>
    <xf numFmtId="0" fontId="80" fillId="10" borderId="43" xfId="0" applyFont="1" applyFill="1" applyBorder="1" applyAlignment="1">
      <alignment horizontal="center" vertical="center"/>
    </xf>
    <xf numFmtId="0" fontId="80" fillId="10" borderId="44" xfId="0" applyFont="1" applyFill="1" applyBorder="1" applyAlignment="1">
      <alignment horizontal="center" vertical="center"/>
    </xf>
    <xf numFmtId="0" fontId="79" fillId="0" borderId="40" xfId="0" applyFont="1" applyBorder="1" applyAlignment="1">
      <alignment horizontal="left" vertical="center"/>
    </xf>
    <xf numFmtId="0" fontId="81" fillId="0" borderId="45" xfId="4" applyFont="1" applyBorder="1" applyAlignment="1">
      <alignment horizontal="left" vertical="center"/>
    </xf>
    <xf numFmtId="0" fontId="81" fillId="0" borderId="46" xfId="4" applyFont="1" applyBorder="1" applyAlignment="1">
      <alignment horizontal="left" vertical="center"/>
    </xf>
    <xf numFmtId="0" fontId="79" fillId="0" borderId="41" xfId="0" applyFont="1" applyBorder="1" applyAlignment="1">
      <alignment horizontal="left" vertical="center"/>
    </xf>
    <xf numFmtId="0" fontId="81" fillId="0" borderId="47" xfId="4" applyFont="1" applyBorder="1" applyAlignment="1">
      <alignment horizontal="left" vertical="center"/>
    </xf>
    <xf numFmtId="0" fontId="81" fillId="0" borderId="48" xfId="4" applyFont="1" applyBorder="1" applyAlignment="1">
      <alignment horizontal="left" vertical="center"/>
    </xf>
    <xf numFmtId="0" fontId="81" fillId="0" borderId="47" xfId="4" applyFont="1" applyFill="1" applyBorder="1" applyAlignment="1">
      <alignment horizontal="left" vertical="center"/>
    </xf>
    <xf numFmtId="0" fontId="81" fillId="0" borderId="48" xfId="4" applyFont="1" applyFill="1" applyBorder="1" applyAlignment="1">
      <alignment horizontal="left" vertical="center"/>
    </xf>
    <xf numFmtId="0" fontId="79" fillId="0" borderId="42" xfId="0" applyFont="1" applyBorder="1" applyAlignment="1">
      <alignment horizontal="left" vertical="center"/>
    </xf>
    <xf numFmtId="0" fontId="81" fillId="0" borderId="49" xfId="4" applyFont="1" applyFill="1" applyBorder="1" applyAlignment="1">
      <alignment horizontal="left" vertical="center"/>
    </xf>
    <xf numFmtId="0" fontId="79" fillId="8" borderId="50" xfId="0" applyFont="1" applyFill="1" applyBorder="1" applyAlignment="1">
      <alignment vertical="center"/>
    </xf>
    <xf numFmtId="1" fontId="82" fillId="3" borderId="293" xfId="0" applyNumberFormat="1" applyFont="1" applyFill="1" applyBorder="1" applyAlignment="1">
      <alignment horizontal="center" vertical="top" wrapText="1"/>
    </xf>
    <xf numFmtId="1" fontId="59" fillId="2" borderId="79" xfId="0" applyNumberFormat="1" applyFont="1" applyFill="1" applyBorder="1" applyAlignment="1" applyProtection="1">
      <alignment horizontal="center" vertical="center" wrapText="1" readingOrder="1"/>
      <protection locked="0"/>
    </xf>
    <xf numFmtId="0" fontId="59" fillId="2" borderId="80" xfId="0" applyFont="1" applyFill="1" applyBorder="1" applyAlignment="1" applyProtection="1">
      <alignment horizontal="center" vertical="center" wrapText="1" readingOrder="1"/>
      <protection locked="0"/>
    </xf>
    <xf numFmtId="1" fontId="59" fillId="2" borderId="81" xfId="0" applyNumberFormat="1" applyFont="1" applyFill="1" applyBorder="1" applyAlignment="1" applyProtection="1">
      <alignment horizontal="center" vertical="center" wrapText="1" readingOrder="1"/>
      <protection locked="0"/>
    </xf>
    <xf numFmtId="0" fontId="59" fillId="2" borderId="8" xfId="0" applyFont="1" applyFill="1" applyBorder="1" applyAlignment="1" applyProtection="1">
      <alignment horizontal="center" vertical="center" wrapText="1" readingOrder="1"/>
      <protection locked="0"/>
    </xf>
    <xf numFmtId="0" fontId="59" fillId="2" borderId="79" xfId="0" applyFont="1" applyFill="1" applyBorder="1" applyAlignment="1" applyProtection="1">
      <alignment horizontal="center" vertical="center" wrapText="1" readingOrder="1"/>
      <protection locked="0"/>
    </xf>
    <xf numFmtId="0" fontId="59" fillId="2" borderId="34" xfId="0" applyFont="1" applyFill="1" applyBorder="1" applyAlignment="1" applyProtection="1">
      <alignment horizontal="center" vertical="center" wrapText="1" readingOrder="1"/>
      <protection locked="0"/>
    </xf>
    <xf numFmtId="0" fontId="59" fillId="2" borderId="35" xfId="0" applyFont="1" applyFill="1" applyBorder="1" applyAlignment="1" applyProtection="1">
      <alignment horizontal="center" vertical="center" wrapText="1" readingOrder="1"/>
      <protection locked="0"/>
    </xf>
    <xf numFmtId="0" fontId="58" fillId="0" borderId="109" xfId="0" applyFont="1" applyBorder="1" applyAlignment="1" applyProtection="1">
      <alignment horizontal="center" vertical="top"/>
      <protection locked="0"/>
    </xf>
    <xf numFmtId="0" fontId="60" fillId="0" borderId="112" xfId="0" applyFont="1" applyBorder="1" applyAlignment="1" applyProtection="1">
      <alignment horizontal="center" vertical="top"/>
      <protection locked="0"/>
    </xf>
    <xf numFmtId="0" fontId="60" fillId="0" borderId="113" xfId="0" applyFont="1" applyBorder="1" applyAlignment="1" applyProtection="1">
      <alignment horizontal="center" vertical="top"/>
      <protection locked="0"/>
    </xf>
    <xf numFmtId="0" fontId="60" fillId="0" borderId="114" xfId="0" applyFont="1" applyBorder="1" applyAlignment="1" applyProtection="1">
      <alignment horizontal="center" vertical="top"/>
      <protection locked="0"/>
    </xf>
    <xf numFmtId="0" fontId="60" fillId="0" borderId="109" xfId="0" applyFont="1" applyBorder="1" applyAlignment="1" applyProtection="1">
      <alignment vertical="top"/>
      <protection locked="0"/>
    </xf>
    <xf numFmtId="0" fontId="60" fillId="0" borderId="110" xfId="0" applyFont="1" applyBorder="1" applyAlignment="1" applyProtection="1">
      <alignment vertical="top"/>
      <protection locked="0"/>
    </xf>
    <xf numFmtId="0" fontId="60" fillId="0" borderId="110" xfId="0" applyFont="1" applyBorder="1" applyAlignment="1" applyProtection="1">
      <alignment horizontal="center" vertical="top"/>
      <protection locked="0"/>
    </xf>
    <xf numFmtId="0" fontId="60" fillId="0" borderId="111" xfId="0" applyFont="1" applyBorder="1" applyAlignment="1" applyProtection="1">
      <alignment horizontal="center" vertical="top"/>
      <protection locked="0"/>
    </xf>
    <xf numFmtId="0" fontId="58" fillId="0" borderId="91" xfId="0" applyFont="1" applyBorder="1" applyAlignment="1" applyProtection="1">
      <alignment horizontal="center" vertical="top"/>
      <protection locked="0"/>
    </xf>
    <xf numFmtId="0" fontId="60" fillId="0" borderId="96" xfId="0" applyFont="1" applyBorder="1" applyAlignment="1" applyProtection="1">
      <alignment horizontal="center" vertical="top"/>
      <protection locked="0"/>
    </xf>
    <xf numFmtId="0" fontId="60" fillId="0" borderId="97" xfId="0" applyFont="1" applyBorder="1" applyAlignment="1" applyProtection="1">
      <alignment horizontal="center" vertical="top"/>
      <protection locked="0"/>
    </xf>
    <xf numFmtId="0" fontId="60" fillId="0" borderId="98" xfId="0" applyFont="1" applyBorder="1" applyAlignment="1" applyProtection="1">
      <alignment horizontal="center" vertical="top"/>
      <protection locked="0"/>
    </xf>
    <xf numFmtId="0" fontId="60" fillId="0" borderId="91" xfId="0" applyFont="1" applyBorder="1" applyAlignment="1" applyProtection="1">
      <alignment vertical="top"/>
      <protection locked="0"/>
    </xf>
    <xf numFmtId="0" fontId="60" fillId="0" borderId="92" xfId="0" applyFont="1" applyBorder="1" applyAlignment="1" applyProtection="1">
      <alignment vertical="top"/>
      <protection locked="0"/>
    </xf>
    <xf numFmtId="0" fontId="60" fillId="0" borderId="92" xfId="0" applyFont="1" applyBorder="1" applyAlignment="1" applyProtection="1">
      <alignment horizontal="center" vertical="top"/>
      <protection locked="0"/>
    </xf>
    <xf numFmtId="0" fontId="60" fillId="0" borderId="93" xfId="0" applyFont="1" applyBorder="1" applyAlignment="1" applyProtection="1">
      <alignment horizontal="center" vertical="top"/>
      <protection locked="0"/>
    </xf>
    <xf numFmtId="0" fontId="58" fillId="0" borderId="176" xfId="0" applyFont="1" applyBorder="1" applyAlignment="1" applyProtection="1">
      <alignment horizontal="center" vertical="top"/>
      <protection locked="0"/>
    </xf>
    <xf numFmtId="0" fontId="60" fillId="0" borderId="190" xfId="0" applyFont="1" applyBorder="1" applyAlignment="1" applyProtection="1">
      <alignment horizontal="center" vertical="top"/>
      <protection locked="0"/>
    </xf>
    <xf numFmtId="0" fontId="60" fillId="0" borderId="189" xfId="0" applyFont="1" applyBorder="1" applyAlignment="1" applyProtection="1">
      <alignment horizontal="center" vertical="top"/>
      <protection locked="0"/>
    </xf>
    <xf numFmtId="0" fontId="60" fillId="0" borderId="248" xfId="0" applyFont="1" applyBorder="1" applyAlignment="1" applyProtection="1">
      <alignment horizontal="center" vertical="top"/>
      <protection locked="0"/>
    </xf>
    <xf numFmtId="0" fontId="60" fillId="0" borderId="176" xfId="0" applyFont="1" applyBorder="1" applyAlignment="1" applyProtection="1">
      <alignment vertical="top"/>
      <protection locked="0"/>
    </xf>
    <xf numFmtId="0" fontId="60" fillId="0" borderId="177" xfId="0" applyFont="1" applyBorder="1" applyAlignment="1" applyProtection="1">
      <alignment vertical="top"/>
      <protection locked="0"/>
    </xf>
    <xf numFmtId="0" fontId="60" fillId="0" borderId="177" xfId="0" applyFont="1" applyBorder="1" applyAlignment="1" applyProtection="1">
      <alignment horizontal="center" vertical="top"/>
      <protection locked="0"/>
    </xf>
    <xf numFmtId="0" fontId="60" fillId="0" borderId="180" xfId="0" applyFont="1" applyBorder="1" applyAlignment="1" applyProtection="1">
      <alignment horizontal="center" vertical="top"/>
      <protection locked="0"/>
    </xf>
    <xf numFmtId="0" fontId="58" fillId="0" borderId="82" xfId="0" applyFont="1" applyBorder="1" applyAlignment="1" applyProtection="1">
      <alignment horizontal="center" vertical="top"/>
      <protection locked="0"/>
    </xf>
    <xf numFmtId="0" fontId="60" fillId="0" borderId="87" xfId="0" applyFont="1" applyBorder="1" applyAlignment="1" applyProtection="1">
      <alignment horizontal="center" vertical="top"/>
      <protection locked="0"/>
    </xf>
    <xf numFmtId="0" fontId="60" fillId="0" borderId="88" xfId="0" applyFont="1" applyBorder="1" applyAlignment="1" applyProtection="1">
      <alignment horizontal="center" vertical="top"/>
      <protection locked="0"/>
    </xf>
    <xf numFmtId="0" fontId="60" fillId="0" borderId="89" xfId="0" applyFont="1" applyBorder="1" applyAlignment="1" applyProtection="1">
      <alignment horizontal="center" vertical="top"/>
      <protection locked="0"/>
    </xf>
    <xf numFmtId="0" fontId="60" fillId="0" borderId="82" xfId="0" applyFont="1" applyBorder="1" applyAlignment="1" applyProtection="1">
      <alignment vertical="top"/>
      <protection locked="0"/>
    </xf>
    <xf numFmtId="0" fontId="60" fillId="0" borderId="83" xfId="0" applyFont="1" applyBorder="1" applyAlignment="1" applyProtection="1">
      <alignment vertical="top"/>
      <protection locked="0"/>
    </xf>
    <xf numFmtId="0" fontId="60" fillId="0" borderId="83" xfId="0" applyFont="1" applyBorder="1" applyAlignment="1" applyProtection="1">
      <alignment horizontal="center" vertical="top"/>
      <protection locked="0"/>
    </xf>
    <xf numFmtId="0" fontId="60" fillId="0" borderId="84" xfId="0" applyFont="1" applyBorder="1" applyAlignment="1" applyProtection="1">
      <alignment horizontal="center" vertical="top"/>
      <protection locked="0"/>
    </xf>
    <xf numFmtId="0" fontId="58" fillId="0" borderId="144" xfId="0" applyFont="1" applyBorder="1" applyAlignment="1" applyProtection="1">
      <alignment horizontal="center" vertical="top"/>
      <protection locked="0"/>
    </xf>
    <xf numFmtId="0" fontId="60" fillId="0" borderId="192" xfId="0" applyFont="1" applyBorder="1" applyAlignment="1" applyProtection="1">
      <alignment horizontal="center" vertical="top"/>
      <protection locked="0"/>
    </xf>
    <xf numFmtId="0" fontId="60" fillId="0" borderId="191" xfId="0" applyFont="1" applyBorder="1" applyAlignment="1" applyProtection="1">
      <alignment horizontal="center" vertical="top"/>
      <protection locked="0"/>
    </xf>
    <xf numFmtId="0" fontId="60" fillId="0" borderId="243" xfId="0" applyFont="1" applyBorder="1" applyAlignment="1" applyProtection="1">
      <alignment horizontal="center" vertical="top"/>
      <protection locked="0"/>
    </xf>
    <xf numFmtId="0" fontId="60" fillId="0" borderId="144" xfId="0" applyFont="1" applyBorder="1" applyAlignment="1" applyProtection="1">
      <alignment vertical="top"/>
      <protection locked="0"/>
    </xf>
    <xf numFmtId="0" fontId="60" fillId="0" borderId="145" xfId="0" applyFont="1" applyBorder="1" applyAlignment="1" applyProtection="1">
      <alignment vertical="top"/>
      <protection locked="0"/>
    </xf>
    <xf numFmtId="0" fontId="60" fillId="0" borderId="145" xfId="0" applyFont="1" applyBorder="1" applyAlignment="1" applyProtection="1">
      <alignment horizontal="center" vertical="top"/>
      <protection locked="0"/>
    </xf>
    <xf numFmtId="0" fontId="60" fillId="0" borderId="148" xfId="0" applyFont="1" applyBorder="1" applyAlignment="1" applyProtection="1">
      <alignment horizontal="center" vertical="top"/>
      <protection locked="0"/>
    </xf>
    <xf numFmtId="0" fontId="58" fillId="0" borderId="158" xfId="0" applyFont="1" applyBorder="1" applyAlignment="1" applyProtection="1">
      <alignment horizontal="center" vertical="top"/>
      <protection locked="0"/>
    </xf>
    <xf numFmtId="0" fontId="60" fillId="0" borderId="221" xfId="0" applyFont="1" applyBorder="1" applyAlignment="1" applyProtection="1">
      <alignment horizontal="center" vertical="top"/>
      <protection locked="0"/>
    </xf>
    <xf numFmtId="0" fontId="60" fillId="0" borderId="220" xfId="0" applyFont="1" applyBorder="1" applyAlignment="1" applyProtection="1">
      <alignment horizontal="center" vertical="top"/>
      <protection locked="0"/>
    </xf>
    <xf numFmtId="0" fontId="60" fillId="0" borderId="247" xfId="0" applyFont="1" applyBorder="1" applyAlignment="1" applyProtection="1">
      <alignment horizontal="center" vertical="top"/>
      <protection locked="0"/>
    </xf>
    <xf numFmtId="0" fontId="60" fillId="0" borderId="158" xfId="0" applyFont="1" applyBorder="1" applyAlignment="1" applyProtection="1">
      <alignment vertical="top"/>
      <protection locked="0"/>
    </xf>
    <xf numFmtId="0" fontId="60" fillId="0" borderId="159" xfId="0" applyFont="1" applyBorder="1" applyAlignment="1" applyProtection="1">
      <alignment vertical="top"/>
      <protection locked="0"/>
    </xf>
    <xf numFmtId="0" fontId="60" fillId="0" borderId="159" xfId="0" applyFont="1" applyBorder="1" applyAlignment="1" applyProtection="1">
      <alignment horizontal="center" vertical="top"/>
      <protection locked="0"/>
    </xf>
    <xf numFmtId="0" fontId="60" fillId="0" borderId="162" xfId="0" applyFont="1" applyBorder="1" applyAlignment="1" applyProtection="1">
      <alignment horizontal="center" vertical="top"/>
      <protection locked="0"/>
    </xf>
    <xf numFmtId="0" fontId="60" fillId="0" borderId="91" xfId="0" applyFont="1" applyBorder="1" applyAlignment="1" applyProtection="1">
      <alignment vertical="top" wrapText="1"/>
      <protection locked="0"/>
    </xf>
    <xf numFmtId="0" fontId="60" fillId="0" borderId="92" xfId="0" applyFont="1" applyBorder="1" applyAlignment="1" applyProtection="1">
      <alignment vertical="top" wrapText="1"/>
      <protection locked="0"/>
    </xf>
    <xf numFmtId="0" fontId="58" fillId="0" borderId="103" xfId="0" applyFont="1" applyBorder="1" applyAlignment="1" applyProtection="1">
      <alignment horizontal="center" vertical="top"/>
      <protection locked="0"/>
    </xf>
    <xf numFmtId="0" fontId="60" fillId="0" borderId="105" xfId="0" applyFont="1" applyBorder="1" applyAlignment="1" applyProtection="1">
      <alignment horizontal="center" vertical="top"/>
      <protection locked="0"/>
    </xf>
    <xf numFmtId="0" fontId="60" fillId="0" borderId="106" xfId="0" applyFont="1" applyBorder="1" applyAlignment="1" applyProtection="1">
      <alignment horizontal="center" vertical="top"/>
      <protection locked="0"/>
    </xf>
    <xf numFmtId="0" fontId="60" fillId="0" borderId="107" xfId="0" applyFont="1" applyBorder="1" applyAlignment="1" applyProtection="1">
      <alignment horizontal="center" vertical="top"/>
      <protection locked="0"/>
    </xf>
    <xf numFmtId="0" fontId="60" fillId="0" borderId="103" xfId="0" applyFont="1" applyBorder="1" applyAlignment="1" applyProtection="1">
      <alignment vertical="top"/>
      <protection locked="0"/>
    </xf>
    <xf numFmtId="0" fontId="60" fillId="0" borderId="101" xfId="0" applyFont="1" applyBorder="1" applyAlignment="1" applyProtection="1">
      <alignment vertical="top"/>
      <protection locked="0"/>
    </xf>
    <xf numFmtId="0" fontId="60" fillId="0" borderId="101" xfId="0" applyFont="1" applyBorder="1" applyAlignment="1" applyProtection="1">
      <alignment horizontal="center" vertical="top"/>
      <protection locked="0"/>
    </xf>
    <xf numFmtId="0" fontId="60" fillId="0" borderId="102" xfId="0" applyFont="1" applyBorder="1" applyAlignment="1" applyProtection="1">
      <alignment horizontal="center" vertical="top"/>
      <protection locked="0"/>
    </xf>
    <xf numFmtId="0" fontId="60" fillId="0" borderId="176" xfId="0" applyFont="1" applyBorder="1" applyAlignment="1" applyProtection="1">
      <alignment vertical="top" wrapText="1"/>
      <protection locked="0"/>
    </xf>
    <xf numFmtId="0" fontId="60" fillId="0" borderId="177" xfId="0" applyFont="1" applyBorder="1" applyAlignment="1" applyProtection="1">
      <alignment vertical="top" wrapText="1"/>
      <protection locked="0"/>
    </xf>
    <xf numFmtId="0" fontId="61" fillId="22" borderId="91" xfId="0" applyFont="1" applyFill="1" applyBorder="1" applyAlignment="1" applyProtection="1">
      <alignment vertical="top" wrapText="1"/>
      <protection locked="0"/>
    </xf>
    <xf numFmtId="0" fontId="60" fillId="0" borderId="82" xfId="0" applyFont="1" applyBorder="1" applyAlignment="1" applyProtection="1">
      <alignment vertical="top" wrapText="1"/>
      <protection locked="0"/>
    </xf>
    <xf numFmtId="0" fontId="60" fillId="0" borderId="83" xfId="0" applyFont="1" applyBorder="1" applyAlignment="1" applyProtection="1">
      <alignment vertical="top" wrapText="1"/>
      <protection locked="0"/>
    </xf>
    <xf numFmtId="0" fontId="63" fillId="0" borderId="96" xfId="0" applyFont="1" applyBorder="1" applyAlignment="1" applyProtection="1">
      <alignment horizontal="center" vertical="top"/>
      <protection locked="0"/>
    </xf>
    <xf numFmtId="3" fontId="58" fillId="0" borderId="176" xfId="0" applyNumberFormat="1" applyFont="1" applyBorder="1" applyAlignment="1" applyProtection="1">
      <alignment horizontal="center" vertical="top"/>
      <protection locked="0"/>
    </xf>
    <xf numFmtId="3" fontId="60" fillId="0" borderId="190" xfId="0" applyNumberFormat="1" applyFont="1" applyBorder="1" applyAlignment="1" applyProtection="1">
      <alignment horizontal="center" vertical="top"/>
      <protection locked="0"/>
    </xf>
    <xf numFmtId="3" fontId="60" fillId="0" borderId="189" xfId="0" applyNumberFormat="1" applyFont="1" applyBorder="1" applyAlignment="1" applyProtection="1">
      <alignment horizontal="center" vertical="top"/>
      <protection locked="0"/>
    </xf>
    <xf numFmtId="3" fontId="60" fillId="0" borderId="248" xfId="0" applyNumberFormat="1" applyFont="1" applyBorder="1" applyAlignment="1" applyProtection="1">
      <alignment horizontal="center" vertical="top"/>
      <protection locked="0"/>
    </xf>
    <xf numFmtId="0" fontId="61" fillId="0" borderId="96" xfId="0" applyFont="1" applyBorder="1" applyAlignment="1" applyProtection="1">
      <alignment horizontal="center" vertical="top"/>
      <protection locked="0"/>
    </xf>
    <xf numFmtId="0" fontId="58" fillId="19" borderId="176" xfId="0" applyFont="1" applyFill="1" applyBorder="1" applyAlignment="1" applyProtection="1">
      <alignment horizontal="center" vertical="top"/>
      <protection locked="0"/>
    </xf>
    <xf numFmtId="0" fontId="60" fillId="19" borderId="190" xfId="0" applyFont="1" applyFill="1" applyBorder="1" applyAlignment="1" applyProtection="1">
      <alignment horizontal="center" vertical="top"/>
      <protection locked="0"/>
    </xf>
    <xf numFmtId="0" fontId="60" fillId="19" borderId="189" xfId="0" applyFont="1" applyFill="1" applyBorder="1" applyAlignment="1" applyProtection="1">
      <alignment horizontal="center" vertical="top"/>
      <protection locked="0"/>
    </xf>
    <xf numFmtId="0" fontId="60" fillId="19" borderId="248" xfId="0" applyFont="1" applyFill="1" applyBorder="1" applyAlignment="1" applyProtection="1">
      <alignment horizontal="center" vertical="top"/>
      <protection locked="0"/>
    </xf>
    <xf numFmtId="0" fontId="60" fillId="19" borderId="176" xfId="0" applyFont="1" applyFill="1" applyBorder="1" applyAlignment="1" applyProtection="1">
      <alignment vertical="top"/>
      <protection locked="0"/>
    </xf>
    <xf numFmtId="0" fontId="60" fillId="19" borderId="177" xfId="0" applyFont="1" applyFill="1" applyBorder="1" applyAlignment="1" applyProtection="1">
      <alignment vertical="top"/>
      <protection locked="0"/>
    </xf>
    <xf numFmtId="0" fontId="60" fillId="19" borderId="177" xfId="0" applyFont="1" applyFill="1" applyBorder="1" applyAlignment="1" applyProtection="1">
      <alignment horizontal="center" vertical="top"/>
      <protection locked="0"/>
    </xf>
    <xf numFmtId="0" fontId="60" fillId="19" borderId="180" xfId="0" applyFont="1" applyFill="1" applyBorder="1" applyAlignment="1" applyProtection="1">
      <alignment horizontal="center" vertical="top"/>
      <protection locked="0"/>
    </xf>
    <xf numFmtId="0" fontId="58" fillId="0" borderId="100" xfId="0" applyFont="1" applyBorder="1" applyAlignment="1" applyProtection="1">
      <alignment horizontal="center" vertical="top"/>
      <protection locked="0"/>
    </xf>
    <xf numFmtId="0" fontId="60" fillId="0" borderId="117" xfId="0" applyFont="1" applyBorder="1" applyAlignment="1" applyProtection="1">
      <alignment horizontal="center" vertical="top"/>
      <protection locked="0"/>
    </xf>
    <xf numFmtId="0" fontId="60" fillId="0" borderId="118" xfId="0" applyFont="1" applyBorder="1" applyAlignment="1" applyProtection="1">
      <alignment horizontal="center" vertical="top"/>
      <protection locked="0"/>
    </xf>
    <xf numFmtId="0" fontId="60" fillId="0" borderId="119" xfId="0" applyFont="1" applyBorder="1" applyAlignment="1" applyProtection="1">
      <alignment horizontal="center" vertical="top"/>
      <protection locked="0"/>
    </xf>
    <xf numFmtId="0" fontId="60" fillId="0" borderId="100" xfId="0" applyFont="1" applyBorder="1" applyAlignment="1" applyProtection="1">
      <alignment vertical="top"/>
      <protection locked="0"/>
    </xf>
    <xf numFmtId="0" fontId="60" fillId="0" borderId="115" xfId="0" applyFont="1" applyBorder="1" applyAlignment="1" applyProtection="1">
      <alignment vertical="top"/>
      <protection locked="0"/>
    </xf>
    <xf numFmtId="0" fontId="60" fillId="0" borderId="115" xfId="0" applyFont="1" applyBorder="1" applyAlignment="1" applyProtection="1">
      <alignment horizontal="center" vertical="top"/>
      <protection locked="0"/>
    </xf>
    <xf numFmtId="0" fontId="60" fillId="0" borderId="116" xfId="0" applyFont="1" applyBorder="1" applyAlignment="1" applyProtection="1">
      <alignment horizontal="center" vertical="top"/>
      <protection locked="0"/>
    </xf>
    <xf numFmtId="0" fontId="60" fillId="0" borderId="0" xfId="0" applyFont="1" applyAlignment="1" applyProtection="1">
      <alignment horizontal="center" vertical="top"/>
      <protection locked="0"/>
    </xf>
    <xf numFmtId="0" fontId="60" fillId="0" borderId="0" xfId="0" applyFont="1" applyAlignment="1" applyProtection="1">
      <alignment vertical="top"/>
      <protection locked="0"/>
    </xf>
    <xf numFmtId="1" fontId="60" fillId="0" borderId="0" xfId="0" applyNumberFormat="1" applyFont="1" applyAlignment="1" applyProtection="1">
      <alignment horizontal="center" vertical="top"/>
      <protection locked="0"/>
    </xf>
    <xf numFmtId="0" fontId="60" fillId="3" borderId="0" xfId="0" applyFont="1" applyFill="1" applyAlignment="1" applyProtection="1">
      <alignment horizontal="center" vertical="top"/>
      <protection locked="0"/>
    </xf>
    <xf numFmtId="0" fontId="53" fillId="0" borderId="0" xfId="0" applyFont="1" applyAlignment="1" applyProtection="1">
      <alignment horizontal="center" vertical="top"/>
      <protection locked="0"/>
    </xf>
    <xf numFmtId="0" fontId="0" fillId="0" borderId="0" xfId="0" applyProtection="1">
      <protection locked="0"/>
    </xf>
    <xf numFmtId="1" fontId="53" fillId="0" borderId="0" xfId="0" applyNumberFormat="1" applyFont="1" applyAlignment="1" applyProtection="1">
      <alignment horizontal="center" vertical="top"/>
      <protection locked="0"/>
    </xf>
    <xf numFmtId="0" fontId="53" fillId="3" borderId="0" xfId="0" applyFont="1" applyFill="1" applyAlignment="1" applyProtection="1">
      <alignment horizontal="center" vertical="top"/>
      <protection locked="0"/>
    </xf>
    <xf numFmtId="0" fontId="53" fillId="0" borderId="0" xfId="0" applyFont="1" applyAlignment="1" applyProtection="1">
      <alignment vertical="top"/>
      <protection locked="0"/>
    </xf>
    <xf numFmtId="0" fontId="70" fillId="6" borderId="79" xfId="3" applyFont="1" applyFill="1" applyBorder="1" applyAlignment="1" applyProtection="1">
      <alignment horizontal="center" vertical="top" wrapText="1"/>
      <protection locked="0"/>
    </xf>
    <xf numFmtId="0" fontId="70" fillId="6" borderId="34" xfId="3" applyFont="1" applyFill="1" applyBorder="1" applyAlignment="1" applyProtection="1">
      <alignment horizontal="center" vertical="top" wrapText="1"/>
      <protection locked="0"/>
    </xf>
    <xf numFmtId="0" fontId="70" fillId="6" borderId="124" xfId="3" applyFont="1" applyFill="1" applyBorder="1" applyAlignment="1" applyProtection="1">
      <alignment horizontal="center" vertical="top" wrapText="1"/>
      <protection locked="0"/>
    </xf>
    <xf numFmtId="0" fontId="70" fillId="7" borderId="76" xfId="3" applyFont="1" applyFill="1" applyBorder="1" applyAlignment="1" applyProtection="1">
      <alignment horizontal="center" vertical="top" wrapText="1"/>
      <protection locked="0"/>
    </xf>
    <xf numFmtId="0" fontId="70" fillId="7" borderId="34" xfId="3" applyFont="1" applyFill="1" applyBorder="1" applyAlignment="1" applyProtection="1">
      <alignment horizontal="center" vertical="top" wrapText="1"/>
      <protection locked="0"/>
    </xf>
    <xf numFmtId="0" fontId="70" fillId="7" borderId="35" xfId="3" applyFont="1" applyFill="1" applyBorder="1" applyAlignment="1" applyProtection="1">
      <alignment horizontal="center" vertical="top" wrapText="1"/>
      <protection locked="0"/>
    </xf>
    <xf numFmtId="0" fontId="58" fillId="0" borderId="82" xfId="0" applyFont="1" applyBorder="1" applyAlignment="1" applyProtection="1">
      <alignment vertical="top"/>
      <protection locked="0"/>
    </xf>
    <xf numFmtId="0" fontId="58" fillId="0" borderId="83" xfId="0" applyFont="1" applyBorder="1" applyAlignment="1" applyProtection="1">
      <alignment vertical="top"/>
      <protection locked="0"/>
    </xf>
    <xf numFmtId="0" fontId="58" fillId="0" borderId="125" xfId="0" applyFont="1" applyBorder="1" applyAlignment="1" applyProtection="1">
      <alignment vertical="top"/>
      <protection locked="0"/>
    </xf>
    <xf numFmtId="0" fontId="58" fillId="0" borderId="126" xfId="0" applyFont="1" applyBorder="1" applyAlignment="1" applyProtection="1">
      <alignment vertical="top"/>
      <protection locked="0"/>
    </xf>
    <xf numFmtId="0" fontId="58" fillId="0" borderId="84" xfId="0" applyFont="1" applyBorder="1" applyAlignment="1" applyProtection="1">
      <alignment vertical="top"/>
      <protection locked="0"/>
    </xf>
    <xf numFmtId="0" fontId="58" fillId="0" borderId="91" xfId="0" applyFont="1" applyBorder="1" applyAlignment="1" applyProtection="1">
      <alignment vertical="top"/>
      <protection locked="0"/>
    </xf>
    <xf numFmtId="0" fontId="58" fillId="0" borderId="92" xfId="0" applyFont="1" applyBorder="1" applyAlignment="1" applyProtection="1">
      <alignment vertical="top"/>
      <protection locked="0"/>
    </xf>
    <xf numFmtId="0" fontId="58" fillId="0" borderId="127" xfId="0" applyFont="1" applyBorder="1" applyAlignment="1" applyProtection="1">
      <alignment vertical="top"/>
      <protection locked="0"/>
    </xf>
    <xf numFmtId="0" fontId="58" fillId="0" borderId="128" xfId="0" applyFont="1" applyBorder="1" applyAlignment="1" applyProtection="1">
      <alignment vertical="top"/>
      <protection locked="0"/>
    </xf>
    <xf numFmtId="0" fontId="58" fillId="0" borderId="93" xfId="0" applyFont="1" applyBorder="1" applyAlignment="1" applyProtection="1">
      <alignment vertical="top"/>
      <protection locked="0"/>
    </xf>
    <xf numFmtId="3" fontId="58" fillId="17" borderId="176" xfId="0" applyNumberFormat="1" applyFont="1" applyFill="1" applyBorder="1" applyAlignment="1" applyProtection="1">
      <alignment horizontal="center" vertical="top"/>
      <protection locked="0"/>
    </xf>
    <xf numFmtId="3" fontId="58" fillId="17" borderId="177" xfId="0" applyNumberFormat="1" applyFont="1" applyFill="1" applyBorder="1" applyAlignment="1" applyProtection="1">
      <alignment horizontal="center" vertical="top"/>
      <protection locked="0"/>
    </xf>
    <xf numFmtId="3" fontId="58" fillId="17" borderId="178" xfId="0" applyNumberFormat="1" applyFont="1" applyFill="1" applyBorder="1" applyAlignment="1" applyProtection="1">
      <alignment horizontal="center" vertical="top"/>
      <protection locked="0"/>
    </xf>
    <xf numFmtId="3" fontId="58" fillId="17" borderId="179" xfId="0" applyNumberFormat="1" applyFont="1" applyFill="1" applyBorder="1" applyAlignment="1" applyProtection="1">
      <alignment horizontal="center" vertical="top"/>
      <protection locked="0"/>
    </xf>
    <xf numFmtId="3" fontId="58" fillId="17" borderId="180" xfId="0" applyNumberFormat="1" applyFont="1" applyFill="1" applyBorder="1" applyAlignment="1" applyProtection="1">
      <alignment horizontal="center" vertical="top"/>
      <protection locked="0"/>
    </xf>
    <xf numFmtId="175" fontId="58" fillId="0" borderId="167" xfId="0" applyNumberFormat="1" applyFont="1" applyBorder="1" applyAlignment="1" applyProtection="1">
      <alignment vertical="top"/>
      <protection locked="0"/>
    </xf>
    <xf numFmtId="175" fontId="58" fillId="0" borderId="168" xfId="0" applyNumberFormat="1" applyFont="1" applyBorder="1" applyAlignment="1" applyProtection="1">
      <alignment vertical="top"/>
      <protection locked="0"/>
    </xf>
    <xf numFmtId="175" fontId="58" fillId="0" borderId="169" xfId="0" applyNumberFormat="1" applyFont="1" applyBorder="1" applyAlignment="1" applyProtection="1">
      <alignment vertical="top"/>
      <protection locked="0"/>
    </xf>
    <xf numFmtId="175" fontId="58" fillId="0" borderId="170" xfId="0" applyNumberFormat="1" applyFont="1" applyBorder="1" applyAlignment="1" applyProtection="1">
      <alignment vertical="top"/>
      <protection locked="0"/>
    </xf>
    <xf numFmtId="175" fontId="58" fillId="0" borderId="171" xfId="0" applyNumberFormat="1" applyFont="1" applyBorder="1" applyAlignment="1" applyProtection="1">
      <alignment vertical="top"/>
      <protection locked="0"/>
    </xf>
    <xf numFmtId="175" fontId="58" fillId="0" borderId="91" xfId="0" applyNumberFormat="1" applyFont="1" applyBorder="1" applyAlignment="1" applyProtection="1">
      <alignment vertical="top"/>
      <protection locked="0"/>
    </xf>
    <xf numFmtId="175" fontId="58" fillId="0" borderId="92" xfId="0" applyNumberFormat="1" applyFont="1" applyBorder="1" applyAlignment="1" applyProtection="1">
      <alignment vertical="top"/>
      <protection locked="0"/>
    </xf>
    <xf numFmtId="175" fontId="58" fillId="0" borderId="127" xfId="0" applyNumberFormat="1" applyFont="1" applyBorder="1" applyAlignment="1" applyProtection="1">
      <alignment vertical="top"/>
      <protection locked="0"/>
    </xf>
    <xf numFmtId="175" fontId="58" fillId="0" borderId="128" xfId="0" applyNumberFormat="1" applyFont="1" applyBorder="1" applyAlignment="1" applyProtection="1">
      <alignment vertical="top"/>
      <protection locked="0"/>
    </xf>
    <xf numFmtId="175" fontId="58" fillId="0" borderId="93" xfId="0" applyNumberFormat="1" applyFont="1" applyBorder="1" applyAlignment="1" applyProtection="1">
      <alignment vertical="top"/>
      <protection locked="0"/>
    </xf>
    <xf numFmtId="175" fontId="58" fillId="0" borderId="144" xfId="0" applyNumberFormat="1" applyFont="1" applyBorder="1" applyAlignment="1" applyProtection="1">
      <alignment vertical="top"/>
      <protection locked="0"/>
    </xf>
    <xf numFmtId="175" fontId="58" fillId="0" borderId="145" xfId="0" applyNumberFormat="1" applyFont="1" applyBorder="1" applyAlignment="1" applyProtection="1">
      <alignment vertical="top"/>
      <protection locked="0"/>
    </xf>
    <xf numFmtId="175" fontId="58" fillId="0" borderId="146" xfId="0" applyNumberFormat="1" applyFont="1" applyBorder="1" applyAlignment="1" applyProtection="1">
      <alignment vertical="top"/>
      <protection locked="0"/>
    </xf>
    <xf numFmtId="175" fontId="58" fillId="0" borderId="147" xfId="0" applyNumberFormat="1" applyFont="1" applyBorder="1" applyAlignment="1" applyProtection="1">
      <alignment vertical="top"/>
      <protection locked="0"/>
    </xf>
    <xf numFmtId="175" fontId="58" fillId="0" borderId="148" xfId="0" applyNumberFormat="1" applyFont="1" applyBorder="1" applyAlignment="1" applyProtection="1">
      <alignment vertical="top"/>
      <protection locked="0"/>
    </xf>
    <xf numFmtId="0" fontId="58" fillId="25" borderId="92" xfId="0" applyFont="1" applyFill="1" applyBorder="1" applyAlignment="1" applyProtection="1">
      <alignment vertical="top"/>
      <protection locked="0"/>
    </xf>
    <xf numFmtId="175" fontId="58" fillId="25" borderId="146" xfId="0" applyNumberFormat="1" applyFont="1" applyFill="1" applyBorder="1" applyAlignment="1" applyProtection="1">
      <alignment vertical="top"/>
      <protection locked="0"/>
    </xf>
    <xf numFmtId="164" fontId="58" fillId="0" borderId="91" xfId="0" applyNumberFormat="1" applyFont="1" applyBorder="1" applyAlignment="1" applyProtection="1">
      <alignment vertical="top"/>
      <protection locked="0"/>
    </xf>
    <xf numFmtId="164" fontId="58" fillId="0" borderId="92" xfId="0" applyNumberFormat="1" applyFont="1" applyBorder="1" applyAlignment="1" applyProtection="1">
      <alignment vertical="top"/>
      <protection locked="0"/>
    </xf>
    <xf numFmtId="164" fontId="58" fillId="0" borderId="127" xfId="0" applyNumberFormat="1" applyFont="1" applyBorder="1" applyAlignment="1" applyProtection="1">
      <alignment vertical="top"/>
      <protection locked="0"/>
    </xf>
    <xf numFmtId="164" fontId="58" fillId="25" borderId="128" xfId="0" applyNumberFormat="1" applyFont="1" applyFill="1" applyBorder="1" applyAlignment="1" applyProtection="1">
      <alignment vertical="top"/>
      <protection locked="0"/>
    </xf>
    <xf numFmtId="164" fontId="58" fillId="0" borderId="93" xfId="0" applyNumberFormat="1" applyFont="1" applyBorder="1" applyAlignment="1" applyProtection="1">
      <alignment vertical="top"/>
      <protection locked="0"/>
    </xf>
    <xf numFmtId="0" fontId="58" fillId="0" borderId="103" xfId="0" applyFont="1" applyBorder="1" applyAlignment="1" applyProtection="1">
      <alignment vertical="top"/>
      <protection locked="0"/>
    </xf>
    <xf numFmtId="0" fontId="58" fillId="0" borderId="101" xfId="0" applyFont="1" applyBorder="1" applyAlignment="1" applyProtection="1">
      <alignment vertical="top"/>
      <protection locked="0"/>
    </xf>
    <xf numFmtId="0" fontId="58" fillId="25" borderId="101" xfId="0" applyFont="1" applyFill="1" applyBorder="1" applyAlignment="1" applyProtection="1">
      <alignment vertical="top"/>
      <protection locked="0"/>
    </xf>
    <xf numFmtId="0" fontId="58" fillId="0" borderId="152" xfId="0" applyFont="1" applyBorder="1" applyAlignment="1" applyProtection="1">
      <alignment vertical="top"/>
      <protection locked="0"/>
    </xf>
    <xf numFmtId="0" fontId="58" fillId="0" borderId="153" xfId="0" applyFont="1" applyBorder="1" applyAlignment="1" applyProtection="1">
      <alignment vertical="top"/>
      <protection locked="0"/>
    </xf>
    <xf numFmtId="0" fontId="58" fillId="0" borderId="102" xfId="0" applyFont="1" applyBorder="1" applyAlignment="1" applyProtection="1">
      <alignment vertical="top"/>
      <protection locked="0"/>
    </xf>
    <xf numFmtId="175" fontId="58" fillId="25" borderId="92" xfId="0" applyNumberFormat="1" applyFont="1" applyFill="1" applyBorder="1" applyAlignment="1" applyProtection="1">
      <alignment vertical="top"/>
      <protection locked="0"/>
    </xf>
    <xf numFmtId="0" fontId="58" fillId="25" borderId="91" xfId="0" applyFont="1" applyFill="1" applyBorder="1" applyAlignment="1" applyProtection="1">
      <alignment vertical="top"/>
      <protection locked="0"/>
    </xf>
    <xf numFmtId="175" fontId="58" fillId="0" borderId="82" xfId="0" applyNumberFormat="1" applyFont="1" applyBorder="1" applyAlignment="1" applyProtection="1">
      <alignment vertical="top"/>
      <protection locked="0"/>
    </xf>
    <xf numFmtId="175" fontId="58" fillId="0" borderId="83" xfId="0" applyNumberFormat="1" applyFont="1" applyBorder="1" applyAlignment="1" applyProtection="1">
      <alignment vertical="top"/>
      <protection locked="0"/>
    </xf>
    <xf numFmtId="175" fontId="58" fillId="0" borderId="125" xfId="0" applyNumberFormat="1" applyFont="1" applyBorder="1" applyAlignment="1" applyProtection="1">
      <alignment vertical="top"/>
      <protection locked="0"/>
    </xf>
    <xf numFmtId="175" fontId="58" fillId="0" borderId="126" xfId="0" applyNumberFormat="1" applyFont="1" applyBorder="1" applyAlignment="1" applyProtection="1">
      <alignment vertical="top"/>
      <protection locked="0"/>
    </xf>
    <xf numFmtId="175" fontId="58" fillId="25" borderId="83" xfId="0" applyNumberFormat="1" applyFont="1" applyFill="1" applyBorder="1" applyAlignment="1" applyProtection="1">
      <alignment vertical="top"/>
      <protection locked="0"/>
    </xf>
    <xf numFmtId="175" fontId="58" fillId="0" borderId="84" xfId="0" applyNumberFormat="1" applyFont="1" applyBorder="1" applyAlignment="1" applyProtection="1">
      <alignment vertical="top"/>
      <protection locked="0"/>
    </xf>
    <xf numFmtId="175" fontId="58" fillId="0" borderId="103" xfId="0" applyNumberFormat="1" applyFont="1" applyBorder="1" applyAlignment="1" applyProtection="1">
      <alignment vertical="top"/>
      <protection locked="0"/>
    </xf>
    <xf numFmtId="175" fontId="58" fillId="0" borderId="101" xfId="0" applyNumberFormat="1" applyFont="1" applyBorder="1" applyAlignment="1" applyProtection="1">
      <alignment vertical="top"/>
      <protection locked="0"/>
    </xf>
    <xf numFmtId="175" fontId="58" fillId="25" borderId="101" xfId="0" applyNumberFormat="1" applyFont="1" applyFill="1" applyBorder="1" applyAlignment="1" applyProtection="1">
      <alignment vertical="top"/>
      <protection locked="0"/>
    </xf>
    <xf numFmtId="175" fontId="58" fillId="0" borderId="152" xfId="0" applyNumberFormat="1" applyFont="1" applyBorder="1" applyAlignment="1" applyProtection="1">
      <alignment vertical="top"/>
      <protection locked="0"/>
    </xf>
    <xf numFmtId="175" fontId="58" fillId="0" borderId="153" xfId="0" applyNumberFormat="1" applyFont="1" applyBorder="1" applyAlignment="1" applyProtection="1">
      <alignment vertical="top"/>
      <protection locked="0"/>
    </xf>
    <xf numFmtId="175" fontId="58" fillId="0" borderId="102" xfId="0" applyNumberFormat="1" applyFont="1" applyBorder="1" applyAlignment="1" applyProtection="1">
      <alignment vertical="top"/>
      <protection locked="0"/>
    </xf>
    <xf numFmtId="0" fontId="58" fillId="0" borderId="159" xfId="0" applyFont="1" applyBorder="1" applyAlignment="1" applyProtection="1">
      <alignment horizontal="center" vertical="top"/>
      <protection locked="0"/>
    </xf>
    <xf numFmtId="0" fontId="58" fillId="0" borderId="160" xfId="0" applyFont="1" applyBorder="1" applyAlignment="1" applyProtection="1">
      <alignment horizontal="center" vertical="top"/>
      <protection locked="0"/>
    </xf>
    <xf numFmtId="0" fontId="58" fillId="0" borderId="161" xfId="0" applyFont="1" applyBorder="1" applyAlignment="1" applyProtection="1">
      <alignment horizontal="center" vertical="top"/>
      <protection locked="0"/>
    </xf>
    <xf numFmtId="0" fontId="58" fillId="0" borderId="162" xfId="0" applyFont="1" applyBorder="1" applyAlignment="1" applyProtection="1">
      <alignment horizontal="center" vertical="top"/>
      <protection locked="0"/>
    </xf>
    <xf numFmtId="0" fontId="58" fillId="0" borderId="92" xfId="0" applyFont="1" applyBorder="1" applyAlignment="1" applyProtection="1">
      <alignment horizontal="center" vertical="top"/>
      <protection locked="0"/>
    </xf>
    <xf numFmtId="0" fontId="58" fillId="0" borderId="127" xfId="0" applyFont="1" applyBorder="1" applyAlignment="1" applyProtection="1">
      <alignment horizontal="center" vertical="top"/>
      <protection locked="0"/>
    </xf>
    <xf numFmtId="0" fontId="58" fillId="0" borderId="128" xfId="0" applyFont="1" applyBorder="1" applyAlignment="1" applyProtection="1">
      <alignment horizontal="center" vertical="top"/>
      <protection locked="0"/>
    </xf>
    <xf numFmtId="0" fontId="58" fillId="0" borderId="93" xfId="0" applyFont="1" applyBorder="1" applyAlignment="1" applyProtection="1">
      <alignment horizontal="center" vertical="top"/>
      <protection locked="0"/>
    </xf>
    <xf numFmtId="175" fontId="58" fillId="0" borderId="167" xfId="0" applyNumberFormat="1" applyFont="1" applyBorder="1" applyAlignment="1" applyProtection="1">
      <alignment horizontal="center" vertical="top"/>
      <protection locked="0"/>
    </xf>
    <xf numFmtId="175" fontId="58" fillId="0" borderId="168" xfId="0" applyNumberFormat="1" applyFont="1" applyBorder="1" applyAlignment="1" applyProtection="1">
      <alignment horizontal="center" vertical="top"/>
      <protection locked="0"/>
    </xf>
    <xf numFmtId="175" fontId="58" fillId="0" borderId="169" xfId="0" applyNumberFormat="1" applyFont="1" applyBorder="1" applyAlignment="1" applyProtection="1">
      <alignment horizontal="center" vertical="top"/>
      <protection locked="0"/>
    </xf>
    <xf numFmtId="175" fontId="58" fillId="0" borderId="170" xfId="0" applyNumberFormat="1" applyFont="1" applyBorder="1" applyAlignment="1" applyProtection="1">
      <alignment horizontal="center" vertical="top"/>
      <protection locked="0"/>
    </xf>
    <xf numFmtId="175" fontId="58" fillId="0" borderId="171" xfId="0" applyNumberFormat="1" applyFont="1" applyBorder="1" applyAlignment="1" applyProtection="1">
      <alignment horizontal="center" vertical="top"/>
      <protection locked="0"/>
    </xf>
    <xf numFmtId="175" fontId="58" fillId="0" borderId="91" xfId="0" applyNumberFormat="1" applyFont="1" applyBorder="1" applyAlignment="1" applyProtection="1">
      <alignment horizontal="center" vertical="top"/>
      <protection locked="0"/>
    </xf>
    <xf numFmtId="175" fontId="58" fillId="0" borderId="92" xfId="0" applyNumberFormat="1" applyFont="1" applyBorder="1" applyAlignment="1" applyProtection="1">
      <alignment horizontal="center" vertical="top"/>
      <protection locked="0"/>
    </xf>
    <xf numFmtId="175" fontId="61" fillId="25" borderId="92" xfId="0" applyNumberFormat="1" applyFont="1" applyFill="1" applyBorder="1" applyAlignment="1" applyProtection="1">
      <alignment horizontal="center" vertical="top"/>
      <protection locked="0"/>
    </xf>
    <xf numFmtId="175" fontId="58" fillId="0" borderId="127" xfId="0" applyNumberFormat="1" applyFont="1" applyBorder="1" applyAlignment="1" applyProtection="1">
      <alignment horizontal="center" vertical="top"/>
      <protection locked="0"/>
    </xf>
    <xf numFmtId="175" fontId="58" fillId="0" borderId="128" xfId="0" applyNumberFormat="1" applyFont="1" applyBorder="1" applyAlignment="1" applyProtection="1">
      <alignment horizontal="center" vertical="top"/>
      <protection locked="0"/>
    </xf>
    <xf numFmtId="175" fontId="58" fillId="0" borderId="93" xfId="0" applyNumberFormat="1" applyFont="1" applyBorder="1" applyAlignment="1" applyProtection="1">
      <alignment horizontal="center" vertical="top"/>
      <protection locked="0"/>
    </xf>
    <xf numFmtId="175" fontId="58" fillId="0" borderId="144" xfId="0" applyNumberFormat="1" applyFont="1" applyBorder="1" applyAlignment="1" applyProtection="1">
      <alignment horizontal="center" vertical="top"/>
      <protection locked="0"/>
    </xf>
    <xf numFmtId="175" fontId="58" fillId="0" borderId="145" xfId="0" applyNumberFormat="1" applyFont="1" applyBorder="1" applyAlignment="1" applyProtection="1">
      <alignment horizontal="center" vertical="top"/>
      <protection locked="0"/>
    </xf>
    <xf numFmtId="175" fontId="58" fillId="0" borderId="146" xfId="0" applyNumberFormat="1" applyFont="1" applyBorder="1" applyAlignment="1" applyProtection="1">
      <alignment horizontal="center" vertical="top"/>
      <protection locked="0"/>
    </xf>
    <xf numFmtId="175" fontId="58" fillId="0" borderId="147" xfId="0" applyNumberFormat="1" applyFont="1" applyBorder="1" applyAlignment="1" applyProtection="1">
      <alignment horizontal="center" vertical="top"/>
      <protection locked="0"/>
    </xf>
    <xf numFmtId="175" fontId="58" fillId="0" borderId="148" xfId="0" applyNumberFormat="1" applyFont="1" applyBorder="1" applyAlignment="1" applyProtection="1">
      <alignment horizontal="center" vertical="top"/>
      <protection locked="0"/>
    </xf>
    <xf numFmtId="3" fontId="58" fillId="0" borderId="82" xfId="0" applyNumberFormat="1" applyFont="1" applyBorder="1" applyAlignment="1" applyProtection="1">
      <alignment horizontal="center" vertical="top"/>
      <protection locked="0"/>
    </xf>
    <xf numFmtId="3" fontId="58" fillId="0" borderId="83" xfId="0" applyNumberFormat="1" applyFont="1" applyBorder="1" applyAlignment="1" applyProtection="1">
      <alignment horizontal="center" vertical="top"/>
      <protection locked="0"/>
    </xf>
    <xf numFmtId="3" fontId="58" fillId="0" borderId="125" xfId="0" applyNumberFormat="1" applyFont="1" applyBorder="1" applyAlignment="1" applyProtection="1">
      <alignment horizontal="center" vertical="top"/>
      <protection locked="0"/>
    </xf>
    <xf numFmtId="3" fontId="58" fillId="0" borderId="126" xfId="0" applyNumberFormat="1" applyFont="1" applyBorder="1" applyAlignment="1" applyProtection="1">
      <alignment horizontal="center" vertical="top"/>
      <protection locked="0"/>
    </xf>
    <xf numFmtId="3" fontId="58" fillId="0" borderId="84" xfId="0" applyNumberFormat="1" applyFont="1" applyBorder="1" applyAlignment="1" applyProtection="1">
      <alignment horizontal="center" vertical="top"/>
      <protection locked="0"/>
    </xf>
    <xf numFmtId="3" fontId="58" fillId="0" borderId="91" xfId="0" applyNumberFormat="1" applyFont="1" applyBorder="1" applyAlignment="1" applyProtection="1">
      <alignment horizontal="center" vertical="top"/>
      <protection locked="0"/>
    </xf>
    <xf numFmtId="3" fontId="58" fillId="0" borderId="92" xfId="0" applyNumberFormat="1" applyFont="1" applyBorder="1" applyAlignment="1" applyProtection="1">
      <alignment horizontal="center" vertical="top"/>
      <protection locked="0"/>
    </xf>
    <xf numFmtId="3" fontId="58" fillId="0" borderId="127" xfId="0" applyNumberFormat="1" applyFont="1" applyBorder="1" applyAlignment="1" applyProtection="1">
      <alignment horizontal="center" vertical="top"/>
      <protection locked="0"/>
    </xf>
    <xf numFmtId="3" fontId="58" fillId="0" borderId="128" xfId="0" applyNumberFormat="1" applyFont="1" applyBorder="1" applyAlignment="1" applyProtection="1">
      <alignment horizontal="center" vertical="top"/>
      <protection locked="0"/>
    </xf>
    <xf numFmtId="3" fontId="58" fillId="0" borderId="93" xfId="0" applyNumberFormat="1" applyFont="1" applyBorder="1" applyAlignment="1" applyProtection="1">
      <alignment horizontal="center" vertical="top"/>
      <protection locked="0"/>
    </xf>
    <xf numFmtId="3" fontId="58" fillId="0" borderId="144" xfId="0" applyNumberFormat="1" applyFont="1" applyBorder="1" applyAlignment="1" applyProtection="1">
      <alignment horizontal="center" vertical="top"/>
      <protection locked="0"/>
    </xf>
    <xf numFmtId="3" fontId="58" fillId="0" borderId="145" xfId="0" applyNumberFormat="1" applyFont="1" applyBorder="1" applyAlignment="1" applyProtection="1">
      <alignment horizontal="center" vertical="top"/>
      <protection locked="0"/>
    </xf>
    <xf numFmtId="3" fontId="58" fillId="0" borderId="146" xfId="0" applyNumberFormat="1" applyFont="1" applyBorder="1" applyAlignment="1" applyProtection="1">
      <alignment horizontal="center" vertical="top"/>
      <protection locked="0"/>
    </xf>
    <xf numFmtId="3" fontId="58" fillId="0" borderId="147" xfId="0" applyNumberFormat="1" applyFont="1" applyBorder="1" applyAlignment="1" applyProtection="1">
      <alignment horizontal="center" vertical="top"/>
      <protection locked="0"/>
    </xf>
    <xf numFmtId="3" fontId="58" fillId="0" borderId="148" xfId="0" applyNumberFormat="1" applyFont="1" applyBorder="1" applyAlignment="1" applyProtection="1">
      <alignment horizontal="center" vertical="top"/>
      <protection locked="0"/>
    </xf>
    <xf numFmtId="0" fontId="58" fillId="0" borderId="158" xfId="0" applyFont="1" applyBorder="1" applyAlignment="1" applyProtection="1">
      <alignment vertical="top"/>
      <protection locked="0"/>
    </xf>
    <xf numFmtId="0" fontId="58" fillId="0" borderId="161" xfId="0" applyFont="1" applyBorder="1" applyAlignment="1" applyProtection="1">
      <alignment vertical="top"/>
      <protection locked="0"/>
    </xf>
    <xf numFmtId="0" fontId="58" fillId="0" borderId="162" xfId="0" applyFont="1" applyBorder="1" applyAlignment="1" applyProtection="1">
      <alignment vertical="top"/>
      <protection locked="0"/>
    </xf>
    <xf numFmtId="0" fontId="58" fillId="0" borderId="144" xfId="0" applyFont="1" applyBorder="1" applyAlignment="1" applyProtection="1">
      <alignment vertical="top"/>
      <protection locked="0"/>
    </xf>
    <xf numFmtId="0" fontId="58" fillId="0" borderId="147" xfId="0" applyFont="1" applyBorder="1" applyAlignment="1" applyProtection="1">
      <alignment vertical="top"/>
      <protection locked="0"/>
    </xf>
    <xf numFmtId="0" fontId="58" fillId="0" borderId="148" xfId="0" applyFont="1" applyBorder="1" applyAlignment="1" applyProtection="1">
      <alignment vertical="top"/>
      <protection locked="0"/>
    </xf>
    <xf numFmtId="0" fontId="58" fillId="0" borderId="100" xfId="0" applyFont="1" applyBorder="1" applyAlignment="1" applyProtection="1">
      <alignment vertical="top"/>
      <protection locked="0"/>
    </xf>
    <xf numFmtId="0" fontId="58" fillId="0" borderId="115" xfId="0" applyFont="1" applyBorder="1" applyAlignment="1" applyProtection="1">
      <alignment vertical="top"/>
      <protection locked="0"/>
    </xf>
    <xf numFmtId="0" fontId="58" fillId="0" borderId="129" xfId="0" applyFont="1" applyBorder="1" applyAlignment="1" applyProtection="1">
      <alignment vertical="top"/>
      <protection locked="0"/>
    </xf>
    <xf numFmtId="0" fontId="58" fillId="0" borderId="130" xfId="0" applyFont="1" applyBorder="1" applyAlignment="1" applyProtection="1">
      <alignment vertical="top"/>
      <protection locked="0"/>
    </xf>
    <xf numFmtId="0" fontId="58" fillId="0" borderId="116" xfId="0" applyFont="1" applyBorder="1" applyAlignment="1" applyProtection="1">
      <alignment vertical="top"/>
      <protection locked="0"/>
    </xf>
    <xf numFmtId="0" fontId="58" fillId="0" borderId="0" xfId="0" applyFont="1" applyAlignment="1" applyProtection="1">
      <alignment vertical="top"/>
      <protection locked="0"/>
    </xf>
    <xf numFmtId="0" fontId="88" fillId="2" borderId="79" xfId="0" applyFont="1" applyFill="1" applyBorder="1" applyAlignment="1">
      <alignment horizontal="center" vertical="center" wrapText="1" readingOrder="1"/>
    </xf>
    <xf numFmtId="0" fontId="86" fillId="3" borderId="96" xfId="0" applyFont="1" applyFill="1" applyBorder="1" applyAlignment="1" applyProtection="1">
      <alignment horizontal="center" vertical="top"/>
      <protection locked="0"/>
    </xf>
    <xf numFmtId="0" fontId="86" fillId="0" borderId="96" xfId="0" applyFont="1" applyBorder="1" applyAlignment="1" applyProtection="1">
      <alignment horizontal="center" vertical="top"/>
      <protection locked="0"/>
    </xf>
    <xf numFmtId="0" fontId="86" fillId="22" borderId="96" xfId="0" applyFont="1" applyFill="1" applyBorder="1" applyAlignment="1" applyProtection="1">
      <alignment horizontal="center" vertical="top"/>
      <protection locked="0"/>
    </xf>
    <xf numFmtId="0" fontId="86" fillId="22" borderId="87" xfId="0" applyFont="1" applyFill="1" applyBorder="1" applyAlignment="1" applyProtection="1">
      <alignment horizontal="center" vertical="top"/>
      <protection locked="0"/>
    </xf>
    <xf numFmtId="1" fontId="6" fillId="2" borderId="1" xfId="0" applyNumberFormat="1" applyFont="1" applyFill="1" applyBorder="1" applyAlignment="1" applyProtection="1">
      <alignment horizontal="center" vertical="center" wrapText="1" readingOrder="1"/>
      <protection locked="0"/>
    </xf>
    <xf numFmtId="0" fontId="6" fillId="2" borderId="1" xfId="0" applyFont="1" applyFill="1" applyBorder="1" applyAlignment="1" applyProtection="1">
      <alignment horizontal="center" vertical="center" wrapText="1" readingOrder="1"/>
      <protection locked="0"/>
    </xf>
    <xf numFmtId="0" fontId="6" fillId="2" borderId="19" xfId="0" applyFont="1" applyFill="1" applyBorder="1" applyAlignment="1" applyProtection="1">
      <alignment horizontal="left" vertical="center" wrapText="1" readingOrder="1"/>
      <protection locked="0"/>
    </xf>
    <xf numFmtId="0" fontId="6" fillId="2" borderId="19" xfId="0" applyFont="1" applyFill="1" applyBorder="1" applyAlignment="1" applyProtection="1">
      <alignment horizontal="center" vertical="center" wrapText="1" readingOrder="1"/>
      <protection locked="0"/>
    </xf>
    <xf numFmtId="0" fontId="6" fillId="2" borderId="17" xfId="0" applyFont="1" applyFill="1" applyBorder="1" applyAlignment="1" applyProtection="1">
      <alignment horizontal="center" vertical="center" wrapText="1" readingOrder="1"/>
      <protection locked="0"/>
    </xf>
    <xf numFmtId="10" fontId="0" fillId="0" borderId="1" xfId="2" applyNumberFormat="1" applyFont="1" applyBorder="1" applyAlignment="1" applyProtection="1">
      <alignment horizontal="center" vertical="center" wrapText="1"/>
      <protection locked="0"/>
    </xf>
    <xf numFmtId="2" fontId="0" fillId="3" borderId="18" xfId="0" applyNumberFormat="1" applyFill="1" applyBorder="1" applyProtection="1">
      <protection locked="0"/>
    </xf>
    <xf numFmtId="2" fontId="0" fillId="0" borderId="1" xfId="0" applyNumberFormat="1" applyBorder="1" applyProtection="1">
      <protection locked="0"/>
    </xf>
    <xf numFmtId="2" fontId="0" fillId="0" borderId="1" xfId="0" applyNumberFormat="1" applyBorder="1" applyAlignment="1" applyProtection="1">
      <alignment horizontal="center" vertical="center" wrapText="1"/>
      <protection locked="0"/>
    </xf>
    <xf numFmtId="0" fontId="0" fillId="0" borderId="0" xfId="0" applyAlignment="1" applyProtection="1">
      <alignment horizontal="center"/>
      <protection locked="0"/>
    </xf>
    <xf numFmtId="0" fontId="37" fillId="2" borderId="1" xfId="0" applyFont="1" applyFill="1" applyBorder="1" applyAlignment="1" applyProtection="1">
      <alignment horizontal="center" vertical="center" wrapText="1" readingOrder="1"/>
      <protection locked="0"/>
    </xf>
    <xf numFmtId="0" fontId="0" fillId="11" borderId="1" xfId="0" applyFill="1" applyBorder="1" applyAlignment="1" applyProtection="1">
      <alignment horizontal="center" vertical="center"/>
      <protection locked="0"/>
    </xf>
    <xf numFmtId="0" fontId="0" fillId="11" borderId="24" xfId="0" applyFill="1" applyBorder="1" applyAlignment="1" applyProtection="1">
      <alignment horizontal="center" vertical="center" wrapText="1"/>
      <protection locked="0"/>
    </xf>
    <xf numFmtId="167" fontId="0" fillId="0" borderId="7" xfId="0" applyNumberFormat="1" applyBorder="1" applyAlignment="1" applyProtection="1">
      <alignment horizontal="center"/>
      <protection locked="0"/>
    </xf>
    <xf numFmtId="0" fontId="0" fillId="12" borderId="9" xfId="0" applyFill="1" applyBorder="1" applyAlignment="1" applyProtection="1">
      <alignment horizontal="center" vertical="center"/>
      <protection locked="0"/>
    </xf>
    <xf numFmtId="0" fontId="0" fillId="12" borderId="1" xfId="0" applyFill="1" applyBorder="1" applyAlignment="1" applyProtection="1">
      <alignment horizontal="center" vertical="center"/>
      <protection locked="0"/>
    </xf>
    <xf numFmtId="0" fontId="0" fillId="12" borderId="8" xfId="0" applyFill="1"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0" fillId="0" borderId="1" xfId="0" applyBorder="1" applyAlignment="1" applyProtection="1">
      <alignment horizontal="center" vertical="center"/>
      <protection locked="0"/>
    </xf>
    <xf numFmtId="170" fontId="0" fillId="0" borderId="1" xfId="0" applyNumberFormat="1" applyBorder="1" applyAlignment="1" applyProtection="1">
      <alignment horizontal="center" vertical="center"/>
      <protection locked="0"/>
    </xf>
    <xf numFmtId="2" fontId="0" fillId="0" borderId="9" xfId="0" applyNumberFormat="1" applyBorder="1" applyAlignment="1" applyProtection="1">
      <alignment horizontal="center" vertical="center"/>
      <protection locked="0"/>
    </xf>
    <xf numFmtId="2" fontId="0" fillId="0" borderId="1" xfId="0" applyNumberFormat="1" applyBorder="1" applyAlignment="1" applyProtection="1">
      <alignment horizontal="center" vertical="center"/>
      <protection locked="0"/>
    </xf>
    <xf numFmtId="0" fontId="0" fillId="17" borderId="8" xfId="0" applyFill="1" applyBorder="1" applyAlignment="1" applyProtection="1">
      <alignment horizontal="center" vertical="center"/>
      <protection locked="0"/>
    </xf>
    <xf numFmtId="170" fontId="0" fillId="0" borderId="9" xfId="0" applyNumberFormat="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0" fillId="0" borderId="0" xfId="0" applyAlignment="1" applyProtection="1">
      <alignment horizontal="center" vertical="center"/>
      <protection locked="0"/>
    </xf>
    <xf numFmtId="0" fontId="6" fillId="2" borderId="7" xfId="0" applyFont="1" applyFill="1" applyBorder="1" applyAlignment="1" applyProtection="1">
      <alignment horizontal="center" vertical="center" wrapText="1" readingOrder="1"/>
      <protection locked="0"/>
    </xf>
    <xf numFmtId="0" fontId="0" fillId="0" borderId="1" xfId="0" applyBorder="1" applyProtection="1">
      <protection locked="0"/>
    </xf>
    <xf numFmtId="2" fontId="0" fillId="0" borderId="1" xfId="0" applyNumberFormat="1" applyBorder="1" applyAlignment="1" applyProtection="1">
      <alignment horizontal="center" wrapText="1"/>
      <protection locked="0"/>
    </xf>
    <xf numFmtId="0" fontId="0" fillId="0" borderId="0" xfId="0" applyAlignment="1" applyProtection="1">
      <alignment vertical="center"/>
      <protection locked="0"/>
    </xf>
    <xf numFmtId="0" fontId="20" fillId="6" borderId="5" xfId="3" applyFill="1" applyBorder="1" applyAlignment="1" applyProtection="1">
      <alignment horizontal="center" vertical="center"/>
      <protection locked="0"/>
    </xf>
    <xf numFmtId="0" fontId="20" fillId="6" borderId="3" xfId="3" applyFill="1" applyBorder="1" applyAlignment="1" applyProtection="1">
      <alignment horizontal="center" vertical="center"/>
      <protection locked="0"/>
    </xf>
    <xf numFmtId="1" fontId="0" fillId="3" borderId="1" xfId="0" applyNumberFormat="1" applyFill="1" applyBorder="1" applyAlignment="1" applyProtection="1">
      <alignment horizontal="center" vertical="center" wrapText="1"/>
      <protection locked="0"/>
    </xf>
    <xf numFmtId="1" fontId="0" fillId="3" borderId="1" xfId="2" applyNumberFormat="1" applyFont="1" applyFill="1" applyBorder="1" applyAlignment="1" applyProtection="1">
      <alignment horizontal="center" vertical="center" wrapText="1"/>
      <protection locked="0"/>
    </xf>
    <xf numFmtId="1" fontId="0" fillId="3" borderId="1" xfId="0" applyNumberFormat="1" applyFill="1" applyBorder="1" applyAlignment="1" applyProtection="1">
      <alignment horizontal="center" vertical="center"/>
      <protection locked="0"/>
    </xf>
    <xf numFmtId="1" fontId="0" fillId="3" borderId="7" xfId="0" applyNumberFormat="1" applyFill="1" applyBorder="1" applyProtection="1">
      <protection locked="0"/>
    </xf>
    <xf numFmtId="0" fontId="0" fillId="3" borderId="0" xfId="0" applyFill="1" applyProtection="1">
      <protection locked="0"/>
    </xf>
    <xf numFmtId="2" fontId="0" fillId="3" borderId="1" xfId="0" applyNumberFormat="1" applyFill="1" applyBorder="1" applyAlignment="1" applyProtection="1">
      <alignment vertical="top" wrapText="1"/>
      <protection locked="0"/>
    </xf>
    <xf numFmtId="2" fontId="0" fillId="3" borderId="1" xfId="0" applyNumberFormat="1" applyFill="1" applyBorder="1" applyAlignment="1" applyProtection="1">
      <alignment vertical="center"/>
      <protection locked="0"/>
    </xf>
    <xf numFmtId="2" fontId="0" fillId="3" borderId="1" xfId="2" applyNumberFormat="1" applyFont="1" applyFill="1" applyBorder="1" applyAlignment="1" applyProtection="1">
      <alignment horizontal="center" vertical="center" wrapText="1"/>
      <protection locked="0"/>
    </xf>
    <xf numFmtId="2" fontId="0" fillId="3" borderId="1" xfId="0" applyNumberFormat="1" applyFill="1" applyBorder="1" applyAlignment="1" applyProtection="1">
      <alignment horizontal="right" vertical="center"/>
      <protection locked="0"/>
    </xf>
    <xf numFmtId="2" fontId="0" fillId="3" borderId="7" xfId="0" applyNumberFormat="1" applyFill="1" applyBorder="1" applyProtection="1">
      <protection locked="0"/>
    </xf>
    <xf numFmtId="0" fontId="0" fillId="3" borderId="30" xfId="0" applyFill="1" applyBorder="1" applyAlignment="1" applyProtection="1">
      <alignment vertical="top" wrapText="1"/>
      <protection locked="0"/>
    </xf>
    <xf numFmtId="2" fontId="0" fillId="3" borderId="1" xfId="0" applyNumberFormat="1" applyFill="1" applyBorder="1" applyAlignment="1" applyProtection="1">
      <alignment wrapText="1"/>
      <protection locked="0"/>
    </xf>
    <xf numFmtId="2" fontId="0" fillId="3" borderId="1" xfId="0" applyNumberFormat="1" applyFill="1" applyBorder="1" applyProtection="1">
      <protection locked="0"/>
    </xf>
    <xf numFmtId="1" fontId="39" fillId="3" borderId="1" xfId="2" applyNumberFormat="1" applyFont="1" applyFill="1" applyBorder="1" applyAlignment="1" applyProtection="1">
      <alignment horizontal="center" vertical="center" wrapText="1"/>
      <protection locked="0"/>
    </xf>
    <xf numFmtId="1" fontId="0" fillId="3" borderId="1" xfId="2" applyNumberFormat="1" applyFont="1" applyFill="1" applyBorder="1" applyAlignment="1" applyProtection="1">
      <alignment horizontal="right" vertical="center" wrapText="1"/>
      <protection locked="0"/>
    </xf>
    <xf numFmtId="1" fontId="39" fillId="3" borderId="1" xfId="0" applyNumberFormat="1" applyFont="1" applyFill="1" applyBorder="1" applyAlignment="1" applyProtection="1">
      <alignment horizontal="center" vertical="center"/>
      <protection locked="0"/>
    </xf>
    <xf numFmtId="2" fontId="0" fillId="3" borderId="1" xfId="0" applyNumberFormat="1" applyFill="1" applyBorder="1" applyAlignment="1" applyProtection="1">
      <alignment horizontal="left" vertical="top" wrapText="1"/>
      <protection locked="0"/>
    </xf>
    <xf numFmtId="0" fontId="0" fillId="3" borderId="30" xfId="0" applyFill="1" applyBorder="1" applyProtection="1">
      <protection locked="0"/>
    </xf>
    <xf numFmtId="0" fontId="6" fillId="2" borderId="16" xfId="0" applyFont="1" applyFill="1" applyBorder="1" applyAlignment="1" applyProtection="1">
      <alignment horizontal="center" vertical="center" wrapText="1" readingOrder="1"/>
      <protection locked="0"/>
    </xf>
    <xf numFmtId="0" fontId="20" fillId="6" borderId="1" xfId="3" applyFill="1" applyBorder="1" applyAlignment="1" applyProtection="1">
      <alignment horizontal="center" vertical="center"/>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15" borderId="8" xfId="0" applyFill="1" applyBorder="1" applyAlignment="1" applyProtection="1">
      <alignment horizontal="center" vertical="center"/>
      <protection locked="0"/>
    </xf>
    <xf numFmtId="0" fontId="0" fillId="5" borderId="7" xfId="0" applyFill="1" applyBorder="1" applyAlignment="1" applyProtection="1">
      <alignment horizontal="center" vertical="center" wrapText="1"/>
      <protection locked="0"/>
    </xf>
    <xf numFmtId="0" fontId="0" fillId="5" borderId="1" xfId="0" applyFill="1" applyBorder="1" applyAlignment="1" applyProtection="1">
      <alignment horizontal="center" vertical="center" wrapText="1"/>
      <protection locked="0"/>
    </xf>
    <xf numFmtId="165" fontId="0" fillId="0" borderId="1" xfId="1" applyFont="1" applyBorder="1" applyAlignment="1" applyProtection="1">
      <alignment horizontal="center" vertical="center"/>
      <protection locked="0"/>
    </xf>
    <xf numFmtId="10" fontId="0" fillId="0" borderId="7" xfId="0" applyNumberFormat="1" applyBorder="1" applyAlignment="1" applyProtection="1">
      <alignment horizontal="center" vertical="center"/>
      <protection locked="0"/>
    </xf>
    <xf numFmtId="0" fontId="0" fillId="0" borderId="7" xfId="0" quotePrefix="1" applyBorder="1" applyAlignment="1" applyProtection="1">
      <alignment horizontal="center" vertical="center"/>
      <protection locked="0"/>
    </xf>
    <xf numFmtId="2" fontId="0" fillId="5" borderId="1" xfId="0" applyNumberFormat="1" applyFill="1" applyBorder="1" applyAlignment="1" applyProtection="1">
      <alignment horizontal="center" vertical="center" wrapText="1"/>
      <protection locked="0"/>
    </xf>
    <xf numFmtId="170" fontId="0" fillId="0" borderId="8" xfId="0" applyNumberFormat="1" applyBorder="1" applyAlignment="1" applyProtection="1">
      <alignment horizontal="center" vertical="center"/>
      <protection locked="0"/>
    </xf>
    <xf numFmtId="2" fontId="0" fillId="0" borderId="8" xfId="0" applyNumberFormat="1" applyBorder="1" applyAlignment="1" applyProtection="1">
      <alignment horizontal="center" vertical="center" wrapText="1"/>
      <protection locked="0"/>
    </xf>
    <xf numFmtId="0" fontId="39" fillId="0" borderId="1" xfId="0" applyFont="1" applyBorder="1" applyAlignment="1" applyProtection="1">
      <alignment horizontal="center" vertical="center"/>
      <protection locked="0"/>
    </xf>
    <xf numFmtId="9" fontId="0" fillId="5" borderId="7" xfId="0" applyNumberFormat="1" applyFill="1" applyBorder="1" applyAlignment="1" applyProtection="1">
      <alignment horizontal="center" vertical="center" wrapText="1"/>
      <protection locked="0"/>
    </xf>
    <xf numFmtId="2" fontId="0" fillId="0" borderId="8" xfId="0" applyNumberFormat="1" applyBorder="1" applyAlignment="1" applyProtection="1">
      <alignment horizontal="center" vertical="center"/>
      <protection locked="0"/>
    </xf>
    <xf numFmtId="169" fontId="0" fillId="0" borderId="1" xfId="0" applyNumberFormat="1" applyBorder="1" applyAlignment="1" applyProtection="1">
      <alignment horizontal="center" vertical="center"/>
      <protection locked="0"/>
    </xf>
    <xf numFmtId="0" fontId="11" fillId="0" borderId="8" xfId="0" applyFont="1" applyBorder="1" applyAlignment="1" applyProtection="1">
      <alignment horizontal="center" vertical="center"/>
      <protection locked="0"/>
    </xf>
    <xf numFmtId="0" fontId="11" fillId="0" borderId="1" xfId="0" applyFont="1" applyBorder="1" applyAlignment="1" applyProtection="1">
      <alignment horizontal="center" vertical="center"/>
      <protection locked="0"/>
    </xf>
    <xf numFmtId="170" fontId="11" fillId="0" borderId="1" xfId="0" applyNumberFormat="1" applyFont="1" applyBorder="1" applyAlignment="1" applyProtection="1">
      <alignment horizontal="center" vertical="center"/>
      <protection locked="0"/>
    </xf>
    <xf numFmtId="169" fontId="70" fillId="3" borderId="200" xfId="0" applyNumberFormat="1" applyFont="1" applyFill="1" applyBorder="1" applyAlignment="1" applyProtection="1">
      <alignment horizontal="center" vertical="top" wrapText="1"/>
      <protection locked="0"/>
    </xf>
    <xf numFmtId="169" fontId="70" fillId="3" borderId="96" xfId="0" applyNumberFormat="1" applyFont="1" applyFill="1" applyBorder="1" applyAlignment="1" applyProtection="1">
      <alignment horizontal="center" vertical="top" wrapText="1"/>
      <protection locked="0"/>
    </xf>
    <xf numFmtId="169" fontId="70" fillId="3" borderId="128" xfId="0" applyNumberFormat="1" applyFont="1" applyFill="1" applyBorder="1" applyAlignment="1" applyProtection="1">
      <alignment horizontal="center" vertical="top"/>
      <protection locked="0"/>
    </xf>
    <xf numFmtId="169" fontId="70" fillId="3" borderId="96" xfId="0" applyNumberFormat="1" applyFont="1" applyFill="1" applyBorder="1" applyAlignment="1" applyProtection="1">
      <alignment horizontal="center" vertical="top"/>
      <protection locked="0"/>
    </xf>
    <xf numFmtId="2" fontId="70" fillId="3" borderId="99" xfId="0" applyNumberFormat="1" applyFont="1" applyFill="1" applyBorder="1" applyAlignment="1" applyProtection="1">
      <alignment vertical="top"/>
      <protection locked="0"/>
    </xf>
    <xf numFmtId="2" fontId="70" fillId="3" borderId="200" xfId="0" applyNumberFormat="1" applyFont="1" applyFill="1" applyBorder="1" applyAlignment="1" applyProtection="1">
      <alignment horizontal="left" vertical="top"/>
      <protection locked="0"/>
    </xf>
    <xf numFmtId="2" fontId="70" fillId="3" borderId="96" xfId="0" applyNumberFormat="1" applyFont="1" applyFill="1" applyBorder="1" applyAlignment="1" applyProtection="1">
      <alignment horizontal="left" vertical="top"/>
      <protection locked="0"/>
    </xf>
    <xf numFmtId="2" fontId="70" fillId="3" borderId="128" xfId="0" applyNumberFormat="1" applyFont="1" applyFill="1" applyBorder="1" applyAlignment="1" applyProtection="1">
      <alignment horizontal="center" vertical="top"/>
      <protection locked="0"/>
    </xf>
    <xf numFmtId="1" fontId="70" fillId="3" borderId="296" xfId="0" applyNumberFormat="1" applyFont="1" applyFill="1" applyBorder="1" applyAlignment="1" applyProtection="1">
      <alignment horizontal="center" vertical="top" wrapText="1"/>
      <protection locked="0"/>
    </xf>
    <xf numFmtId="1" fontId="70" fillId="3" borderId="298" xfId="0" applyNumberFormat="1" applyFont="1" applyFill="1" applyBorder="1" applyAlignment="1" applyProtection="1">
      <alignment horizontal="center" vertical="top" wrapText="1"/>
      <protection locked="0"/>
    </xf>
    <xf numFmtId="1" fontId="70" fillId="3" borderId="170" xfId="0" applyNumberFormat="1" applyFont="1" applyFill="1" applyBorder="1" applyAlignment="1" applyProtection="1">
      <alignment horizontal="center" vertical="top"/>
      <protection locked="0"/>
    </xf>
    <xf numFmtId="1" fontId="70" fillId="3" borderId="298" xfId="0" applyNumberFormat="1" applyFont="1" applyFill="1" applyBorder="1" applyAlignment="1" applyProtection="1">
      <alignment horizontal="center" vertical="top"/>
      <protection locked="0"/>
    </xf>
    <xf numFmtId="2" fontId="70" fillId="3" borderId="299" xfId="0" applyNumberFormat="1" applyFont="1" applyFill="1" applyBorder="1" applyAlignment="1" applyProtection="1">
      <alignment vertical="top"/>
      <protection locked="0"/>
    </xf>
    <xf numFmtId="2" fontId="70" fillId="3" borderId="296" xfId="0" applyNumberFormat="1" applyFont="1" applyFill="1" applyBorder="1" applyAlignment="1" applyProtection="1">
      <alignment horizontal="left" vertical="top"/>
      <protection locked="0"/>
    </xf>
    <xf numFmtId="2" fontId="70" fillId="3" borderId="298" xfId="0" applyNumberFormat="1" applyFont="1" applyFill="1" applyBorder="1" applyAlignment="1" applyProtection="1">
      <alignment horizontal="left" vertical="top"/>
      <protection locked="0"/>
    </xf>
    <xf numFmtId="2" fontId="70" fillId="3" borderId="170" xfId="0" applyNumberFormat="1" applyFont="1" applyFill="1" applyBorder="1" applyAlignment="1" applyProtection="1">
      <alignment horizontal="center" vertical="top"/>
      <protection locked="0"/>
    </xf>
    <xf numFmtId="2" fontId="70" fillId="3" borderId="200" xfId="0" applyNumberFormat="1" applyFont="1" applyFill="1" applyBorder="1" applyAlignment="1" applyProtection="1">
      <alignment horizontal="center" vertical="top" wrapText="1"/>
      <protection locked="0"/>
    </xf>
    <xf numFmtId="1" fontId="70" fillId="3" borderId="96" xfId="0" applyNumberFormat="1" applyFont="1" applyFill="1" applyBorder="1" applyAlignment="1" applyProtection="1">
      <alignment horizontal="center" vertical="top" wrapText="1"/>
      <protection locked="0"/>
    </xf>
    <xf numFmtId="2" fontId="70" fillId="3" borderId="96" xfId="0" applyNumberFormat="1" applyFont="1" applyFill="1" applyBorder="1" applyAlignment="1" applyProtection="1">
      <alignment horizontal="center" vertical="top"/>
      <protection locked="0"/>
    </xf>
    <xf numFmtId="1" fontId="70" fillId="3" borderId="200" xfId="0" applyNumberFormat="1" applyFont="1" applyFill="1" applyBorder="1" applyAlignment="1" applyProtection="1">
      <alignment horizontal="center" vertical="top" wrapText="1"/>
      <protection locked="0"/>
    </xf>
    <xf numFmtId="2" fontId="70" fillId="3" borderId="96" xfId="0" applyNumberFormat="1" applyFont="1" applyFill="1" applyBorder="1" applyAlignment="1" applyProtection="1">
      <alignment horizontal="center" vertical="top" wrapText="1"/>
      <protection locked="0"/>
    </xf>
    <xf numFmtId="1" fontId="70" fillId="3" borderId="128" xfId="0" applyNumberFormat="1" applyFont="1" applyFill="1" applyBorder="1" applyAlignment="1" applyProtection="1">
      <alignment horizontal="center" vertical="top" wrapText="1"/>
      <protection locked="0"/>
    </xf>
    <xf numFmtId="2" fontId="70" fillId="3" borderId="200" xfId="0" applyNumberFormat="1" applyFont="1" applyFill="1" applyBorder="1" applyAlignment="1" applyProtection="1">
      <alignment horizontal="left" vertical="top" wrapText="1"/>
      <protection locked="0"/>
    </xf>
    <xf numFmtId="2" fontId="70" fillId="3" borderId="128" xfId="0" applyNumberFormat="1" applyFont="1" applyFill="1" applyBorder="1" applyAlignment="1" applyProtection="1">
      <alignment horizontal="center" vertical="top" wrapText="1"/>
      <protection locked="0"/>
    </xf>
    <xf numFmtId="1" fontId="70" fillId="3" borderId="204" xfId="0" applyNumberFormat="1" applyFont="1" applyFill="1" applyBorder="1" applyAlignment="1" applyProtection="1">
      <alignment horizontal="center" vertical="top" wrapText="1"/>
      <protection locked="0"/>
    </xf>
    <xf numFmtId="1" fontId="70" fillId="3" borderId="87" xfId="0" applyNumberFormat="1" applyFont="1" applyFill="1" applyBorder="1" applyAlignment="1" applyProtection="1">
      <alignment horizontal="center" vertical="top" wrapText="1"/>
      <protection locked="0"/>
    </xf>
    <xf numFmtId="1" fontId="70" fillId="3" borderId="126" xfId="0" applyNumberFormat="1" applyFont="1" applyFill="1" applyBorder="1" applyAlignment="1" applyProtection="1">
      <alignment horizontal="center" vertical="top"/>
      <protection locked="0"/>
    </xf>
    <xf numFmtId="1" fontId="70" fillId="3" borderId="87" xfId="0" applyNumberFormat="1" applyFont="1" applyFill="1" applyBorder="1" applyAlignment="1" applyProtection="1">
      <alignment horizontal="center" vertical="top"/>
      <protection locked="0"/>
    </xf>
    <xf numFmtId="2" fontId="70" fillId="3" borderId="90" xfId="0" applyNumberFormat="1" applyFont="1" applyFill="1" applyBorder="1" applyAlignment="1" applyProtection="1">
      <alignment vertical="top"/>
      <protection locked="0"/>
    </xf>
    <xf numFmtId="2" fontId="70" fillId="3" borderId="204" xfId="0" applyNumberFormat="1" applyFont="1" applyFill="1" applyBorder="1" applyAlignment="1" applyProtection="1">
      <alignment horizontal="left" vertical="top"/>
      <protection locked="0"/>
    </xf>
    <xf numFmtId="2" fontId="70" fillId="3" borderId="87" xfId="0" applyNumberFormat="1" applyFont="1" applyFill="1" applyBorder="1" applyAlignment="1" applyProtection="1">
      <alignment horizontal="left" vertical="top"/>
      <protection locked="0"/>
    </xf>
    <xf numFmtId="2" fontId="70" fillId="3" borderId="126" xfId="0" applyNumberFormat="1" applyFont="1" applyFill="1" applyBorder="1" applyAlignment="1" applyProtection="1">
      <alignment horizontal="center" vertical="top"/>
      <protection locked="0"/>
    </xf>
    <xf numFmtId="1" fontId="70" fillId="3" borderId="128" xfId="0" applyNumberFormat="1" applyFont="1" applyFill="1" applyBorder="1" applyAlignment="1" applyProtection="1">
      <alignment horizontal="center" vertical="top"/>
      <protection locked="0"/>
    </xf>
    <xf numFmtId="1" fontId="70" fillId="3" borderId="96" xfId="0" applyNumberFormat="1" applyFont="1" applyFill="1" applyBorder="1" applyAlignment="1" applyProtection="1">
      <alignment horizontal="center" vertical="top"/>
      <protection locked="0"/>
    </xf>
    <xf numFmtId="2" fontId="70" fillId="3" borderId="96" xfId="0" applyNumberFormat="1" applyFont="1" applyFill="1" applyBorder="1" applyAlignment="1" applyProtection="1">
      <alignment horizontal="left" vertical="top" wrapText="1"/>
      <protection locked="0"/>
    </xf>
    <xf numFmtId="10" fontId="70" fillId="3" borderId="200" xfId="2" applyNumberFormat="1" applyFont="1" applyFill="1" applyBorder="1" applyAlignment="1" applyProtection="1">
      <alignment horizontal="center" vertical="top" wrapText="1"/>
      <protection locked="0"/>
    </xf>
    <xf numFmtId="10" fontId="70" fillId="3" borderId="96" xfId="2" applyNumberFormat="1" applyFont="1" applyFill="1" applyBorder="1" applyAlignment="1" applyProtection="1">
      <alignment horizontal="center" vertical="top" wrapText="1"/>
      <protection locked="0"/>
    </xf>
    <xf numFmtId="10" fontId="70" fillId="3" borderId="128" xfId="2" applyNumberFormat="1" applyFont="1" applyFill="1" applyBorder="1" applyAlignment="1" applyProtection="1">
      <alignment horizontal="center" vertical="top"/>
      <protection locked="0"/>
    </xf>
    <xf numFmtId="2" fontId="70" fillId="3" borderId="200" xfId="0" quotePrefix="1" applyNumberFormat="1" applyFont="1" applyFill="1" applyBorder="1" applyAlignment="1" applyProtection="1">
      <alignment horizontal="center" vertical="top" wrapText="1"/>
      <protection locked="0"/>
    </xf>
    <xf numFmtId="2" fontId="70" fillId="3" borderId="96" xfId="0" quotePrefix="1" applyNumberFormat="1" applyFont="1" applyFill="1" applyBorder="1" applyAlignment="1" applyProtection="1">
      <alignment horizontal="center" vertical="top" wrapText="1"/>
      <protection locked="0"/>
    </xf>
    <xf numFmtId="2" fontId="70" fillId="3" borderId="200" xfId="0" applyNumberFormat="1" applyFont="1" applyFill="1" applyBorder="1" applyAlignment="1" applyProtection="1">
      <alignment horizontal="center" vertical="top"/>
      <protection locked="0"/>
    </xf>
    <xf numFmtId="2" fontId="70" fillId="3" borderId="96" xfId="0" quotePrefix="1" applyNumberFormat="1" applyFont="1" applyFill="1" applyBorder="1" applyAlignment="1" applyProtection="1">
      <alignment horizontal="left" vertical="top" wrapText="1"/>
      <protection locked="0"/>
    </xf>
    <xf numFmtId="2" fontId="82" fillId="3" borderId="96" xfId="0" applyNumberFormat="1" applyFont="1" applyFill="1" applyBorder="1" applyAlignment="1" applyProtection="1">
      <alignment horizontal="center" vertical="top" wrapText="1"/>
      <protection locked="0"/>
    </xf>
    <xf numFmtId="2" fontId="70" fillId="3" borderId="99" xfId="0" applyNumberFormat="1" applyFont="1" applyFill="1" applyBorder="1" applyAlignment="1" applyProtection="1">
      <alignment horizontal="center" vertical="top"/>
      <protection locked="0"/>
    </xf>
    <xf numFmtId="0" fontId="70" fillId="3" borderId="96" xfId="0" applyFont="1" applyFill="1" applyBorder="1" applyAlignment="1" applyProtection="1">
      <alignment horizontal="center" vertical="top"/>
      <protection locked="0"/>
    </xf>
    <xf numFmtId="166" fontId="70" fillId="3" borderId="128" xfId="2" applyNumberFormat="1" applyFont="1" applyFill="1" applyBorder="1" applyAlignment="1" applyProtection="1">
      <alignment horizontal="center" vertical="top"/>
      <protection locked="0"/>
    </xf>
    <xf numFmtId="2" fontId="70" fillId="3" borderId="128" xfId="0" quotePrefix="1" applyNumberFormat="1" applyFont="1" applyFill="1" applyBorder="1" applyAlignment="1" applyProtection="1">
      <alignment horizontal="center" vertical="top" wrapText="1"/>
      <protection locked="0"/>
    </xf>
    <xf numFmtId="2" fontId="70" fillId="3" borderId="128" xfId="0" quotePrefix="1" applyNumberFormat="1" applyFont="1" applyFill="1" applyBorder="1" applyAlignment="1" applyProtection="1">
      <alignment horizontal="center" vertical="top"/>
      <protection locked="0"/>
    </xf>
    <xf numFmtId="2" fontId="70" fillId="0" borderId="99" xfId="0" applyNumberFormat="1" applyFont="1" applyBorder="1" applyAlignment="1" applyProtection="1">
      <alignment vertical="top"/>
      <protection locked="0"/>
    </xf>
    <xf numFmtId="0" fontId="70" fillId="3" borderId="200" xfId="1" applyNumberFormat="1" applyFont="1" applyFill="1" applyBorder="1" applyAlignment="1" applyProtection="1">
      <alignment horizontal="center" vertical="top" wrapText="1"/>
      <protection locked="0"/>
    </xf>
    <xf numFmtId="165" fontId="70" fillId="3" borderId="96" xfId="1" applyFont="1" applyFill="1" applyBorder="1" applyAlignment="1" applyProtection="1">
      <alignment horizontal="center" vertical="top"/>
      <protection locked="0"/>
    </xf>
    <xf numFmtId="10" fontId="70" fillId="3" borderId="200" xfId="0" quotePrefix="1" applyNumberFormat="1" applyFont="1" applyFill="1" applyBorder="1" applyAlignment="1" applyProtection="1">
      <alignment horizontal="center" vertical="top"/>
      <protection locked="0"/>
    </xf>
    <xf numFmtId="10" fontId="70" fillId="3" borderId="96" xfId="0" quotePrefix="1" applyNumberFormat="1" applyFont="1" applyFill="1" applyBorder="1" applyAlignment="1" applyProtection="1">
      <alignment horizontal="center" vertical="top"/>
      <protection locked="0"/>
    </xf>
    <xf numFmtId="10" fontId="70" fillId="3" borderId="128" xfId="0" quotePrefix="1" applyNumberFormat="1" applyFont="1" applyFill="1" applyBorder="1" applyAlignment="1" applyProtection="1">
      <alignment horizontal="center" vertical="top"/>
      <protection locked="0"/>
    </xf>
    <xf numFmtId="10" fontId="70" fillId="3" borderId="128" xfId="0" applyNumberFormat="1" applyFont="1" applyFill="1" applyBorder="1" applyAlignment="1" applyProtection="1">
      <alignment horizontal="center" vertical="top"/>
      <protection locked="0"/>
    </xf>
    <xf numFmtId="10" fontId="70" fillId="3" borderId="96" xfId="0" applyNumberFormat="1" applyFont="1" applyFill="1" applyBorder="1" applyAlignment="1" applyProtection="1">
      <alignment horizontal="center" vertical="top"/>
      <protection locked="0"/>
    </xf>
    <xf numFmtId="2" fontId="70" fillId="3" borderId="99" xfId="0" applyNumberFormat="1" applyFont="1" applyFill="1" applyBorder="1" applyAlignment="1" applyProtection="1">
      <alignment horizontal="center" vertical="top" wrapText="1"/>
      <protection locked="0"/>
    </xf>
    <xf numFmtId="170" fontId="70" fillId="3" borderId="96" xfId="0" applyNumberFormat="1" applyFont="1" applyFill="1" applyBorder="1" applyAlignment="1" applyProtection="1">
      <alignment horizontal="center" vertical="top"/>
      <protection locked="0"/>
    </xf>
    <xf numFmtId="0" fontId="70" fillId="3" borderId="200" xfId="0" applyFont="1" applyFill="1" applyBorder="1" applyAlignment="1" applyProtection="1">
      <alignment horizontal="center" vertical="top" wrapText="1"/>
      <protection locked="0"/>
    </xf>
    <xf numFmtId="0" fontId="70" fillId="3" borderId="96" xfId="0" applyFont="1" applyFill="1" applyBorder="1" applyAlignment="1" applyProtection="1">
      <alignment horizontal="left" vertical="top"/>
      <protection locked="0"/>
    </xf>
    <xf numFmtId="10" fontId="70" fillId="5" borderId="200" xfId="2" applyNumberFormat="1" applyFont="1" applyFill="1" applyBorder="1" applyAlignment="1" applyProtection="1">
      <alignment horizontal="center" vertical="top" wrapText="1"/>
      <protection locked="0"/>
    </xf>
    <xf numFmtId="10" fontId="70" fillId="5" borderId="96" xfId="2" applyNumberFormat="1" applyFont="1" applyFill="1" applyBorder="1" applyAlignment="1" applyProtection="1">
      <alignment horizontal="center" vertical="top" wrapText="1"/>
      <protection locked="0"/>
    </xf>
    <xf numFmtId="10" fontId="70" fillId="5" borderId="128" xfId="0" applyNumberFormat="1" applyFont="1" applyFill="1" applyBorder="1" applyAlignment="1" applyProtection="1">
      <alignment horizontal="center" vertical="top"/>
      <protection locked="0"/>
    </xf>
    <xf numFmtId="2" fontId="70" fillId="5" borderId="200" xfId="0" applyNumberFormat="1" applyFont="1" applyFill="1" applyBorder="1" applyAlignment="1" applyProtection="1">
      <alignment horizontal="center" vertical="top" wrapText="1"/>
      <protection locked="0"/>
    </xf>
    <xf numFmtId="2" fontId="70" fillId="5" borderId="96" xfId="0" applyNumberFormat="1" applyFont="1" applyFill="1" applyBorder="1" applyAlignment="1" applyProtection="1">
      <alignment horizontal="center" vertical="top" wrapText="1"/>
      <protection locked="0"/>
    </xf>
    <xf numFmtId="2" fontId="70" fillId="5" borderId="128" xfId="0" applyNumberFormat="1" applyFont="1" applyFill="1" applyBorder="1" applyAlignment="1" applyProtection="1">
      <alignment horizontal="center" vertical="top"/>
      <protection locked="0"/>
    </xf>
    <xf numFmtId="1" fontId="70" fillId="24" borderId="200" xfId="0" applyNumberFormat="1" applyFont="1" applyFill="1" applyBorder="1" applyAlignment="1" applyProtection="1">
      <alignment horizontal="center" vertical="top" wrapText="1"/>
      <protection locked="0"/>
    </xf>
    <xf numFmtId="2" fontId="70" fillId="24" borderId="96" xfId="0" applyNumberFormat="1" applyFont="1" applyFill="1" applyBorder="1" applyAlignment="1" applyProtection="1">
      <alignment horizontal="center" vertical="top" wrapText="1"/>
      <protection locked="0"/>
    </xf>
    <xf numFmtId="1" fontId="70" fillId="24" borderId="128" xfId="0" applyNumberFormat="1" applyFont="1" applyFill="1" applyBorder="1" applyAlignment="1" applyProtection="1">
      <alignment horizontal="center" vertical="top"/>
      <protection locked="0"/>
    </xf>
    <xf numFmtId="2" fontId="70" fillId="24" borderId="96" xfId="0" applyNumberFormat="1" applyFont="1" applyFill="1" applyBorder="1" applyAlignment="1" applyProtection="1">
      <alignment horizontal="center" vertical="top"/>
      <protection locked="0"/>
    </xf>
    <xf numFmtId="2" fontId="70" fillId="24" borderId="99" xfId="0" applyNumberFormat="1" applyFont="1" applyFill="1" applyBorder="1" applyAlignment="1" applyProtection="1">
      <alignment vertical="top"/>
      <protection locked="0"/>
    </xf>
    <xf numFmtId="0" fontId="70" fillId="22" borderId="200" xfId="0" applyFont="1" applyFill="1" applyBorder="1" applyAlignment="1" applyProtection="1">
      <alignment horizontal="center" vertical="top" wrapText="1"/>
      <protection locked="0"/>
    </xf>
    <xf numFmtId="10" fontId="70" fillId="3" borderId="96" xfId="2" applyNumberFormat="1" applyFont="1" applyFill="1" applyBorder="1" applyAlignment="1" applyProtection="1">
      <alignment horizontal="center" vertical="top"/>
      <protection locked="0"/>
    </xf>
    <xf numFmtId="2" fontId="70" fillId="3" borderId="213" xfId="0" applyNumberFormat="1" applyFont="1" applyFill="1" applyBorder="1" applyAlignment="1" applyProtection="1">
      <alignment horizontal="center" vertical="top" wrapText="1"/>
      <protection locked="0"/>
    </xf>
    <xf numFmtId="2" fontId="70" fillId="3" borderId="105" xfId="0" applyNumberFormat="1" applyFont="1" applyFill="1" applyBorder="1" applyAlignment="1" applyProtection="1">
      <alignment horizontal="center" vertical="top" wrapText="1"/>
      <protection locked="0"/>
    </xf>
    <xf numFmtId="2" fontId="70" fillId="3" borderId="153" xfId="0" applyNumberFormat="1" applyFont="1" applyFill="1" applyBorder="1" applyAlignment="1" applyProtection="1">
      <alignment horizontal="center" vertical="top"/>
      <protection locked="0"/>
    </xf>
    <xf numFmtId="2" fontId="70" fillId="3" borderId="105" xfId="0" applyNumberFormat="1" applyFont="1" applyFill="1" applyBorder="1" applyAlignment="1" applyProtection="1">
      <alignment horizontal="center" vertical="top"/>
      <protection locked="0"/>
    </xf>
    <xf numFmtId="2" fontId="70" fillId="3" borderId="108" xfId="0" applyNumberFormat="1" applyFont="1" applyFill="1" applyBorder="1" applyAlignment="1" applyProtection="1">
      <alignment vertical="top"/>
      <protection locked="0"/>
    </xf>
    <xf numFmtId="2" fontId="70" fillId="3" borderId="213" xfId="0" applyNumberFormat="1" applyFont="1" applyFill="1" applyBorder="1" applyAlignment="1" applyProtection="1">
      <alignment horizontal="left" vertical="top"/>
      <protection locked="0"/>
    </xf>
    <xf numFmtId="2" fontId="70" fillId="3" borderId="105" xfId="0" applyNumberFormat="1" applyFont="1" applyFill="1" applyBorder="1" applyAlignment="1" applyProtection="1">
      <alignment horizontal="left" vertical="top"/>
      <protection locked="0"/>
    </xf>
    <xf numFmtId="2" fontId="70" fillId="3" borderId="298" xfId="0" applyNumberFormat="1" applyFont="1" applyFill="1" applyBorder="1" applyAlignment="1" applyProtection="1">
      <alignment horizontal="center" vertical="top" wrapText="1"/>
      <protection locked="0"/>
    </xf>
    <xf numFmtId="2" fontId="70" fillId="3" borderId="298" xfId="0" applyNumberFormat="1" applyFont="1" applyFill="1" applyBorder="1" applyAlignment="1" applyProtection="1">
      <alignment horizontal="center" vertical="top"/>
      <protection locked="0"/>
    </xf>
    <xf numFmtId="2" fontId="70" fillId="3" borderId="202" xfId="0" applyNumberFormat="1" applyFont="1" applyFill="1" applyBorder="1" applyAlignment="1" applyProtection="1">
      <alignment horizontal="center" vertical="top" wrapText="1"/>
      <protection locked="0"/>
    </xf>
    <xf numFmtId="2" fontId="70" fillId="3" borderId="190" xfId="0" applyNumberFormat="1" applyFont="1" applyFill="1" applyBorder="1" applyAlignment="1" applyProtection="1">
      <alignment horizontal="center" vertical="top" wrapText="1"/>
      <protection locked="0"/>
    </xf>
    <xf numFmtId="2" fontId="70" fillId="3" borderId="179" xfId="0" applyNumberFormat="1" applyFont="1" applyFill="1" applyBorder="1" applyAlignment="1" applyProtection="1">
      <alignment horizontal="center" vertical="top"/>
      <protection locked="0"/>
    </xf>
    <xf numFmtId="2" fontId="70" fillId="3" borderId="190" xfId="0" applyNumberFormat="1" applyFont="1" applyFill="1" applyBorder="1" applyAlignment="1" applyProtection="1">
      <alignment horizontal="center" vertical="top"/>
      <protection locked="0"/>
    </xf>
    <xf numFmtId="2" fontId="70" fillId="3" borderId="294" xfId="0" applyNumberFormat="1" applyFont="1" applyFill="1" applyBorder="1" applyAlignment="1" applyProtection="1">
      <alignment vertical="top"/>
      <protection locked="0"/>
    </xf>
    <xf numFmtId="2" fontId="70" fillId="3" borderId="202" xfId="0" applyNumberFormat="1" applyFont="1" applyFill="1" applyBorder="1" applyAlignment="1" applyProtection="1">
      <alignment horizontal="left" vertical="top"/>
      <protection locked="0"/>
    </xf>
    <xf numFmtId="2" fontId="70" fillId="3" borderId="190" xfId="0" applyNumberFormat="1" applyFont="1" applyFill="1" applyBorder="1" applyAlignment="1" applyProtection="1">
      <alignment horizontal="left" vertical="top"/>
      <protection locked="0"/>
    </xf>
    <xf numFmtId="1" fontId="70" fillId="3" borderId="213" xfId="0" applyNumberFormat="1" applyFont="1" applyFill="1" applyBorder="1" applyAlignment="1" applyProtection="1">
      <alignment horizontal="center" vertical="top" wrapText="1"/>
      <protection locked="0"/>
    </xf>
    <xf numFmtId="1" fontId="70" fillId="3" borderId="105" xfId="0" applyNumberFormat="1" applyFont="1" applyFill="1" applyBorder="1" applyAlignment="1" applyProtection="1">
      <alignment horizontal="center" vertical="top"/>
      <protection locked="0"/>
    </xf>
    <xf numFmtId="1" fontId="70" fillId="3" borderId="153" xfId="0" applyNumberFormat="1" applyFont="1" applyFill="1" applyBorder="1" applyAlignment="1" applyProtection="1">
      <alignment horizontal="center" vertical="top"/>
      <protection locked="0"/>
    </xf>
    <xf numFmtId="0" fontId="70" fillId="22" borderId="200" xfId="1" applyNumberFormat="1" applyFont="1" applyFill="1" applyBorder="1" applyAlignment="1" applyProtection="1">
      <alignment horizontal="center" vertical="top"/>
      <protection locked="0"/>
    </xf>
    <xf numFmtId="10" fontId="70" fillId="3" borderId="128" xfId="2" applyNumberFormat="1" applyFont="1" applyFill="1" applyBorder="1" applyAlignment="1" applyProtection="1">
      <alignment horizontal="center" vertical="top" wrapText="1"/>
      <protection locked="0"/>
    </xf>
    <xf numFmtId="2" fontId="70" fillId="3" borderId="204" xfId="0" applyNumberFormat="1" applyFont="1" applyFill="1" applyBorder="1" applyAlignment="1" applyProtection="1">
      <alignment horizontal="center" vertical="top" wrapText="1"/>
      <protection locked="0"/>
    </xf>
    <xf numFmtId="2" fontId="70" fillId="3" borderId="87" xfId="0" applyNumberFormat="1" applyFont="1" applyFill="1" applyBorder="1" applyAlignment="1" applyProtection="1">
      <alignment horizontal="center" vertical="top" wrapText="1"/>
      <protection locked="0"/>
    </xf>
    <xf numFmtId="2" fontId="70" fillId="3" borderId="126" xfId="0" applyNumberFormat="1" applyFont="1" applyFill="1" applyBorder="1" applyAlignment="1" applyProtection="1">
      <alignment horizontal="center" vertical="top" wrapText="1"/>
      <protection locked="0"/>
    </xf>
    <xf numFmtId="2" fontId="70" fillId="3" borderId="87" xfId="0" applyNumberFormat="1" applyFont="1" applyFill="1" applyBorder="1" applyAlignment="1" applyProtection="1">
      <alignment horizontal="center" vertical="top"/>
      <protection locked="0"/>
    </xf>
    <xf numFmtId="1" fontId="70" fillId="3" borderId="206" xfId="0" applyNumberFormat="1" applyFont="1" applyFill="1" applyBorder="1" applyAlignment="1" applyProtection="1">
      <alignment horizontal="center" vertical="top" wrapText="1"/>
      <protection locked="0"/>
    </xf>
    <xf numFmtId="1" fontId="70" fillId="3" borderId="192" xfId="0" applyNumberFormat="1" applyFont="1" applyFill="1" applyBorder="1" applyAlignment="1" applyProtection="1">
      <alignment horizontal="center" vertical="top" wrapText="1"/>
      <protection locked="0"/>
    </xf>
    <xf numFmtId="1" fontId="70" fillId="3" borderId="147" xfId="0" applyNumberFormat="1" applyFont="1" applyFill="1" applyBorder="1" applyAlignment="1" applyProtection="1">
      <alignment horizontal="center" vertical="top"/>
      <protection locked="0"/>
    </xf>
    <xf numFmtId="2" fontId="70" fillId="3" borderId="282" xfId="0" applyNumberFormat="1" applyFont="1" applyFill="1" applyBorder="1" applyAlignment="1" applyProtection="1">
      <alignment vertical="top"/>
      <protection locked="0"/>
    </xf>
    <xf numFmtId="2" fontId="70" fillId="3" borderId="206" xfId="0" applyNumberFormat="1" applyFont="1" applyFill="1" applyBorder="1" applyAlignment="1" applyProtection="1">
      <alignment horizontal="left" vertical="top"/>
      <protection locked="0"/>
    </xf>
    <xf numFmtId="2" fontId="70" fillId="3" borderId="192" xfId="0" applyNumberFormat="1" applyFont="1" applyFill="1" applyBorder="1" applyAlignment="1" applyProtection="1">
      <alignment horizontal="left" vertical="top"/>
      <protection locked="0"/>
    </xf>
    <xf numFmtId="2" fontId="70" fillId="3" borderId="147" xfId="0" applyNumberFormat="1" applyFont="1" applyFill="1" applyBorder="1" applyAlignment="1" applyProtection="1">
      <alignment horizontal="center" vertical="top"/>
      <protection locked="0"/>
    </xf>
    <xf numFmtId="2" fontId="70" fillId="22" borderId="200" xfId="0" applyNumberFormat="1" applyFont="1" applyFill="1" applyBorder="1" applyAlignment="1" applyProtection="1">
      <alignment horizontal="center" vertical="top" wrapText="1"/>
      <protection locked="0"/>
    </xf>
    <xf numFmtId="10" fontId="70" fillId="3" borderId="200" xfId="0" applyNumberFormat="1" applyFont="1" applyFill="1" applyBorder="1" applyAlignment="1" applyProtection="1">
      <alignment horizontal="center" vertical="top"/>
      <protection locked="0"/>
    </xf>
    <xf numFmtId="2" fontId="70" fillId="3" borderId="208" xfId="0" applyNumberFormat="1" applyFont="1" applyFill="1" applyBorder="1" applyAlignment="1" applyProtection="1">
      <alignment horizontal="center" vertical="top" wrapText="1"/>
      <protection locked="0"/>
    </xf>
    <xf numFmtId="2" fontId="70" fillId="3" borderId="117" xfId="0" applyNumberFormat="1" applyFont="1" applyFill="1" applyBorder="1" applyAlignment="1" applyProtection="1">
      <alignment horizontal="center" vertical="top" wrapText="1"/>
      <protection locked="0"/>
    </xf>
    <xf numFmtId="1" fontId="70" fillId="3" borderId="117" xfId="0" applyNumberFormat="1" applyFont="1" applyFill="1" applyBorder="1" applyAlignment="1" applyProtection="1">
      <alignment horizontal="center" vertical="top"/>
      <protection locked="0"/>
    </xf>
    <xf numFmtId="2" fontId="70" fillId="3" borderId="277" xfId="0" applyNumberFormat="1" applyFont="1" applyFill="1" applyBorder="1" applyAlignment="1" applyProtection="1">
      <alignment vertical="top"/>
      <protection locked="0"/>
    </xf>
    <xf numFmtId="2" fontId="70" fillId="3" borderId="208" xfId="0" applyNumberFormat="1" applyFont="1" applyFill="1" applyBorder="1" applyAlignment="1" applyProtection="1">
      <alignment horizontal="left" vertical="top"/>
      <protection locked="0"/>
    </xf>
    <xf numFmtId="2" fontId="70" fillId="3" borderId="117" xfId="0" applyNumberFormat="1" applyFont="1" applyFill="1" applyBorder="1" applyAlignment="1" applyProtection="1">
      <alignment horizontal="left" vertical="top"/>
      <protection locked="0"/>
    </xf>
    <xf numFmtId="2" fontId="70" fillId="3" borderId="130" xfId="0" applyNumberFormat="1" applyFont="1" applyFill="1" applyBorder="1" applyAlignment="1" applyProtection="1">
      <alignment horizontal="center" vertical="top"/>
      <protection locked="0"/>
    </xf>
    <xf numFmtId="0" fontId="70" fillId="0" borderId="0" xfId="0" applyFont="1" applyAlignment="1" applyProtection="1">
      <alignment vertical="top"/>
      <protection locked="0"/>
    </xf>
    <xf numFmtId="0" fontId="70" fillId="0" borderId="0" xfId="0" applyFont="1" applyAlignment="1" applyProtection="1">
      <alignment horizontal="center" vertical="top"/>
      <protection locked="0"/>
    </xf>
    <xf numFmtId="0" fontId="70" fillId="0" borderId="0" xfId="0" applyFont="1" applyAlignment="1" applyProtection="1">
      <alignment horizontal="left" vertical="top"/>
      <protection locked="0"/>
    </xf>
    <xf numFmtId="2" fontId="58" fillId="0" borderId="147" xfId="0" applyNumberFormat="1" applyFont="1" applyBorder="1" applyAlignment="1" applyProtection="1">
      <alignment horizontal="center" vertical="top" wrapText="1"/>
      <protection locked="0"/>
    </xf>
    <xf numFmtId="2" fontId="58" fillId="0" borderId="145" xfId="0" applyNumberFormat="1" applyFont="1" applyBorder="1" applyAlignment="1" applyProtection="1">
      <alignment horizontal="center" vertical="top" wrapText="1"/>
      <protection locked="0"/>
    </xf>
    <xf numFmtId="1" fontId="58" fillId="0" borderId="145" xfId="0" applyNumberFormat="1" applyFont="1" applyBorder="1" applyAlignment="1" applyProtection="1">
      <alignment horizontal="center" vertical="top" wrapText="1"/>
      <protection locked="0"/>
    </xf>
    <xf numFmtId="1" fontId="58" fillId="0" borderId="128" xfId="0" applyNumberFormat="1" applyFont="1" applyBorder="1" applyAlignment="1" applyProtection="1">
      <alignment horizontal="center" vertical="top" wrapText="1"/>
      <protection locked="0"/>
    </xf>
    <xf numFmtId="1" fontId="58" fillId="0" borderId="92" xfId="0" applyNumberFormat="1" applyFont="1" applyBorder="1" applyAlignment="1" applyProtection="1">
      <alignment horizontal="center" vertical="top" wrapText="1"/>
      <protection locked="0"/>
    </xf>
    <xf numFmtId="9" fontId="58" fillId="0" borderId="128" xfId="0" applyNumberFormat="1" applyFont="1" applyBorder="1" applyAlignment="1" applyProtection="1">
      <alignment horizontal="center" vertical="top" wrapText="1"/>
      <protection locked="0"/>
    </xf>
    <xf numFmtId="9" fontId="58" fillId="0" borderId="92" xfId="0" applyNumberFormat="1" applyFont="1" applyBorder="1" applyAlignment="1" applyProtection="1">
      <alignment horizontal="center" vertical="top" wrapText="1"/>
      <protection locked="0"/>
    </xf>
    <xf numFmtId="1" fontId="58" fillId="0" borderId="161" xfId="0" applyNumberFormat="1" applyFont="1" applyBorder="1" applyAlignment="1" applyProtection="1">
      <alignment horizontal="center" vertical="top" wrapText="1"/>
      <protection locked="0"/>
    </xf>
    <xf numFmtId="1" fontId="58" fillId="0" borderId="159" xfId="0" applyNumberFormat="1" applyFont="1" applyBorder="1" applyAlignment="1" applyProtection="1">
      <alignment horizontal="center" vertical="top" wrapText="1"/>
      <protection locked="0"/>
    </xf>
    <xf numFmtId="1" fontId="58" fillId="0" borderId="147" xfId="0" applyNumberFormat="1" applyFont="1" applyBorder="1" applyAlignment="1" applyProtection="1">
      <alignment horizontal="center" vertical="top" wrapText="1"/>
      <protection locked="0"/>
    </xf>
    <xf numFmtId="1" fontId="59" fillId="2" borderId="76" xfId="0" applyNumberFormat="1" applyFont="1" applyFill="1" applyBorder="1" applyAlignment="1" applyProtection="1">
      <alignment horizontal="center" vertical="center" wrapText="1" readingOrder="1"/>
      <protection locked="0"/>
    </xf>
    <xf numFmtId="0" fontId="59" fillId="2" borderId="27" xfId="0" applyFont="1" applyFill="1" applyBorder="1" applyAlignment="1" applyProtection="1">
      <alignment horizontal="center" vertical="center" wrapText="1" readingOrder="1"/>
      <protection locked="0"/>
    </xf>
    <xf numFmtId="0" fontId="58" fillId="2" borderId="34" xfId="0" applyFont="1" applyFill="1" applyBorder="1" applyAlignment="1" applyProtection="1">
      <alignment horizontal="center" vertical="center" wrapText="1" readingOrder="1"/>
      <protection locked="0"/>
    </xf>
    <xf numFmtId="0" fontId="58" fillId="2" borderId="35" xfId="0" applyFont="1" applyFill="1" applyBorder="1" applyAlignment="1" applyProtection="1">
      <alignment horizontal="center" vertical="center" wrapText="1" readingOrder="1"/>
      <protection locked="0"/>
    </xf>
    <xf numFmtId="2" fontId="58" fillId="3" borderId="108" xfId="0" applyNumberFormat="1" applyFont="1" applyFill="1" applyBorder="1" applyAlignment="1" applyProtection="1">
      <alignment vertical="top"/>
      <protection locked="0"/>
    </xf>
    <xf numFmtId="2" fontId="58" fillId="0" borderId="213" xfId="0" applyNumberFormat="1" applyFont="1" applyBorder="1" applyAlignment="1" applyProtection="1">
      <alignment vertical="top" wrapText="1"/>
      <protection locked="0"/>
    </xf>
    <xf numFmtId="2" fontId="58" fillId="0" borderId="101" xfId="0" applyNumberFormat="1" applyFont="1" applyBorder="1" applyAlignment="1" applyProtection="1">
      <alignment vertical="top"/>
      <protection locked="0"/>
    </xf>
    <xf numFmtId="2" fontId="58" fillId="0" borderId="102" xfId="0" applyNumberFormat="1" applyFont="1" applyBorder="1" applyAlignment="1" applyProtection="1">
      <alignment vertical="top"/>
      <protection locked="0"/>
    </xf>
    <xf numFmtId="2" fontId="58" fillId="0" borderId="96" xfId="0" applyNumberFormat="1" applyFont="1" applyBorder="1" applyAlignment="1" applyProtection="1">
      <alignment horizontal="center" vertical="top" wrapText="1"/>
      <protection locked="0"/>
    </xf>
    <xf numFmtId="2" fontId="58" fillId="0" borderId="97" xfId="0" applyNumberFormat="1" applyFont="1" applyBorder="1" applyAlignment="1" applyProtection="1">
      <alignment vertical="top"/>
      <protection locked="0"/>
    </xf>
    <xf numFmtId="2" fontId="58" fillId="0" borderId="96" xfId="0" applyNumberFormat="1" applyFont="1" applyBorder="1" applyAlignment="1" applyProtection="1">
      <alignment horizontal="center" vertical="top"/>
      <protection locked="0"/>
    </xf>
    <xf numFmtId="2" fontId="58" fillId="3" borderId="99" xfId="0" applyNumberFormat="1" applyFont="1" applyFill="1" applyBorder="1" applyAlignment="1" applyProtection="1">
      <alignment vertical="top"/>
      <protection locked="0"/>
    </xf>
    <xf numFmtId="2" fontId="58" fillId="0" borderId="200" xfId="0" applyNumberFormat="1" applyFont="1" applyBorder="1" applyAlignment="1" applyProtection="1">
      <alignment vertical="top"/>
      <protection locked="0"/>
    </xf>
    <xf numFmtId="2" fontId="58" fillId="0" borderId="92" xfId="0" applyNumberFormat="1" applyFont="1" applyBorder="1" applyAlignment="1" applyProtection="1">
      <alignment vertical="top"/>
      <protection locked="0"/>
    </xf>
    <xf numFmtId="2" fontId="58" fillId="0" borderId="93" xfId="0" applyNumberFormat="1" applyFont="1" applyBorder="1" applyAlignment="1" applyProtection="1">
      <alignment vertical="top"/>
      <protection locked="0"/>
    </xf>
    <xf numFmtId="9" fontId="58" fillId="0" borderId="128" xfId="0" applyNumberFormat="1" applyFont="1" applyBorder="1" applyAlignment="1" applyProtection="1">
      <alignment horizontal="center" vertical="top"/>
      <protection locked="0"/>
    </xf>
    <xf numFmtId="9" fontId="58" fillId="0" borderId="96" xfId="0" applyNumberFormat="1" applyFont="1" applyBorder="1" applyAlignment="1" applyProtection="1">
      <alignment horizontal="center" vertical="top"/>
      <protection locked="0"/>
    </xf>
    <xf numFmtId="9" fontId="58" fillId="0" borderId="97" xfId="0" applyNumberFormat="1" applyFont="1" applyBorder="1" applyAlignment="1" applyProtection="1">
      <alignment horizontal="center" vertical="top"/>
      <protection locked="0"/>
    </xf>
    <xf numFmtId="9" fontId="58" fillId="0" borderId="99" xfId="0" applyNumberFormat="1" applyFont="1" applyBorder="1" applyAlignment="1" applyProtection="1">
      <alignment horizontal="center" vertical="top"/>
      <protection locked="0"/>
    </xf>
    <xf numFmtId="174" fontId="58" fillId="0" borderId="128" xfId="1" applyNumberFormat="1" applyFont="1" applyBorder="1" applyAlignment="1" applyProtection="1">
      <alignment horizontal="center" vertical="top" wrapText="1"/>
      <protection locked="0"/>
    </xf>
    <xf numFmtId="174" fontId="58" fillId="0" borderId="96" xfId="1" applyNumberFormat="1" applyFont="1" applyBorder="1" applyAlignment="1" applyProtection="1">
      <alignment horizontal="center" vertical="top" wrapText="1"/>
      <protection locked="0"/>
    </xf>
    <xf numFmtId="174" fontId="58" fillId="0" borderId="97" xfId="1" applyNumberFormat="1" applyFont="1" applyBorder="1" applyAlignment="1" applyProtection="1">
      <alignment horizontal="center" vertical="top"/>
      <protection locked="0"/>
    </xf>
    <xf numFmtId="174" fontId="58" fillId="0" borderId="96" xfId="1" applyNumberFormat="1" applyFont="1" applyBorder="1" applyAlignment="1" applyProtection="1">
      <alignment horizontal="center" vertical="top"/>
      <protection locked="0"/>
    </xf>
    <xf numFmtId="174" fontId="58" fillId="0" borderId="161" xfId="1" applyNumberFormat="1" applyFont="1" applyBorder="1" applyAlignment="1" applyProtection="1">
      <alignment horizontal="center" vertical="top" wrapText="1"/>
      <protection locked="0"/>
    </xf>
    <xf numFmtId="174" fontId="58" fillId="0" borderId="220" xfId="1" applyNumberFormat="1" applyFont="1" applyBorder="1" applyAlignment="1" applyProtection="1">
      <alignment horizontal="center" vertical="top"/>
      <protection locked="0"/>
    </xf>
    <xf numFmtId="174" fontId="58" fillId="0" borderId="221" xfId="1" applyNumberFormat="1" applyFont="1" applyBorder="1" applyAlignment="1" applyProtection="1">
      <alignment horizontal="center" vertical="top"/>
      <protection locked="0"/>
    </xf>
    <xf numFmtId="2" fontId="58" fillId="3" borderId="280" xfId="0" applyNumberFormat="1" applyFont="1" applyFill="1" applyBorder="1" applyAlignment="1" applyProtection="1">
      <alignment vertical="top"/>
      <protection locked="0"/>
    </xf>
    <xf numFmtId="2" fontId="58" fillId="0" borderId="218" xfId="0" applyNumberFormat="1" applyFont="1" applyBorder="1" applyAlignment="1" applyProtection="1">
      <alignment vertical="top"/>
      <protection locked="0"/>
    </xf>
    <xf numFmtId="2" fontId="58" fillId="0" borderId="159" xfId="0" applyNumberFormat="1" applyFont="1" applyBorder="1" applyAlignment="1" applyProtection="1">
      <alignment vertical="top"/>
      <protection locked="0"/>
    </xf>
    <xf numFmtId="2" fontId="58" fillId="0" borderId="162" xfId="0" applyNumberFormat="1" applyFont="1" applyBorder="1" applyAlignment="1" applyProtection="1">
      <alignment vertical="top"/>
      <protection locked="0"/>
    </xf>
    <xf numFmtId="2" fontId="58" fillId="3" borderId="282" xfId="0" applyNumberFormat="1" applyFont="1" applyFill="1" applyBorder="1" applyAlignment="1" applyProtection="1">
      <alignment vertical="top"/>
      <protection locked="0"/>
    </xf>
    <xf numFmtId="2" fontId="58" fillId="0" borderId="206" xfId="0" applyNumberFormat="1" applyFont="1" applyBorder="1" applyAlignment="1" applyProtection="1">
      <alignment vertical="top" wrapText="1"/>
      <protection locked="0"/>
    </xf>
    <xf numFmtId="2" fontId="58" fillId="0" borderId="145" xfId="0" applyNumberFormat="1" applyFont="1" applyBorder="1" applyAlignment="1" applyProtection="1">
      <alignment vertical="top"/>
      <protection locked="0"/>
    </xf>
    <xf numFmtId="2" fontId="58" fillId="0" borderId="148" xfId="0" applyNumberFormat="1" applyFont="1" applyBorder="1" applyAlignment="1" applyProtection="1">
      <alignment vertical="top"/>
      <protection locked="0"/>
    </xf>
    <xf numFmtId="0" fontId="58" fillId="0" borderId="0" xfId="0" applyFont="1" applyAlignment="1" applyProtection="1">
      <alignment horizontal="center" vertical="top"/>
      <protection locked="0"/>
    </xf>
    <xf numFmtId="0" fontId="58" fillId="6" borderId="79" xfId="3" applyFont="1" applyFill="1" applyBorder="1" applyAlignment="1" applyProtection="1">
      <alignment horizontal="center" vertical="center"/>
      <protection locked="0"/>
    </xf>
    <xf numFmtId="0" fontId="58" fillId="6" borderId="34" xfId="3" applyFont="1" applyFill="1" applyBorder="1" applyAlignment="1" applyProtection="1">
      <alignment horizontal="center" vertical="center"/>
      <protection locked="0"/>
    </xf>
    <xf numFmtId="2" fontId="58" fillId="0" borderId="55" xfId="0" applyNumberFormat="1" applyFont="1" applyBorder="1" applyAlignment="1" applyProtection="1">
      <alignment vertical="top"/>
      <protection locked="0"/>
    </xf>
    <xf numFmtId="2" fontId="58" fillId="0" borderId="56" xfId="0" applyNumberFormat="1" applyFont="1" applyBorder="1" applyAlignment="1" applyProtection="1">
      <alignment vertical="top"/>
      <protection locked="0"/>
    </xf>
    <xf numFmtId="0" fontId="58" fillId="0" borderId="0" xfId="0" applyFont="1" applyProtection="1">
      <protection locked="0"/>
    </xf>
    <xf numFmtId="0" fontId="58" fillId="6" borderId="76" xfId="3" applyFont="1" applyFill="1" applyBorder="1" applyAlignment="1" applyProtection="1">
      <alignment horizontal="center" vertical="top" wrapText="1"/>
      <protection locked="0"/>
    </xf>
    <xf numFmtId="0" fontId="58" fillId="6" borderId="34" xfId="3" applyFont="1" applyFill="1" applyBorder="1" applyAlignment="1" applyProtection="1">
      <alignment horizontal="center" vertical="top" wrapText="1"/>
      <protection locked="0"/>
    </xf>
    <xf numFmtId="1" fontId="61" fillId="0" borderId="128" xfId="0" applyNumberFormat="1" applyFont="1" applyBorder="1" applyAlignment="1" applyProtection="1">
      <alignment horizontal="center" vertical="top" wrapText="1"/>
      <protection locked="0"/>
    </xf>
    <xf numFmtId="1" fontId="58" fillId="22" borderId="128" xfId="0" applyNumberFormat="1" applyFont="1" applyFill="1" applyBorder="1" applyAlignment="1" applyProtection="1">
      <alignment horizontal="center" vertical="top" wrapText="1"/>
      <protection locked="0"/>
    </xf>
    <xf numFmtId="1" fontId="58" fillId="22" borderId="92" xfId="0" applyNumberFormat="1" applyFont="1" applyFill="1" applyBorder="1" applyAlignment="1" applyProtection="1">
      <alignment horizontal="center" vertical="top" wrapText="1"/>
      <protection locked="0"/>
    </xf>
    <xf numFmtId="1" fontId="61" fillId="22" borderId="92" xfId="0" applyNumberFormat="1" applyFont="1" applyFill="1" applyBorder="1" applyAlignment="1" applyProtection="1">
      <alignment horizontal="center" vertical="top" wrapText="1"/>
      <protection locked="0"/>
    </xf>
    <xf numFmtId="1" fontId="59" fillId="2" borderId="196" xfId="0" applyNumberFormat="1" applyFont="1" applyFill="1" applyBorder="1" applyAlignment="1" applyProtection="1">
      <alignment horizontal="center" vertical="center" wrapText="1" readingOrder="1"/>
      <protection locked="0"/>
    </xf>
    <xf numFmtId="0" fontId="59" fillId="2" borderId="182" xfId="0" applyFont="1" applyFill="1" applyBorder="1" applyAlignment="1" applyProtection="1">
      <alignment horizontal="center" vertical="center" wrapText="1" readingOrder="1"/>
      <protection locked="0"/>
    </xf>
    <xf numFmtId="0" fontId="59" fillId="2" borderId="197" xfId="0" applyFont="1" applyFill="1" applyBorder="1" applyAlignment="1" applyProtection="1">
      <alignment horizontal="center" vertical="center" wrapText="1" readingOrder="1"/>
      <protection locked="0"/>
    </xf>
    <xf numFmtId="0" fontId="59" fillId="2" borderId="76" xfId="0" applyFont="1" applyFill="1" applyBorder="1" applyAlignment="1" applyProtection="1">
      <alignment horizontal="left" vertical="center" wrapText="1" readingOrder="1"/>
      <protection locked="0"/>
    </xf>
    <xf numFmtId="0" fontId="59" fillId="2" borderId="193" xfId="0" applyFont="1" applyFill="1" applyBorder="1" applyAlignment="1" applyProtection="1">
      <alignment horizontal="left" vertical="center" wrapText="1" readingOrder="1"/>
      <protection locked="0"/>
    </xf>
    <xf numFmtId="0" fontId="59" fillId="2" borderId="77" xfId="0" applyFont="1" applyFill="1" applyBorder="1" applyAlignment="1" applyProtection="1">
      <alignment horizontal="center" vertical="center" wrapText="1" readingOrder="1"/>
      <protection locked="0"/>
    </xf>
    <xf numFmtId="1" fontId="58" fillId="0" borderId="200" xfId="0" applyNumberFormat="1" applyFont="1" applyBorder="1" applyAlignment="1" applyProtection="1">
      <alignment horizontal="center" vertical="top" wrapText="1"/>
      <protection locked="0"/>
    </xf>
    <xf numFmtId="1" fontId="58" fillId="0" borderId="184" xfId="0" applyNumberFormat="1" applyFont="1" applyBorder="1" applyAlignment="1" applyProtection="1">
      <alignment horizontal="center" vertical="top" wrapText="1"/>
      <protection locked="0"/>
    </xf>
    <xf numFmtId="1" fontId="58" fillId="0" borderId="97" xfId="0" applyNumberFormat="1" applyFont="1" applyBorder="1" applyAlignment="1" applyProtection="1">
      <alignment horizontal="center" vertical="top"/>
      <protection locked="0"/>
    </xf>
    <xf numFmtId="1" fontId="58" fillId="0" borderId="96" xfId="0" applyNumberFormat="1" applyFont="1" applyBorder="1" applyAlignment="1" applyProtection="1">
      <alignment horizontal="center" vertical="top"/>
      <protection locked="0"/>
    </xf>
    <xf numFmtId="2" fontId="58" fillId="3" borderId="201" xfId="0" applyNumberFormat="1" applyFont="1" applyFill="1" applyBorder="1" applyAlignment="1" applyProtection="1">
      <alignment vertical="top"/>
      <protection locked="0"/>
    </xf>
    <xf numFmtId="0" fontId="58" fillId="0" borderId="128" xfId="0" applyFont="1" applyBorder="1" applyAlignment="1" applyProtection="1">
      <alignment vertical="top" wrapText="1"/>
      <protection locked="0"/>
    </xf>
    <xf numFmtId="0" fontId="58" fillId="0" borderId="93" xfId="0" applyFont="1" applyBorder="1" applyAlignment="1" applyProtection="1">
      <alignment vertical="top" wrapText="1"/>
      <protection locked="0"/>
    </xf>
    <xf numFmtId="1" fontId="58" fillId="3" borderId="201" xfId="0" applyNumberFormat="1" applyFont="1" applyFill="1" applyBorder="1" applyAlignment="1" applyProtection="1">
      <alignment horizontal="center" vertical="top"/>
      <protection locked="0"/>
    </xf>
    <xf numFmtId="0" fontId="58" fillId="0" borderId="200" xfId="0" quotePrefix="1" applyFont="1" applyBorder="1" applyAlignment="1" applyProtection="1">
      <alignment horizontal="center" vertical="top"/>
      <protection locked="0"/>
    </xf>
    <xf numFmtId="0" fontId="58" fillId="0" borderId="97" xfId="0" quotePrefix="1" applyFont="1" applyBorder="1" applyAlignment="1" applyProtection="1">
      <alignment horizontal="center" vertical="top"/>
      <protection locked="0"/>
    </xf>
    <xf numFmtId="1" fontId="58" fillId="0" borderId="204" xfId="0" applyNumberFormat="1" applyFont="1" applyBorder="1" applyAlignment="1" applyProtection="1">
      <alignment horizontal="center" vertical="top" wrapText="1"/>
      <protection locked="0"/>
    </xf>
    <xf numFmtId="1" fontId="58" fillId="0" borderId="186" xfId="0" applyNumberFormat="1" applyFont="1" applyBorder="1" applyAlignment="1" applyProtection="1">
      <alignment horizontal="center" vertical="top" wrapText="1"/>
      <protection locked="0"/>
    </xf>
    <xf numFmtId="1" fontId="58" fillId="0" borderId="88" xfId="0" applyNumberFormat="1" applyFont="1" applyBorder="1" applyAlignment="1" applyProtection="1">
      <alignment horizontal="center" vertical="top"/>
      <protection locked="0"/>
    </xf>
    <xf numFmtId="1" fontId="58" fillId="0" borderId="87" xfId="0" applyNumberFormat="1" applyFont="1" applyBorder="1" applyAlignment="1" applyProtection="1">
      <alignment horizontal="center" vertical="top"/>
      <protection locked="0"/>
    </xf>
    <xf numFmtId="1" fontId="58" fillId="3" borderId="205" xfId="0" applyNumberFormat="1" applyFont="1" applyFill="1" applyBorder="1" applyAlignment="1" applyProtection="1">
      <alignment horizontal="center" vertical="top"/>
      <protection locked="0"/>
    </xf>
    <xf numFmtId="169" fontId="58" fillId="0" borderId="213" xfId="0" applyNumberFormat="1" applyFont="1" applyBorder="1" applyAlignment="1" applyProtection="1">
      <alignment horizontal="center" vertical="top"/>
      <protection locked="0"/>
    </xf>
    <xf numFmtId="169" fontId="58" fillId="0" borderId="214" xfId="0" applyNumberFormat="1" applyFont="1" applyBorder="1" applyAlignment="1" applyProtection="1">
      <alignment horizontal="center" vertical="top" wrapText="1"/>
      <protection locked="0"/>
    </xf>
    <xf numFmtId="1" fontId="58" fillId="0" borderId="106" xfId="0" applyNumberFormat="1" applyFont="1" applyBorder="1" applyAlignment="1" applyProtection="1">
      <alignment horizontal="center" vertical="top"/>
      <protection locked="0"/>
    </xf>
    <xf numFmtId="1" fontId="58" fillId="0" borderId="105" xfId="0" applyNumberFormat="1" applyFont="1" applyBorder="1" applyAlignment="1" applyProtection="1">
      <alignment horizontal="center" vertical="top"/>
      <protection locked="0"/>
    </xf>
    <xf numFmtId="2" fontId="58" fillId="3" borderId="215" xfId="0" applyNumberFormat="1" applyFont="1" applyFill="1" applyBorder="1" applyAlignment="1" applyProtection="1">
      <alignment horizontal="center" vertical="top"/>
      <protection locked="0"/>
    </xf>
    <xf numFmtId="169" fontId="58" fillId="0" borderId="200" xfId="0" applyNumberFormat="1" applyFont="1" applyBorder="1" applyAlignment="1" applyProtection="1">
      <alignment horizontal="center" vertical="top" wrapText="1"/>
      <protection locked="0"/>
    </xf>
    <xf numFmtId="169" fontId="86" fillId="0" borderId="184" xfId="0" applyNumberFormat="1" applyFont="1" applyBorder="1" applyAlignment="1" applyProtection="1">
      <alignment horizontal="center" vertical="top" wrapText="1"/>
      <protection locked="0"/>
    </xf>
    <xf numFmtId="1" fontId="58" fillId="0" borderId="97" xfId="0" applyNumberFormat="1" applyFont="1" applyBorder="1" applyAlignment="1" applyProtection="1">
      <alignment horizontal="center" vertical="top" wrapText="1"/>
      <protection locked="0"/>
    </xf>
    <xf numFmtId="2" fontId="58" fillId="3" borderId="201" xfId="0" applyNumberFormat="1" applyFont="1" applyFill="1" applyBorder="1" applyAlignment="1" applyProtection="1">
      <alignment horizontal="center" vertical="top"/>
      <protection locked="0"/>
    </xf>
    <xf numFmtId="0" fontId="58" fillId="0" borderId="128" xfId="0" applyFont="1" applyBorder="1" applyAlignment="1" applyProtection="1">
      <alignment horizontal="left" vertical="top" wrapText="1"/>
      <protection locked="0"/>
    </xf>
    <xf numFmtId="0" fontId="58" fillId="0" borderId="93" xfId="0" applyFont="1" applyBorder="1" applyAlignment="1" applyProtection="1">
      <alignment horizontal="left" vertical="top" wrapText="1"/>
      <protection locked="0"/>
    </xf>
    <xf numFmtId="0" fontId="58" fillId="0" borderId="93" xfId="0" applyFont="1" applyBorder="1" applyAlignment="1" applyProtection="1">
      <alignment horizontal="center" vertical="top" wrapText="1"/>
      <protection locked="0"/>
    </xf>
    <xf numFmtId="10" fontId="58" fillId="0" borderId="204" xfId="2" applyNumberFormat="1" applyFont="1" applyBorder="1" applyAlignment="1" applyProtection="1">
      <alignment horizontal="center" vertical="top" wrapText="1"/>
      <protection locked="0"/>
    </xf>
    <xf numFmtId="10" fontId="85" fillId="22" borderId="186" xfId="2" applyNumberFormat="1" applyFont="1" applyFill="1" applyBorder="1" applyAlignment="1" applyProtection="1">
      <alignment horizontal="center" vertical="top" wrapText="1"/>
      <protection locked="0"/>
    </xf>
    <xf numFmtId="10" fontId="58" fillId="0" borderId="88" xfId="2" applyNumberFormat="1" applyFont="1" applyBorder="1" applyAlignment="1" applyProtection="1">
      <alignment horizontal="center" vertical="top"/>
      <protection locked="0"/>
    </xf>
    <xf numFmtId="10" fontId="58" fillId="0" borderId="87" xfId="2" applyNumberFormat="1" applyFont="1" applyBorder="1" applyAlignment="1" applyProtection="1">
      <alignment horizontal="center" vertical="top"/>
      <protection locked="0"/>
    </xf>
    <xf numFmtId="10" fontId="58" fillId="3" borderId="205" xfId="2" applyNumberFormat="1" applyFont="1" applyFill="1" applyBorder="1" applyAlignment="1" applyProtection="1">
      <alignment horizontal="center" vertical="top"/>
      <protection locked="0"/>
    </xf>
    <xf numFmtId="0" fontId="58" fillId="0" borderId="126" xfId="0" applyFont="1" applyBorder="1" applyAlignment="1" applyProtection="1">
      <alignment vertical="top" wrapText="1"/>
      <protection locked="0"/>
    </xf>
    <xf numFmtId="1" fontId="58" fillId="0" borderId="202" xfId="0" applyNumberFormat="1" applyFont="1" applyBorder="1" applyAlignment="1" applyProtection="1">
      <alignment horizontal="center" vertical="top" wrapText="1"/>
      <protection locked="0"/>
    </xf>
    <xf numFmtId="1" fontId="58" fillId="0" borderId="185" xfId="0" applyNumberFormat="1" applyFont="1" applyBorder="1" applyAlignment="1" applyProtection="1">
      <alignment horizontal="center" vertical="top" wrapText="1"/>
      <protection locked="0"/>
    </xf>
    <xf numFmtId="1" fontId="58" fillId="0" borderId="189" xfId="0" applyNumberFormat="1" applyFont="1" applyBorder="1" applyAlignment="1" applyProtection="1">
      <alignment horizontal="center" vertical="top"/>
      <protection locked="0"/>
    </xf>
    <xf numFmtId="1" fontId="58" fillId="0" borderId="190" xfId="0" applyNumberFormat="1" applyFont="1" applyBorder="1" applyAlignment="1" applyProtection="1">
      <alignment horizontal="center" vertical="top"/>
      <protection locked="0"/>
    </xf>
    <xf numFmtId="2" fontId="58" fillId="3" borderId="203" xfId="0" applyNumberFormat="1" applyFont="1" applyFill="1" applyBorder="1" applyAlignment="1" applyProtection="1">
      <alignment horizontal="center" vertical="top"/>
      <protection locked="0"/>
    </xf>
    <xf numFmtId="0" fontId="58" fillId="0" borderId="179" xfId="0" applyFont="1" applyBorder="1" applyAlignment="1" applyProtection="1">
      <alignment vertical="top"/>
      <protection locked="0"/>
    </xf>
    <xf numFmtId="0" fontId="58" fillId="0" borderId="180" xfId="0" applyFont="1" applyBorder="1" applyAlignment="1" applyProtection="1">
      <alignment vertical="top"/>
      <protection locked="0"/>
    </xf>
    <xf numFmtId="0" fontId="58" fillId="0" borderId="176" xfId="0" applyFont="1" applyBorder="1" applyAlignment="1" applyProtection="1">
      <alignment vertical="top"/>
      <protection locked="0"/>
    </xf>
    <xf numFmtId="1" fontId="86" fillId="22" borderId="184" xfId="0" applyNumberFormat="1" applyFont="1" applyFill="1" applyBorder="1" applyAlignment="1" applyProtection="1">
      <alignment horizontal="center" vertical="top" wrapText="1"/>
      <protection locked="0"/>
    </xf>
    <xf numFmtId="1" fontId="61" fillId="22" borderId="96" xfId="0" applyNumberFormat="1" applyFont="1" applyFill="1" applyBorder="1" applyAlignment="1" applyProtection="1">
      <alignment horizontal="center" vertical="top"/>
      <protection locked="0"/>
    </xf>
    <xf numFmtId="0" fontId="58" fillId="0" borderId="91" xfId="0" applyFont="1" applyBorder="1" applyAlignment="1" applyProtection="1">
      <alignment vertical="top" wrapText="1"/>
      <protection locked="0"/>
    </xf>
    <xf numFmtId="1" fontId="86" fillId="0" borderId="184" xfId="0" applyNumberFormat="1" applyFont="1" applyBorder="1" applyAlignment="1" applyProtection="1">
      <alignment horizontal="center" vertical="top" wrapText="1"/>
      <protection locked="0"/>
    </xf>
    <xf numFmtId="0" fontId="83" fillId="21" borderId="314" xfId="0" applyFont="1" applyFill="1" applyBorder="1" applyAlignment="1" applyProtection="1">
      <alignment vertical="top" wrapText="1"/>
      <protection locked="0"/>
    </xf>
    <xf numFmtId="0" fontId="83" fillId="21" borderId="313" xfId="0" applyFont="1" applyFill="1" applyBorder="1" applyAlignment="1" applyProtection="1">
      <alignment vertical="top" wrapText="1"/>
      <protection locked="0"/>
    </xf>
    <xf numFmtId="2" fontId="58" fillId="0" borderId="184" xfId="0" applyNumberFormat="1" applyFont="1" applyBorder="1" applyAlignment="1" applyProtection="1">
      <alignment horizontal="center" vertical="top" wrapText="1"/>
      <protection locked="0"/>
    </xf>
    <xf numFmtId="2" fontId="58" fillId="0" borderId="214" xfId="0" applyNumberFormat="1" applyFont="1" applyBorder="1" applyAlignment="1" applyProtection="1">
      <alignment horizontal="center" vertical="top" wrapText="1"/>
      <protection locked="0"/>
    </xf>
    <xf numFmtId="1" fontId="58" fillId="0" borderId="218" xfId="0" applyNumberFormat="1" applyFont="1" applyBorder="1" applyAlignment="1" applyProtection="1">
      <alignment horizontal="center" vertical="top" wrapText="1"/>
      <protection locked="0"/>
    </xf>
    <xf numFmtId="2" fontId="58" fillId="0" borderId="219" xfId="0" applyNumberFormat="1" applyFont="1" applyBorder="1" applyAlignment="1" applyProtection="1">
      <alignment horizontal="center" vertical="top" wrapText="1"/>
      <protection locked="0"/>
    </xf>
    <xf numFmtId="1" fontId="58" fillId="0" borderId="220" xfId="0" applyNumberFormat="1" applyFont="1" applyBorder="1" applyAlignment="1" applyProtection="1">
      <alignment horizontal="center" vertical="top"/>
      <protection locked="0"/>
    </xf>
    <xf numFmtId="1" fontId="58" fillId="0" borderId="221" xfId="0" applyNumberFormat="1" applyFont="1" applyBorder="1" applyAlignment="1" applyProtection="1">
      <alignment horizontal="center" vertical="top"/>
      <protection locked="0"/>
    </xf>
    <xf numFmtId="2" fontId="58" fillId="3" borderId="222" xfId="0" applyNumberFormat="1" applyFont="1" applyFill="1" applyBorder="1" applyAlignment="1" applyProtection="1">
      <alignment horizontal="center" vertical="top"/>
      <protection locked="0"/>
    </xf>
    <xf numFmtId="2" fontId="58" fillId="0" borderId="185" xfId="0" applyNumberFormat="1" applyFont="1" applyBorder="1" applyAlignment="1" applyProtection="1">
      <alignment horizontal="center" vertical="top" wrapText="1"/>
      <protection locked="0"/>
    </xf>
    <xf numFmtId="2" fontId="58" fillId="0" borderId="186" xfId="0" applyNumberFormat="1" applyFont="1" applyBorder="1" applyAlignment="1" applyProtection="1">
      <alignment horizontal="center" vertical="top" wrapText="1"/>
      <protection locked="0"/>
    </xf>
    <xf numFmtId="2" fontId="58" fillId="0" borderId="87" xfId="0" applyNumberFormat="1" applyFont="1" applyBorder="1" applyAlignment="1" applyProtection="1">
      <alignment horizontal="center" vertical="top"/>
      <protection locked="0"/>
    </xf>
    <xf numFmtId="2" fontId="58" fillId="3" borderId="205" xfId="0" applyNumberFormat="1" applyFont="1" applyFill="1" applyBorder="1" applyAlignment="1" applyProtection="1">
      <alignment horizontal="center" vertical="top"/>
      <protection locked="0"/>
    </xf>
    <xf numFmtId="169" fontId="58" fillId="0" borderId="208" xfId="0" applyNumberFormat="1" applyFont="1" applyBorder="1" applyAlignment="1" applyProtection="1">
      <alignment horizontal="center" vertical="top"/>
      <protection locked="0"/>
    </xf>
    <xf numFmtId="2" fontId="58" fillId="0" borderId="188" xfId="0" applyNumberFormat="1" applyFont="1" applyBorder="1" applyAlignment="1" applyProtection="1">
      <alignment horizontal="center" vertical="top" wrapText="1"/>
      <protection locked="0"/>
    </xf>
    <xf numFmtId="1" fontId="58" fillId="0" borderId="118" xfId="0" applyNumberFormat="1" applyFont="1" applyBorder="1" applyAlignment="1" applyProtection="1">
      <alignment horizontal="center" vertical="top"/>
      <protection locked="0"/>
    </xf>
    <xf numFmtId="1" fontId="58" fillId="0" borderId="117" xfId="0" applyNumberFormat="1" applyFont="1" applyBorder="1" applyAlignment="1" applyProtection="1">
      <alignment horizontal="center" vertical="top"/>
      <protection locked="0"/>
    </xf>
    <xf numFmtId="2" fontId="58" fillId="3" borderId="209" xfId="0" applyNumberFormat="1" applyFont="1" applyFill="1" applyBorder="1" applyAlignment="1" applyProtection="1">
      <alignment horizontal="center" vertical="top"/>
      <protection locked="0"/>
    </xf>
    <xf numFmtId="2" fontId="53" fillId="0" borderId="0" xfId="0" applyNumberFormat="1" applyFont="1" applyAlignment="1" applyProtection="1">
      <alignment vertical="top"/>
      <protection locked="0"/>
    </xf>
    <xf numFmtId="2" fontId="58" fillId="0" borderId="0" xfId="0" applyNumberFormat="1" applyFont="1" applyAlignment="1" applyProtection="1">
      <alignment horizontal="center" vertical="top"/>
      <protection locked="0"/>
    </xf>
    <xf numFmtId="0" fontId="86" fillId="22" borderId="105" xfId="0" applyFont="1" applyFill="1" applyBorder="1" applyAlignment="1" applyProtection="1">
      <alignment horizontal="center" vertical="top"/>
      <protection locked="0"/>
    </xf>
    <xf numFmtId="0" fontId="58" fillId="0" borderId="103" xfId="0" applyFont="1" applyBorder="1" applyAlignment="1" applyProtection="1">
      <alignment vertical="top" wrapText="1"/>
      <protection locked="0"/>
    </xf>
    <xf numFmtId="0" fontId="58" fillId="0" borderId="101" xfId="0" applyFont="1" applyBorder="1" applyAlignment="1" applyProtection="1">
      <alignment vertical="top" wrapText="1"/>
      <protection locked="0"/>
    </xf>
    <xf numFmtId="0" fontId="58" fillId="0" borderId="101" xfId="0" applyFont="1" applyBorder="1" applyAlignment="1" applyProtection="1">
      <alignment horizontal="center" vertical="top"/>
      <protection locked="0"/>
    </xf>
    <xf numFmtId="0" fontId="58" fillId="0" borderId="102" xfId="0" applyFont="1" applyBorder="1" applyAlignment="1" applyProtection="1">
      <alignment horizontal="center" vertical="top"/>
      <protection locked="0"/>
    </xf>
    <xf numFmtId="1" fontId="58" fillId="0" borderId="97" xfId="0" applyNumberFormat="1" applyFont="1" applyBorder="1" applyAlignment="1" applyProtection="1">
      <alignment vertical="top"/>
      <protection locked="0"/>
    </xf>
    <xf numFmtId="169" fontId="58" fillId="0" borderId="147" xfId="0" applyNumberFormat="1" applyFont="1" applyBorder="1" applyAlignment="1" applyProtection="1">
      <alignment horizontal="center" vertical="top" wrapText="1"/>
      <protection locked="0"/>
    </xf>
    <xf numFmtId="169" fontId="58" fillId="0" borderId="191" xfId="0" applyNumberFormat="1" applyFont="1" applyBorder="1" applyAlignment="1" applyProtection="1">
      <alignment vertical="top"/>
      <protection locked="0"/>
    </xf>
    <xf numFmtId="169" fontId="58" fillId="0" borderId="192" xfId="0" applyNumberFormat="1" applyFont="1" applyBorder="1" applyAlignment="1" applyProtection="1">
      <alignment horizontal="right" vertical="top"/>
      <protection locked="0"/>
    </xf>
    <xf numFmtId="169" fontId="58" fillId="9" borderId="281" xfId="0" applyNumberFormat="1" applyFont="1" applyFill="1" applyBorder="1" applyAlignment="1">
      <alignment horizontal="center" vertical="top" wrapText="1"/>
    </xf>
    <xf numFmtId="169" fontId="58" fillId="9" borderId="278" xfId="0" applyNumberFormat="1" applyFont="1" applyFill="1" applyBorder="1" applyAlignment="1">
      <alignment horizontal="center" vertical="top" wrapText="1"/>
    </xf>
    <xf numFmtId="169" fontId="58" fillId="9" borderId="274" xfId="0" applyNumberFormat="1" applyFont="1" applyFill="1" applyBorder="1" applyAlignment="1">
      <alignment horizontal="center" vertical="top" wrapText="1"/>
    </xf>
    <xf numFmtId="169" fontId="58" fillId="0" borderId="153" xfId="0" applyNumberFormat="1" applyFont="1" applyBorder="1" applyAlignment="1" applyProtection="1">
      <alignment horizontal="center" vertical="top" wrapText="1"/>
      <protection locked="0"/>
    </xf>
    <xf numFmtId="169" fontId="58" fillId="0" borderId="105" xfId="0" applyNumberFormat="1" applyFont="1" applyBorder="1" applyAlignment="1" applyProtection="1">
      <alignment horizontal="center" vertical="top" wrapText="1"/>
      <protection locked="0"/>
    </xf>
    <xf numFmtId="169" fontId="58" fillId="0" borderId="106" xfId="0" applyNumberFormat="1" applyFont="1" applyBorder="1" applyAlignment="1" applyProtection="1">
      <alignment vertical="top"/>
      <protection locked="0"/>
    </xf>
    <xf numFmtId="169" fontId="58" fillId="0" borderId="105" xfId="0" applyNumberFormat="1" applyFont="1" applyBorder="1" applyAlignment="1" applyProtection="1">
      <alignment horizontal="right" vertical="top"/>
      <protection locked="0"/>
    </xf>
    <xf numFmtId="1" fontId="89" fillId="27" borderId="96" xfId="0" applyNumberFormat="1" applyFont="1" applyFill="1" applyBorder="1" applyAlignment="1" applyProtection="1">
      <alignment horizontal="center" vertical="top" wrapText="1"/>
      <protection locked="0"/>
    </xf>
    <xf numFmtId="1" fontId="92" fillId="26" borderId="96" xfId="0" applyNumberFormat="1" applyFont="1" applyFill="1" applyBorder="1" applyAlignment="1" applyProtection="1">
      <alignment horizontal="center" vertical="top" wrapText="1"/>
      <protection locked="0"/>
    </xf>
    <xf numFmtId="0" fontId="32" fillId="3" borderId="227" xfId="0" applyFont="1" applyFill="1" applyBorder="1" applyAlignment="1">
      <alignment horizontal="left" vertical="top" wrapText="1" readingOrder="1"/>
    </xf>
    <xf numFmtId="0" fontId="32" fillId="3" borderId="52" xfId="0" applyFont="1" applyFill="1" applyBorder="1" applyAlignment="1">
      <alignment horizontal="left" vertical="top"/>
    </xf>
    <xf numFmtId="0" fontId="32" fillId="3" borderId="83" xfId="0" applyFont="1" applyFill="1" applyBorder="1" applyAlignment="1">
      <alignment horizontal="center" vertical="top" wrapText="1" readingOrder="1"/>
    </xf>
    <xf numFmtId="0" fontId="32" fillId="3" borderId="83" xfId="0" applyFont="1" applyFill="1" applyBorder="1" applyAlignment="1">
      <alignment horizontal="left" vertical="top" wrapText="1" readingOrder="1"/>
    </xf>
    <xf numFmtId="0" fontId="32" fillId="3" borderId="92" xfId="0" applyFont="1" applyFill="1" applyBorder="1" applyAlignment="1">
      <alignment horizontal="center" vertical="top" wrapText="1" readingOrder="1"/>
    </xf>
    <xf numFmtId="0" fontId="32" fillId="3" borderId="92" xfId="0" applyFont="1" applyFill="1" applyBorder="1" applyAlignment="1">
      <alignment horizontal="left" vertical="top" wrapText="1" readingOrder="1"/>
    </xf>
    <xf numFmtId="0" fontId="32" fillId="3" borderId="211" xfId="0" applyFont="1" applyFill="1" applyBorder="1" applyAlignment="1">
      <alignment horizontal="left" vertical="top"/>
    </xf>
    <xf numFmtId="0" fontId="32" fillId="3" borderId="177" xfId="0" applyFont="1" applyFill="1" applyBorder="1" applyAlignment="1">
      <alignment horizontal="center" vertical="top" wrapText="1" readingOrder="1"/>
    </xf>
    <xf numFmtId="0" fontId="32" fillId="3" borderId="177" xfId="0" applyFont="1" applyFill="1" applyBorder="1" applyAlignment="1">
      <alignment horizontal="left" vertical="top" wrapText="1" readingOrder="1"/>
    </xf>
    <xf numFmtId="0" fontId="32" fillId="3" borderId="300" xfId="0" applyFont="1" applyFill="1" applyBorder="1" applyAlignment="1">
      <alignment horizontal="left" vertical="top"/>
    </xf>
    <xf numFmtId="0" fontId="32" fillId="3" borderId="168" xfId="0" applyFont="1" applyFill="1" applyBorder="1" applyAlignment="1">
      <alignment horizontal="center" vertical="top" wrapText="1" readingOrder="1"/>
    </xf>
    <xf numFmtId="0" fontId="32" fillId="3" borderId="168" xfId="0" applyFont="1" applyFill="1" applyBorder="1" applyAlignment="1">
      <alignment horizontal="left" vertical="top" wrapText="1" readingOrder="1"/>
    </xf>
    <xf numFmtId="0" fontId="32" fillId="3" borderId="300" xfId="0" applyFont="1" applyFill="1" applyBorder="1" applyAlignment="1">
      <alignment horizontal="left" vertical="top" wrapText="1" readingOrder="1"/>
    </xf>
    <xf numFmtId="0" fontId="32" fillId="3" borderId="52" xfId="0" applyFont="1" applyFill="1" applyBorder="1" applyAlignment="1">
      <alignment horizontal="left" vertical="top" wrapText="1" readingOrder="1"/>
    </xf>
    <xf numFmtId="0" fontId="32" fillId="3" borderId="211" xfId="0" applyFont="1" applyFill="1" applyBorder="1" applyAlignment="1">
      <alignment horizontal="left" vertical="top" wrapText="1" readingOrder="1"/>
    </xf>
    <xf numFmtId="0" fontId="32" fillId="3" borderId="92" xfId="0" applyFont="1" applyFill="1" applyBorder="1" applyAlignment="1">
      <alignment vertical="top"/>
    </xf>
    <xf numFmtId="0" fontId="32" fillId="3" borderId="301" xfId="0" applyFont="1" applyFill="1" applyBorder="1" applyAlignment="1">
      <alignment horizontal="left" vertical="top"/>
    </xf>
    <xf numFmtId="0" fontId="32" fillId="3" borderId="301" xfId="0" applyFont="1" applyFill="1" applyBorder="1" applyAlignment="1">
      <alignment horizontal="center" vertical="top" wrapText="1" readingOrder="1"/>
    </xf>
    <xf numFmtId="0" fontId="32" fillId="3" borderId="301" xfId="0" applyFont="1" applyFill="1" applyBorder="1" applyAlignment="1">
      <alignment horizontal="left" vertical="top" wrapText="1"/>
    </xf>
    <xf numFmtId="0" fontId="32" fillId="3" borderId="83" xfId="0" applyFont="1" applyFill="1" applyBorder="1" applyAlignment="1">
      <alignment horizontal="left" vertical="top"/>
    </xf>
    <xf numFmtId="0" fontId="32" fillId="3" borderId="92" xfId="0" applyFont="1" applyFill="1" applyBorder="1" applyAlignment="1">
      <alignment horizontal="left" vertical="top"/>
    </xf>
    <xf numFmtId="0" fontId="32" fillId="3" borderId="285" xfId="0" applyFont="1" applyFill="1" applyBorder="1" applyAlignment="1">
      <alignment horizontal="left" vertical="top" wrapText="1" readingOrder="1"/>
    </xf>
    <xf numFmtId="0" fontId="32" fillId="3" borderId="145" xfId="0" applyFont="1" applyFill="1" applyBorder="1" applyAlignment="1">
      <alignment vertical="top" wrapText="1" readingOrder="1"/>
    </xf>
    <xf numFmtId="0" fontId="32" fillId="3" borderId="145" xfId="0" applyFont="1" applyFill="1" applyBorder="1" applyAlignment="1">
      <alignment horizontal="center" vertical="top" wrapText="1" readingOrder="1"/>
    </xf>
    <xf numFmtId="0" fontId="32" fillId="3" borderId="145" xfId="0" applyFont="1" applyFill="1" applyBorder="1" applyAlignment="1">
      <alignment vertical="top"/>
    </xf>
    <xf numFmtId="0" fontId="32" fillId="3" borderId="286" xfId="0" applyFont="1" applyFill="1" applyBorder="1" applyAlignment="1">
      <alignment horizontal="left" vertical="top" wrapText="1" readingOrder="1"/>
    </xf>
    <xf numFmtId="0" fontId="32" fillId="3" borderId="92" xfId="0" applyFont="1" applyFill="1" applyBorder="1" applyAlignment="1">
      <alignment horizontal="left" vertical="top" wrapText="1"/>
    </xf>
    <xf numFmtId="0" fontId="32" fillId="3" borderId="204" xfId="0" applyFont="1" applyFill="1" applyBorder="1" applyAlignment="1">
      <alignment horizontal="left" vertical="top" wrapText="1" readingOrder="1"/>
    </xf>
    <xf numFmtId="0" fontId="32" fillId="3" borderId="200" xfId="0" applyFont="1" applyFill="1" applyBorder="1" applyAlignment="1">
      <alignment horizontal="left" vertical="top" wrapText="1" readingOrder="1"/>
    </xf>
    <xf numFmtId="0" fontId="32" fillId="3" borderId="92" xfId="0" applyFont="1" applyFill="1" applyBorder="1" applyAlignment="1">
      <alignment vertical="top" wrapText="1" readingOrder="1"/>
    </xf>
    <xf numFmtId="0" fontId="32" fillId="3" borderId="213" xfId="0" applyFont="1" applyFill="1" applyBorder="1" applyAlignment="1">
      <alignment horizontal="left" vertical="top" wrapText="1" readingOrder="1"/>
    </xf>
    <xf numFmtId="0" fontId="32" fillId="3" borderId="101" xfId="0" applyFont="1" applyFill="1" applyBorder="1" applyAlignment="1">
      <alignment horizontal="left" vertical="top"/>
    </xf>
    <xf numFmtId="0" fontId="32" fillId="3" borderId="101" xfId="0" applyFont="1" applyFill="1" applyBorder="1" applyAlignment="1">
      <alignment horizontal="center" vertical="top" wrapText="1" readingOrder="1"/>
    </xf>
    <xf numFmtId="0" fontId="32" fillId="3" borderId="101" xfId="0" applyFont="1" applyFill="1" applyBorder="1" applyAlignment="1">
      <alignment horizontal="left" vertical="top" wrapText="1" readingOrder="1"/>
    </xf>
    <xf numFmtId="0" fontId="32" fillId="3" borderId="83" xfId="0" applyFont="1" applyFill="1" applyBorder="1" applyAlignment="1">
      <alignment horizontal="left" vertical="top" wrapText="1"/>
    </xf>
    <xf numFmtId="0" fontId="32" fillId="3" borderId="208" xfId="0" applyFont="1" applyFill="1" applyBorder="1" applyAlignment="1">
      <alignment horizontal="left" vertical="top" wrapText="1" readingOrder="1"/>
    </xf>
    <xf numFmtId="0" fontId="32" fillId="3" borderId="115" xfId="0" applyFont="1" applyFill="1" applyBorder="1" applyAlignment="1">
      <alignment vertical="top" wrapText="1" readingOrder="1"/>
    </xf>
    <xf numFmtId="0" fontId="32" fillId="3" borderId="115" xfId="0" applyFont="1" applyFill="1" applyBorder="1" applyAlignment="1">
      <alignment horizontal="center" vertical="top" wrapText="1" readingOrder="1"/>
    </xf>
    <xf numFmtId="0" fontId="32" fillId="3" borderId="115" xfId="0" applyFont="1" applyFill="1" applyBorder="1" applyAlignment="1">
      <alignment vertical="top"/>
    </xf>
    <xf numFmtId="0" fontId="32" fillId="0" borderId="0" xfId="0" applyFont="1" applyAlignment="1">
      <alignment horizontal="left" vertical="top"/>
    </xf>
    <xf numFmtId="0" fontId="32" fillId="0" borderId="0" xfId="0" applyFont="1" applyAlignment="1">
      <alignment horizontal="center" vertical="top"/>
    </xf>
    <xf numFmtId="167" fontId="32" fillId="0" borderId="25" xfId="0" applyNumberFormat="1" applyFont="1" applyBorder="1" applyAlignment="1">
      <alignment horizontal="center" vertical="top"/>
    </xf>
    <xf numFmtId="167" fontId="32" fillId="0" borderId="25" xfId="0" applyNumberFormat="1" applyFont="1" applyBorder="1" applyAlignment="1" applyProtection="1">
      <alignment horizontal="center" vertical="top"/>
      <protection locked="0"/>
    </xf>
    <xf numFmtId="167" fontId="32" fillId="0" borderId="264" xfId="0" applyNumberFormat="1" applyFont="1" applyBorder="1" applyAlignment="1">
      <alignment horizontal="center" vertical="top"/>
    </xf>
    <xf numFmtId="167" fontId="32" fillId="0" borderId="284" xfId="0" applyNumberFormat="1" applyFont="1" applyBorder="1" applyAlignment="1" applyProtection="1">
      <alignment horizontal="center" vertical="top"/>
      <protection locked="0"/>
    </xf>
    <xf numFmtId="167" fontId="32" fillId="0" borderId="86" xfId="0" applyNumberFormat="1" applyFont="1" applyBorder="1" applyAlignment="1">
      <alignment horizontal="center" vertical="top"/>
    </xf>
    <xf numFmtId="167" fontId="32" fillId="0" borderId="95" xfId="0" applyNumberFormat="1" applyFont="1" applyBorder="1" applyAlignment="1">
      <alignment horizontal="center" vertical="top"/>
    </xf>
    <xf numFmtId="167" fontId="32" fillId="0" borderId="95" xfId="0" applyNumberFormat="1" applyFont="1" applyBorder="1" applyAlignment="1" applyProtection="1">
      <alignment horizontal="center" vertical="top"/>
      <protection locked="0"/>
    </xf>
    <xf numFmtId="167" fontId="32" fillId="0" borderId="309" xfId="0" applyNumberFormat="1" applyFont="1" applyBorder="1" applyAlignment="1" applyProtection="1">
      <alignment horizontal="center" vertical="top"/>
      <protection locked="0"/>
    </xf>
    <xf numFmtId="167" fontId="32" fillId="0" borderId="264" xfId="0" applyNumberFormat="1" applyFont="1" applyBorder="1" applyAlignment="1" applyProtection="1">
      <alignment horizontal="center" vertical="top"/>
      <protection locked="0"/>
    </xf>
    <xf numFmtId="167" fontId="32" fillId="0" borderId="86" xfId="0" applyNumberFormat="1" applyFont="1" applyBorder="1" applyAlignment="1" applyProtection="1">
      <alignment horizontal="center" vertical="top"/>
      <protection locked="0"/>
    </xf>
    <xf numFmtId="167" fontId="32" fillId="0" borderId="287" xfId="0" applyNumberFormat="1" applyFont="1" applyBorder="1" applyAlignment="1" applyProtection="1">
      <alignment horizontal="center" vertical="top"/>
      <protection locked="0"/>
    </xf>
    <xf numFmtId="0" fontId="32" fillId="0" borderId="0" xfId="0" applyFont="1" applyAlignment="1" applyProtection="1">
      <alignment vertical="top"/>
      <protection locked="0"/>
    </xf>
    <xf numFmtId="2" fontId="70" fillId="3" borderId="171" xfId="0" applyNumberFormat="1" applyFont="1" applyFill="1" applyBorder="1" applyAlignment="1" applyProtection="1">
      <alignment horizontal="center" vertical="top"/>
      <protection locked="0"/>
    </xf>
    <xf numFmtId="2" fontId="70" fillId="3" borderId="93" xfId="0" applyNumberFormat="1" applyFont="1" applyFill="1" applyBorder="1" applyAlignment="1" applyProtection="1">
      <alignment horizontal="center" vertical="top"/>
      <protection locked="0"/>
    </xf>
    <xf numFmtId="1" fontId="70" fillId="3" borderId="202" xfId="0" applyNumberFormat="1" applyFont="1" applyFill="1" applyBorder="1" applyAlignment="1" applyProtection="1">
      <alignment horizontal="center" vertical="top" wrapText="1"/>
      <protection locked="0"/>
    </xf>
    <xf numFmtId="1" fontId="70" fillId="3" borderId="190" xfId="0" applyNumberFormat="1" applyFont="1" applyFill="1" applyBorder="1" applyAlignment="1" applyProtection="1">
      <alignment horizontal="center" vertical="top" wrapText="1"/>
      <protection locked="0"/>
    </xf>
    <xf numFmtId="1" fontId="70" fillId="3" borderId="179" xfId="0" applyNumberFormat="1" applyFont="1" applyFill="1" applyBorder="1" applyAlignment="1" applyProtection="1">
      <alignment horizontal="center" vertical="top"/>
      <protection locked="0"/>
    </xf>
    <xf numFmtId="1" fontId="70" fillId="3" borderId="190" xfId="0" applyNumberFormat="1" applyFont="1" applyFill="1" applyBorder="1" applyAlignment="1" applyProtection="1">
      <alignment horizontal="center" vertical="top"/>
      <protection locked="0"/>
    </xf>
    <xf numFmtId="2" fontId="70" fillId="3" borderId="180" xfId="0" applyNumberFormat="1" applyFont="1" applyFill="1" applyBorder="1" applyAlignment="1" applyProtection="1">
      <alignment horizontal="center" vertical="top"/>
      <protection locked="0"/>
    </xf>
    <xf numFmtId="2" fontId="70" fillId="3" borderId="84" xfId="0" applyNumberFormat="1" applyFont="1" applyFill="1" applyBorder="1" applyAlignment="1" applyProtection="1">
      <alignment horizontal="center" vertical="top"/>
      <protection locked="0"/>
    </xf>
    <xf numFmtId="2" fontId="70" fillId="3" borderId="93" xfId="0" applyNumberFormat="1" applyFont="1" applyFill="1" applyBorder="1" applyAlignment="1" applyProtection="1">
      <alignment vertical="top"/>
      <protection locked="0"/>
    </xf>
    <xf numFmtId="2" fontId="70" fillId="3" borderId="102" xfId="0" applyNumberFormat="1" applyFont="1" applyFill="1" applyBorder="1" applyAlignment="1" applyProtection="1">
      <alignment horizontal="center" vertical="top"/>
      <protection locked="0"/>
    </xf>
    <xf numFmtId="0" fontId="58" fillId="6" borderId="182" xfId="3" applyFont="1" applyFill="1" applyBorder="1" applyAlignment="1" applyProtection="1">
      <alignment horizontal="center" vertical="top" wrapText="1"/>
      <protection locked="0"/>
    </xf>
    <xf numFmtId="0" fontId="58" fillId="23" borderId="196" xfId="3" applyFont="1" applyFill="1" applyBorder="1" applyAlignment="1" applyProtection="1">
      <alignment horizontal="center" vertical="top" wrapText="1"/>
      <protection locked="0"/>
    </xf>
    <xf numFmtId="0" fontId="58" fillId="23" borderId="34" xfId="3" applyFont="1" applyFill="1" applyBorder="1" applyAlignment="1" applyProtection="1">
      <alignment horizontal="center" vertical="top" wrapText="1"/>
      <protection locked="0"/>
    </xf>
    <xf numFmtId="0" fontId="58" fillId="23" borderId="35" xfId="3" applyFont="1" applyFill="1" applyBorder="1" applyAlignment="1" applyProtection="1">
      <alignment horizontal="center" vertical="top" wrapText="1"/>
      <protection locked="0"/>
    </xf>
    <xf numFmtId="1" fontId="58" fillId="0" borderId="195" xfId="0" applyNumberFormat="1" applyFont="1" applyBorder="1" applyAlignment="1" applyProtection="1">
      <alignment horizontal="center" vertical="top" wrapText="1"/>
      <protection locked="0"/>
    </xf>
    <xf numFmtId="1" fontId="58" fillId="0" borderId="110" xfId="0" applyNumberFormat="1" applyFont="1" applyBorder="1" applyAlignment="1" applyProtection="1">
      <alignment horizontal="center" vertical="top" wrapText="1"/>
      <protection locked="0"/>
    </xf>
    <xf numFmtId="1" fontId="58" fillId="0" borderId="183" xfId="0" applyNumberFormat="1" applyFont="1" applyBorder="1" applyAlignment="1" applyProtection="1">
      <alignment horizontal="center" vertical="top" wrapText="1"/>
      <protection locked="0"/>
    </xf>
    <xf numFmtId="0" fontId="58" fillId="3" borderId="198" xfId="0" applyFont="1" applyFill="1" applyBorder="1" applyAlignment="1" applyProtection="1">
      <alignment vertical="top"/>
      <protection locked="0"/>
    </xf>
    <xf numFmtId="0" fontId="58" fillId="3" borderId="110" xfId="0" applyFont="1" applyFill="1" applyBorder="1" applyAlignment="1" applyProtection="1">
      <alignment vertical="top"/>
      <protection locked="0"/>
    </xf>
    <xf numFmtId="0" fontId="58" fillId="3" borderId="111" xfId="0" applyFont="1" applyFill="1" applyBorder="1" applyAlignment="1" applyProtection="1">
      <alignment vertical="top"/>
      <protection locked="0"/>
    </xf>
    <xf numFmtId="0" fontId="58" fillId="3" borderId="200" xfId="0" applyFont="1" applyFill="1" applyBorder="1" applyAlignment="1" applyProtection="1">
      <alignment vertical="top"/>
      <protection locked="0"/>
    </xf>
    <xf numFmtId="0" fontId="58" fillId="3" borderId="92" xfId="0" applyFont="1" applyFill="1" applyBorder="1" applyAlignment="1" applyProtection="1">
      <alignment vertical="top"/>
      <protection locked="0"/>
    </xf>
    <xf numFmtId="0" fontId="58" fillId="3" borderId="93" xfId="0" applyFont="1" applyFill="1" applyBorder="1" applyAlignment="1" applyProtection="1">
      <alignment vertical="top"/>
      <protection locked="0"/>
    </xf>
    <xf numFmtId="0" fontId="58" fillId="0" borderId="200" xfId="0" applyFont="1" applyBorder="1" applyAlignment="1" applyProtection="1">
      <alignment vertical="top"/>
      <protection locked="0"/>
    </xf>
    <xf numFmtId="1" fontId="58" fillId="0" borderId="179" xfId="0" applyNumberFormat="1" applyFont="1" applyBorder="1" applyAlignment="1" applyProtection="1">
      <alignment horizontal="center" vertical="top" wrapText="1"/>
      <protection locked="0"/>
    </xf>
    <xf numFmtId="1" fontId="58" fillId="0" borderId="177" xfId="0" applyNumberFormat="1" applyFont="1" applyBorder="1" applyAlignment="1" applyProtection="1">
      <alignment horizontal="center" vertical="top" wrapText="1"/>
      <protection locked="0"/>
    </xf>
    <xf numFmtId="0" fontId="58" fillId="0" borderId="202" xfId="0" applyFont="1" applyBorder="1" applyAlignment="1" applyProtection="1">
      <alignment vertical="top"/>
      <protection locked="0"/>
    </xf>
    <xf numFmtId="0" fontId="58" fillId="0" borderId="177" xfId="0" applyFont="1" applyBorder="1" applyAlignment="1" applyProtection="1">
      <alignment vertical="top"/>
      <protection locked="0"/>
    </xf>
    <xf numFmtId="1" fontId="58" fillId="0" borderId="126" xfId="0" applyNumberFormat="1" applyFont="1" applyBorder="1" applyAlignment="1" applyProtection="1">
      <alignment horizontal="center" vertical="top" wrapText="1"/>
      <protection locked="0"/>
    </xf>
    <xf numFmtId="1" fontId="58" fillId="0" borderId="83" xfId="0" applyNumberFormat="1" applyFont="1" applyBorder="1" applyAlignment="1" applyProtection="1">
      <alignment horizontal="center" vertical="top" wrapText="1"/>
      <protection locked="0"/>
    </xf>
    <xf numFmtId="10" fontId="58" fillId="0" borderId="204" xfId="2" applyNumberFormat="1" applyFont="1" applyBorder="1" applyAlignment="1" applyProtection="1">
      <alignment vertical="top"/>
      <protection locked="0"/>
    </xf>
    <xf numFmtId="10" fontId="58" fillId="0" borderId="83" xfId="2" applyNumberFormat="1" applyFont="1" applyBorder="1" applyAlignment="1" applyProtection="1">
      <alignment vertical="top"/>
      <protection locked="0"/>
    </xf>
    <xf numFmtId="10" fontId="58" fillId="0" borderId="83" xfId="0" applyNumberFormat="1" applyFont="1" applyBorder="1" applyAlignment="1" applyProtection="1">
      <alignment vertical="top"/>
      <protection locked="0"/>
    </xf>
    <xf numFmtId="10" fontId="58" fillId="0" borderId="84" xfId="2" applyNumberFormat="1" applyFont="1" applyBorder="1" applyAlignment="1" applyProtection="1">
      <alignment vertical="top"/>
      <protection locked="0"/>
    </xf>
    <xf numFmtId="169" fontId="58" fillId="0" borderId="101" xfId="0" applyNumberFormat="1" applyFont="1" applyBorder="1" applyAlignment="1" applyProtection="1">
      <alignment horizontal="center" vertical="top" wrapText="1"/>
      <protection locked="0"/>
    </xf>
    <xf numFmtId="165" fontId="58" fillId="0" borderId="213" xfId="0" applyNumberFormat="1" applyFont="1" applyBorder="1" applyAlignment="1" applyProtection="1">
      <alignment vertical="top"/>
      <protection locked="0"/>
    </xf>
    <xf numFmtId="165" fontId="58" fillId="0" borderId="101" xfId="0" applyNumberFormat="1" applyFont="1" applyBorder="1" applyAlignment="1" applyProtection="1">
      <alignment vertical="top"/>
      <protection locked="0"/>
    </xf>
    <xf numFmtId="165" fontId="58" fillId="0" borderId="102" xfId="0" applyNumberFormat="1" applyFont="1" applyBorder="1" applyAlignment="1" applyProtection="1">
      <alignment vertical="top"/>
      <protection locked="0"/>
    </xf>
    <xf numFmtId="1" fontId="58" fillId="0" borderId="219" xfId="0" applyNumberFormat="1" applyFont="1" applyBorder="1" applyAlignment="1" applyProtection="1">
      <alignment horizontal="center" vertical="top" wrapText="1"/>
      <protection locked="0"/>
    </xf>
    <xf numFmtId="0" fontId="58" fillId="3" borderId="218" xfId="0" applyFont="1" applyFill="1" applyBorder="1" applyAlignment="1" applyProtection="1">
      <alignment vertical="top"/>
      <protection locked="0"/>
    </xf>
    <xf numFmtId="0" fontId="58" fillId="3" borderId="159" xfId="0" applyFont="1" applyFill="1" applyBorder="1" applyAlignment="1" applyProtection="1">
      <alignment vertical="top"/>
      <protection locked="0"/>
    </xf>
    <xf numFmtId="0" fontId="58" fillId="3" borderId="162" xfId="0" applyFont="1" applyFill="1" applyBorder="1" applyAlignment="1" applyProtection="1">
      <alignment vertical="top"/>
      <protection locked="0"/>
    </xf>
    <xf numFmtId="1" fontId="61" fillId="0" borderId="92" xfId="0" applyNumberFormat="1" applyFont="1" applyBorder="1" applyAlignment="1" applyProtection="1">
      <alignment horizontal="center" vertical="top" wrapText="1"/>
      <protection locked="0"/>
    </xf>
    <xf numFmtId="169" fontId="58" fillId="0" borderId="145" xfId="0" applyNumberFormat="1" applyFont="1" applyBorder="1" applyAlignment="1" applyProtection="1">
      <alignment horizontal="center" vertical="top" wrapText="1"/>
      <protection locked="0"/>
    </xf>
    <xf numFmtId="169" fontId="58" fillId="0" borderId="187" xfId="0" applyNumberFormat="1" applyFont="1" applyBorder="1" applyAlignment="1" applyProtection="1">
      <alignment horizontal="center" vertical="top" wrapText="1"/>
      <protection locked="0"/>
    </xf>
    <xf numFmtId="165" fontId="58" fillId="0" borderId="206" xfId="0" applyNumberFormat="1" applyFont="1" applyBorder="1" applyAlignment="1" applyProtection="1">
      <alignment vertical="top"/>
      <protection locked="0"/>
    </xf>
    <xf numFmtId="165" fontId="58" fillId="0" borderId="145" xfId="0" applyNumberFormat="1" applyFont="1" applyBorder="1" applyAlignment="1" applyProtection="1">
      <alignment vertical="top"/>
      <protection locked="0"/>
    </xf>
    <xf numFmtId="165" fontId="58" fillId="0" borderId="148" xfId="0" applyNumberFormat="1" applyFont="1" applyBorder="1" applyAlignment="1" applyProtection="1">
      <alignment vertical="top"/>
      <protection locked="0"/>
    </xf>
    <xf numFmtId="169" fontId="58" fillId="0" borderId="130" xfId="0" applyNumberFormat="1" applyFont="1" applyBorder="1" applyAlignment="1" applyProtection="1">
      <alignment horizontal="center" vertical="top" wrapText="1"/>
      <protection locked="0"/>
    </xf>
    <xf numFmtId="169" fontId="58" fillId="0" borderId="115" xfId="0" applyNumberFormat="1" applyFont="1" applyBorder="1" applyAlignment="1" applyProtection="1">
      <alignment horizontal="center" vertical="top" wrapText="1"/>
      <protection locked="0"/>
    </xf>
    <xf numFmtId="169" fontId="58" fillId="0" borderId="188" xfId="0" applyNumberFormat="1" applyFont="1" applyBorder="1" applyAlignment="1" applyProtection="1">
      <alignment horizontal="center" vertical="top" wrapText="1"/>
      <protection locked="0"/>
    </xf>
    <xf numFmtId="165" fontId="58" fillId="0" borderId="208" xfId="0" applyNumberFormat="1" applyFont="1" applyBorder="1" applyAlignment="1" applyProtection="1">
      <alignment vertical="top"/>
      <protection locked="0"/>
    </xf>
    <xf numFmtId="165" fontId="58" fillId="0" borderId="115" xfId="0" applyNumberFormat="1" applyFont="1" applyBorder="1" applyAlignment="1" applyProtection="1">
      <alignment vertical="top"/>
      <protection locked="0"/>
    </xf>
    <xf numFmtId="165" fontId="58" fillId="0" borderId="116" xfId="0" applyNumberFormat="1" applyFont="1" applyBorder="1" applyAlignment="1" applyProtection="1">
      <alignment vertical="top"/>
      <protection locked="0"/>
    </xf>
    <xf numFmtId="1" fontId="58" fillId="0" borderId="198" xfId="0" applyNumberFormat="1" applyFont="1" applyBorder="1" applyAlignment="1" applyProtection="1">
      <alignment horizontal="center" vertical="top" wrapText="1"/>
      <protection locked="0"/>
    </xf>
    <xf numFmtId="1" fontId="58" fillId="0" borderId="113" xfId="0" applyNumberFormat="1" applyFont="1" applyBorder="1" applyAlignment="1" applyProtection="1">
      <alignment horizontal="center" vertical="top"/>
      <protection locked="0"/>
    </xf>
    <xf numFmtId="1" fontId="58" fillId="0" borderId="112" xfId="0" applyNumberFormat="1" applyFont="1" applyBorder="1" applyAlignment="1" applyProtection="1">
      <alignment horizontal="center" vertical="top"/>
      <protection locked="0"/>
    </xf>
    <xf numFmtId="2" fontId="58" fillId="3" borderId="199" xfId="0" applyNumberFormat="1" applyFont="1" applyFill="1" applyBorder="1" applyAlignment="1" applyProtection="1">
      <alignment horizontal="center" vertical="top"/>
      <protection locked="0"/>
    </xf>
    <xf numFmtId="0" fontId="58" fillId="0" borderId="195" xfId="0" applyFont="1" applyBorder="1" applyAlignment="1" applyProtection="1">
      <alignment vertical="top"/>
      <protection locked="0"/>
    </xf>
    <xf numFmtId="0" fontId="58" fillId="0" borderId="111" xfId="0" applyFont="1" applyBorder="1" applyAlignment="1" applyProtection="1">
      <alignment vertical="top"/>
      <protection locked="0"/>
    </xf>
    <xf numFmtId="0" fontId="58" fillId="0" borderId="109" xfId="0" applyFont="1" applyBorder="1" applyAlignment="1" applyProtection="1">
      <alignment vertical="top"/>
      <protection locked="0"/>
    </xf>
    <xf numFmtId="1" fontId="58" fillId="0" borderId="200" xfId="0" quotePrefix="1" applyNumberFormat="1" applyFont="1" applyBorder="1" applyAlignment="1" applyProtection="1">
      <alignment horizontal="center" vertical="top" wrapText="1"/>
      <protection locked="0"/>
    </xf>
    <xf numFmtId="1" fontId="58" fillId="0" borderId="97" xfId="0" quotePrefix="1" applyNumberFormat="1" applyFont="1" applyBorder="1" applyAlignment="1" applyProtection="1">
      <alignment horizontal="center" vertical="top"/>
      <protection locked="0"/>
    </xf>
    <xf numFmtId="0" fontId="58" fillId="0" borderId="128" xfId="0" quotePrefix="1" applyFont="1" applyBorder="1" applyAlignment="1" applyProtection="1">
      <alignment vertical="top"/>
      <protection locked="0"/>
    </xf>
    <xf numFmtId="0" fontId="58" fillId="0" borderId="128" xfId="0" quotePrefix="1" applyFont="1" applyBorder="1" applyAlignment="1" applyProtection="1">
      <alignment vertical="top" wrapText="1"/>
      <protection locked="0"/>
    </xf>
    <xf numFmtId="0" fontId="58" fillId="0" borderId="93" xfId="0" quotePrefix="1" applyFont="1" applyBorder="1" applyAlignment="1" applyProtection="1">
      <alignment vertical="top" wrapText="1"/>
      <protection locked="0"/>
    </xf>
    <xf numFmtId="0" fontId="58" fillId="0" borderId="91" xfId="0" quotePrefix="1" applyFont="1" applyBorder="1" applyAlignment="1" applyProtection="1">
      <alignment vertical="top" wrapText="1"/>
      <protection locked="0"/>
    </xf>
    <xf numFmtId="10" fontId="58" fillId="0" borderId="186" xfId="2" applyNumberFormat="1" applyFont="1" applyBorder="1" applyAlignment="1" applyProtection="1">
      <alignment horizontal="center" vertical="top" wrapText="1"/>
      <protection locked="0"/>
    </xf>
    <xf numFmtId="0" fontId="58" fillId="0" borderId="84" xfId="0" applyFont="1" applyBorder="1" applyAlignment="1" applyProtection="1">
      <alignment horizontal="left" vertical="top"/>
      <protection locked="0"/>
    </xf>
    <xf numFmtId="10" fontId="58" fillId="0" borderId="82" xfId="0" applyNumberFormat="1" applyFont="1" applyBorder="1" applyAlignment="1" applyProtection="1">
      <alignment horizontal="left" vertical="top"/>
      <protection locked="0"/>
    </xf>
    <xf numFmtId="176" fontId="58" fillId="0" borderId="200" xfId="1" applyNumberFormat="1" applyFont="1" applyBorder="1" applyAlignment="1" applyProtection="1">
      <alignment horizontal="center" vertical="top" wrapText="1"/>
      <protection locked="0"/>
    </xf>
    <xf numFmtId="176" fontId="58" fillId="0" borderId="184" xfId="1" applyNumberFormat="1" applyFont="1" applyBorder="1" applyAlignment="1" applyProtection="1">
      <alignment horizontal="center" vertical="top" wrapText="1"/>
      <protection locked="0"/>
    </xf>
    <xf numFmtId="176" fontId="58" fillId="0" borderId="97" xfId="1" applyNumberFormat="1" applyFont="1" applyBorder="1" applyAlignment="1" applyProtection="1">
      <alignment horizontal="center" vertical="top" wrapText="1"/>
      <protection locked="0"/>
    </xf>
    <xf numFmtId="176" fontId="58" fillId="0" borderId="96" xfId="1" applyNumberFormat="1" applyFont="1" applyBorder="1" applyAlignment="1" applyProtection="1">
      <alignment horizontal="center" vertical="top" wrapText="1"/>
      <protection locked="0"/>
    </xf>
    <xf numFmtId="165" fontId="58" fillId="0" borderId="93" xfId="0" applyNumberFormat="1" applyFont="1" applyBorder="1" applyAlignment="1" applyProtection="1">
      <alignment vertical="top"/>
      <protection locked="0"/>
    </xf>
    <xf numFmtId="176" fontId="58" fillId="0" borderId="213" xfId="0" applyNumberFormat="1" applyFont="1" applyBorder="1" applyAlignment="1" applyProtection="1">
      <alignment horizontal="center" vertical="top"/>
      <protection locked="0"/>
    </xf>
    <xf numFmtId="176" fontId="58" fillId="0" borderId="214" xfId="1" applyNumberFormat="1" applyFont="1" applyBorder="1" applyAlignment="1" applyProtection="1">
      <alignment horizontal="center" vertical="top" wrapText="1"/>
      <protection locked="0"/>
    </xf>
    <xf numFmtId="176" fontId="58" fillId="0" borderId="106" xfId="0" applyNumberFormat="1" applyFont="1" applyBorder="1" applyAlignment="1" applyProtection="1">
      <alignment horizontal="center" vertical="top"/>
      <protection locked="0"/>
    </xf>
    <xf numFmtId="176" fontId="58" fillId="0" borderId="105" xfId="1" applyNumberFormat="1" applyFont="1" applyBorder="1" applyAlignment="1" applyProtection="1">
      <alignment horizontal="center" vertical="top" wrapText="1"/>
      <protection locked="0"/>
    </xf>
    <xf numFmtId="1" fontId="58" fillId="3" borderId="222" xfId="0" applyNumberFormat="1" applyFont="1" applyFill="1" applyBorder="1" applyAlignment="1" applyProtection="1">
      <alignment horizontal="center" vertical="top"/>
      <protection locked="0"/>
    </xf>
    <xf numFmtId="1" fontId="58" fillId="3" borderId="201" xfId="0" quotePrefix="1" applyNumberFormat="1" applyFont="1" applyFill="1" applyBorder="1" applyAlignment="1" applyProtection="1">
      <alignment horizontal="center" vertical="top"/>
      <protection locked="0"/>
    </xf>
    <xf numFmtId="0" fontId="58" fillId="0" borderId="93" xfId="0" quotePrefix="1" applyFont="1" applyBorder="1" applyAlignment="1" applyProtection="1">
      <alignment vertical="top"/>
      <protection locked="0"/>
    </xf>
    <xf numFmtId="1" fontId="58" fillId="3" borderId="203" xfId="0" applyNumberFormat="1" applyFont="1" applyFill="1" applyBorder="1" applyAlignment="1" applyProtection="1">
      <alignment horizontal="center" vertical="top"/>
      <protection locked="0"/>
    </xf>
    <xf numFmtId="0" fontId="58" fillId="0" borderId="126" xfId="0" applyFont="1" applyBorder="1" applyAlignment="1" applyProtection="1">
      <alignment horizontal="left" vertical="top" wrapText="1"/>
      <protection locked="0"/>
    </xf>
    <xf numFmtId="2" fontId="58" fillId="0" borderId="84" xfId="0" applyNumberFormat="1" applyFont="1" applyBorder="1" applyAlignment="1" applyProtection="1">
      <alignment vertical="top"/>
      <protection locked="0"/>
    </xf>
    <xf numFmtId="176" fontId="58" fillId="0" borderId="206" xfId="0" applyNumberFormat="1" applyFont="1" applyBorder="1" applyAlignment="1" applyProtection="1">
      <alignment horizontal="center" vertical="top"/>
      <protection locked="0"/>
    </xf>
    <xf numFmtId="176" fontId="58" fillId="0" borderId="187" xfId="1" applyNumberFormat="1" applyFont="1" applyBorder="1" applyAlignment="1" applyProtection="1">
      <alignment horizontal="center" vertical="top" wrapText="1"/>
      <protection locked="0"/>
    </xf>
    <xf numFmtId="176" fontId="58" fillId="0" borderId="191" xfId="0" applyNumberFormat="1" applyFont="1" applyBorder="1" applyAlignment="1" applyProtection="1">
      <alignment horizontal="center" vertical="top"/>
      <protection locked="0"/>
    </xf>
    <xf numFmtId="176" fontId="58" fillId="0" borderId="192" xfId="1" applyNumberFormat="1" applyFont="1" applyBorder="1" applyAlignment="1" applyProtection="1">
      <alignment horizontal="center" vertical="top" wrapText="1"/>
      <protection locked="0"/>
    </xf>
    <xf numFmtId="2" fontId="58" fillId="3" borderId="207" xfId="0" applyNumberFormat="1" applyFont="1" applyFill="1" applyBorder="1" applyAlignment="1" applyProtection="1">
      <alignment horizontal="center" vertical="top"/>
      <protection locked="0"/>
    </xf>
    <xf numFmtId="0" fontId="58" fillId="0" borderId="91" xfId="0" quotePrefix="1" applyFont="1" applyBorder="1" applyAlignment="1" applyProtection="1">
      <alignment vertical="top"/>
      <protection locked="0"/>
    </xf>
    <xf numFmtId="0" fontId="58" fillId="0" borderId="84" xfId="0" quotePrefix="1" applyFont="1" applyBorder="1" applyAlignment="1" applyProtection="1">
      <alignment vertical="top"/>
      <protection locked="0"/>
    </xf>
    <xf numFmtId="169" fontId="58" fillId="0" borderId="184" xfId="0" applyNumberFormat="1" applyFont="1" applyBorder="1" applyAlignment="1" applyProtection="1">
      <alignment horizontal="center" vertical="top" wrapText="1"/>
      <protection locked="0"/>
    </xf>
    <xf numFmtId="2" fontId="58" fillId="0" borderId="93" xfId="0" quotePrefix="1" applyNumberFormat="1" applyFont="1" applyBorder="1" applyAlignment="1" applyProtection="1">
      <alignment vertical="top"/>
      <protection locked="0"/>
    </xf>
    <xf numFmtId="169" fontId="58" fillId="0" borderId="206" xfId="0" applyNumberFormat="1" applyFont="1" applyBorder="1" applyAlignment="1" applyProtection="1">
      <alignment horizontal="center" vertical="top"/>
      <protection locked="0"/>
    </xf>
    <xf numFmtId="1" fontId="58" fillId="0" borderId="191" xfId="0" applyNumberFormat="1" applyFont="1" applyBorder="1" applyAlignment="1" applyProtection="1">
      <alignment horizontal="center" vertical="top"/>
      <protection locked="0"/>
    </xf>
    <xf numFmtId="1" fontId="58" fillId="0" borderId="192" xfId="0" applyNumberFormat="1" applyFont="1" applyBorder="1" applyAlignment="1" applyProtection="1">
      <alignment horizontal="center" vertical="top"/>
      <protection locked="0"/>
    </xf>
    <xf numFmtId="16" fontId="58" fillId="0" borderId="93" xfId="0" applyNumberFormat="1" applyFont="1" applyBorder="1" applyAlignment="1" applyProtection="1">
      <alignment vertical="top"/>
      <protection locked="0"/>
    </xf>
    <xf numFmtId="10" fontId="86" fillId="25" borderId="186" xfId="2" applyNumberFormat="1" applyFont="1" applyFill="1" applyBorder="1" applyAlignment="1" applyProtection="1">
      <alignment horizontal="center" vertical="top" wrapText="1"/>
      <protection locked="0"/>
    </xf>
    <xf numFmtId="172" fontId="58" fillId="0" borderId="87" xfId="2" applyNumberFormat="1" applyFont="1" applyBorder="1" applyAlignment="1" applyProtection="1">
      <alignment horizontal="center" vertical="top"/>
      <protection locked="0"/>
    </xf>
    <xf numFmtId="0" fontId="58" fillId="5" borderId="91" xfId="0" applyFont="1" applyFill="1" applyBorder="1" applyAlignment="1" applyProtection="1">
      <alignment vertical="top" wrapText="1"/>
      <protection locked="0"/>
    </xf>
    <xf numFmtId="0" fontId="58" fillId="5" borderId="93" xfId="0" applyFont="1" applyFill="1" applyBorder="1" applyAlignment="1" applyProtection="1">
      <alignment vertical="top" wrapText="1"/>
      <protection locked="0"/>
    </xf>
    <xf numFmtId="0" fontId="58" fillId="0" borderId="147" xfId="0" applyFont="1" applyBorder="1" applyAlignment="1" applyProtection="1">
      <alignment vertical="top" wrapText="1"/>
      <protection locked="0"/>
    </xf>
    <xf numFmtId="0" fontId="58" fillId="0" borderId="184" xfId="0" applyFont="1" applyBorder="1" applyAlignment="1" applyProtection="1">
      <alignment vertical="top" wrapText="1"/>
      <protection locked="0"/>
    </xf>
    <xf numFmtId="0" fontId="58" fillId="0" borderId="181" xfId="0" applyFont="1" applyBorder="1" applyAlignment="1" applyProtection="1">
      <alignment vertical="top" wrapText="1"/>
      <protection locked="0"/>
    </xf>
    <xf numFmtId="1" fontId="58" fillId="0" borderId="201" xfId="0" applyNumberFormat="1" applyFont="1" applyBorder="1" applyAlignment="1" applyProtection="1">
      <alignment horizontal="center" vertical="top" wrapText="1"/>
      <protection locked="0"/>
    </xf>
    <xf numFmtId="0" fontId="58" fillId="0" borderId="84" xfId="0" applyFont="1" applyBorder="1" applyAlignment="1" applyProtection="1">
      <alignment vertical="top" wrapText="1"/>
      <protection locked="0"/>
    </xf>
    <xf numFmtId="0" fontId="58" fillId="0" borderId="82" xfId="0" applyFont="1" applyBorder="1" applyAlignment="1" applyProtection="1">
      <alignment vertical="top" wrapText="1"/>
      <protection locked="0"/>
    </xf>
    <xf numFmtId="169" fontId="58" fillId="0" borderId="97" xfId="0" applyNumberFormat="1" applyFont="1" applyBorder="1" applyAlignment="1" applyProtection="1">
      <alignment horizontal="center" vertical="top"/>
      <protection locked="0"/>
    </xf>
    <xf numFmtId="10" fontId="58" fillId="0" borderId="202" xfId="2" applyNumberFormat="1" applyFont="1" applyBorder="1" applyAlignment="1" applyProtection="1">
      <alignment horizontal="center" vertical="top" wrapText="1"/>
      <protection locked="0"/>
    </xf>
    <xf numFmtId="10" fontId="89" fillId="26" borderId="185" xfId="2" applyNumberFormat="1" applyFont="1" applyFill="1" applyBorder="1" applyAlignment="1" applyProtection="1">
      <alignment horizontal="center" vertical="top" wrapText="1"/>
      <protection locked="0"/>
    </xf>
    <xf numFmtId="10" fontId="58" fillId="0" borderId="189" xfId="2" applyNumberFormat="1" applyFont="1" applyBorder="1" applyAlignment="1" applyProtection="1">
      <alignment horizontal="center" vertical="top"/>
      <protection locked="0"/>
    </xf>
    <xf numFmtId="10" fontId="58" fillId="0" borderId="190" xfId="2" applyNumberFormat="1" applyFont="1" applyBorder="1" applyAlignment="1" applyProtection="1">
      <alignment horizontal="center" vertical="top" wrapText="1"/>
      <protection locked="0"/>
    </xf>
    <xf numFmtId="10" fontId="58" fillId="0" borderId="203" xfId="2" applyNumberFormat="1" applyFont="1" applyBorder="1" applyAlignment="1" applyProtection="1">
      <alignment horizontal="center" vertical="top" wrapText="1"/>
      <protection locked="0"/>
    </xf>
    <xf numFmtId="0" fontId="58" fillId="0" borderId="179" xfId="0" applyFont="1" applyBorder="1" applyAlignment="1" applyProtection="1">
      <alignment horizontal="left" vertical="top" wrapText="1"/>
      <protection locked="0"/>
    </xf>
    <xf numFmtId="0" fontId="58" fillId="0" borderId="180" xfId="0" applyFont="1" applyBorder="1" applyAlignment="1" applyProtection="1">
      <alignment horizontal="left" vertical="top" wrapText="1"/>
      <protection locked="0"/>
    </xf>
    <xf numFmtId="0" fontId="58" fillId="0" borderId="176" xfId="0" applyFont="1" applyBorder="1" applyAlignment="1" applyProtection="1">
      <alignment horizontal="left" vertical="top" wrapText="1"/>
      <protection locked="0"/>
    </xf>
    <xf numFmtId="169" fontId="58" fillId="0" borderId="204" xfId="0" applyNumberFormat="1" applyFont="1" applyBorder="1" applyAlignment="1" applyProtection="1">
      <alignment horizontal="center" vertical="top" wrapText="1"/>
      <protection locked="0"/>
    </xf>
    <xf numFmtId="169" fontId="89" fillId="26" borderId="186" xfId="0" applyNumberFormat="1" applyFont="1" applyFill="1" applyBorder="1" applyAlignment="1" applyProtection="1">
      <alignment horizontal="center" vertical="top" wrapText="1"/>
      <protection locked="0"/>
    </xf>
    <xf numFmtId="169" fontId="58" fillId="0" borderId="88" xfId="0" applyNumberFormat="1" applyFont="1" applyBorder="1" applyAlignment="1" applyProtection="1">
      <alignment horizontal="center" vertical="top"/>
      <protection locked="0"/>
    </xf>
    <xf numFmtId="169" fontId="58" fillId="0" borderId="87" xfId="0" applyNumberFormat="1" applyFont="1" applyBorder="1" applyAlignment="1" applyProtection="1">
      <alignment horizontal="center" vertical="top"/>
      <protection locked="0"/>
    </xf>
    <xf numFmtId="0" fontId="58" fillId="0" borderId="82" xfId="0" applyFont="1" applyBorder="1" applyAlignment="1" applyProtection="1">
      <alignment horizontal="left" vertical="top" wrapText="1"/>
      <protection locked="0"/>
    </xf>
    <xf numFmtId="169" fontId="58" fillId="0" borderId="200" xfId="0" applyNumberFormat="1" applyFont="1" applyBorder="1" applyAlignment="1" applyProtection="1">
      <alignment horizontal="center" vertical="top"/>
      <protection locked="0"/>
    </xf>
    <xf numFmtId="169" fontId="61" fillId="22" borderId="184" xfId="0" applyNumberFormat="1" applyFont="1" applyFill="1" applyBorder="1" applyAlignment="1" applyProtection="1">
      <alignment horizontal="center" vertical="top" wrapText="1"/>
      <protection locked="0"/>
    </xf>
    <xf numFmtId="1" fontId="58" fillId="0" borderId="206" xfId="0" applyNumberFormat="1" applyFont="1" applyBorder="1" applyAlignment="1" applyProtection="1">
      <alignment horizontal="center" vertical="top" wrapText="1"/>
      <protection locked="0"/>
    </xf>
    <xf numFmtId="1" fontId="58" fillId="0" borderId="187" xfId="0" applyNumberFormat="1" applyFont="1" applyBorder="1" applyAlignment="1" applyProtection="1">
      <alignment horizontal="center" vertical="top" wrapText="1"/>
      <protection locked="0"/>
    </xf>
    <xf numFmtId="1" fontId="58" fillId="3" borderId="207" xfId="0" applyNumberFormat="1" applyFont="1" applyFill="1" applyBorder="1" applyAlignment="1" applyProtection="1">
      <alignment horizontal="center" vertical="top"/>
      <protection locked="0"/>
    </xf>
    <xf numFmtId="0" fontId="83" fillId="21" borderId="315" xfId="0" applyFont="1" applyFill="1" applyBorder="1" applyAlignment="1" applyProtection="1">
      <alignment vertical="top" wrapText="1"/>
      <protection locked="0"/>
    </xf>
    <xf numFmtId="0" fontId="83" fillId="21" borderId="316" xfId="0" applyFont="1" applyFill="1" applyBorder="1" applyAlignment="1" applyProtection="1">
      <alignment vertical="top"/>
      <protection locked="0"/>
    </xf>
    <xf numFmtId="0" fontId="56" fillId="0" borderId="0" xfId="0" applyFont="1" applyAlignment="1" applyProtection="1">
      <alignment vertical="center"/>
      <protection locked="0"/>
    </xf>
    <xf numFmtId="0" fontId="58" fillId="6" borderId="35" xfId="3" applyFont="1" applyFill="1" applyBorder="1" applyAlignment="1" applyProtection="1">
      <alignment horizontal="center" vertical="center"/>
      <protection locked="0"/>
    </xf>
    <xf numFmtId="2" fontId="58" fillId="0" borderId="53" xfId="0" applyNumberFormat="1" applyFont="1" applyBorder="1" applyAlignment="1" applyProtection="1">
      <alignment horizontal="center" vertical="top"/>
      <protection locked="0"/>
    </xf>
    <xf numFmtId="2" fontId="58" fillId="0" borderId="54" xfId="0" applyNumberFormat="1" applyFont="1" applyBorder="1" applyAlignment="1" applyProtection="1">
      <alignment horizontal="center" vertical="top"/>
      <protection locked="0"/>
    </xf>
    <xf numFmtId="2" fontId="58" fillId="0" borderId="55" xfId="0" applyNumberFormat="1" applyFont="1" applyBorder="1" applyAlignment="1" applyProtection="1">
      <alignment horizontal="center" vertical="top"/>
      <protection locked="0"/>
    </xf>
    <xf numFmtId="2" fontId="58" fillId="0" borderId="56" xfId="0" applyNumberFormat="1" applyFont="1" applyBorder="1" applyAlignment="1" applyProtection="1">
      <alignment horizontal="center" vertical="top"/>
      <protection locked="0"/>
    </xf>
    <xf numFmtId="2" fontId="58" fillId="0" borderId="57" xfId="0" applyNumberFormat="1" applyFont="1" applyBorder="1" applyAlignment="1" applyProtection="1">
      <alignment vertical="top"/>
      <protection locked="0"/>
    </xf>
    <xf numFmtId="2" fontId="58" fillId="0" borderId="55" xfId="1" applyNumberFormat="1" applyFont="1" applyBorder="1" applyAlignment="1" applyProtection="1">
      <alignment vertical="top"/>
      <protection locked="0"/>
    </xf>
    <xf numFmtId="2" fontId="58" fillId="0" borderId="56" xfId="1" applyNumberFormat="1" applyFont="1" applyBorder="1" applyAlignment="1" applyProtection="1">
      <alignment vertical="top"/>
      <protection locked="0"/>
    </xf>
    <xf numFmtId="2" fontId="58" fillId="0" borderId="55" xfId="1" applyNumberFormat="1" applyFont="1" applyBorder="1" applyAlignment="1" applyProtection="1">
      <alignment horizontal="center" vertical="top"/>
      <protection locked="0"/>
    </xf>
    <xf numFmtId="2" fontId="58" fillId="0" borderId="57" xfId="1" applyNumberFormat="1" applyFont="1" applyBorder="1" applyAlignment="1" applyProtection="1">
      <alignment vertical="top"/>
      <protection locked="0"/>
    </xf>
    <xf numFmtId="2" fontId="58" fillId="0" borderId="59" xfId="0" applyNumberFormat="1" applyFont="1" applyBorder="1" applyAlignment="1" applyProtection="1">
      <alignment horizontal="center" vertical="top"/>
      <protection locked="0"/>
    </xf>
    <xf numFmtId="2" fontId="58" fillId="0" borderId="60" xfId="0" applyNumberFormat="1" applyFont="1" applyBorder="1" applyAlignment="1" applyProtection="1">
      <alignment vertical="top"/>
      <protection locked="0"/>
    </xf>
    <xf numFmtId="2" fontId="58" fillId="0" borderId="61" xfId="0" applyNumberFormat="1" applyFont="1" applyBorder="1" applyAlignment="1" applyProtection="1">
      <alignment vertical="top"/>
      <protection locked="0"/>
    </xf>
    <xf numFmtId="2" fontId="58" fillId="0" borderId="0" xfId="0" applyNumberFormat="1" applyFont="1" applyProtection="1">
      <protection locked="0"/>
    </xf>
    <xf numFmtId="174" fontId="58" fillId="0" borderId="113" xfId="1" applyNumberFormat="1" applyFont="1" applyBorder="1" applyAlignment="1" applyProtection="1">
      <alignment horizontal="center" vertical="top"/>
      <protection locked="0"/>
    </xf>
    <xf numFmtId="174" fontId="58" fillId="0" borderId="112" xfId="1" applyNumberFormat="1" applyFont="1" applyBorder="1" applyAlignment="1" applyProtection="1">
      <alignment horizontal="center" vertical="top"/>
      <protection locked="0"/>
    </xf>
    <xf numFmtId="2" fontId="58" fillId="3" borderId="276" xfId="0" applyNumberFormat="1" applyFont="1" applyFill="1" applyBorder="1" applyAlignment="1" applyProtection="1">
      <alignment vertical="top"/>
      <protection locked="0"/>
    </xf>
    <xf numFmtId="2" fontId="58" fillId="0" borderId="198" xfId="0" applyNumberFormat="1" applyFont="1" applyBorder="1" applyAlignment="1" applyProtection="1">
      <alignment vertical="top"/>
      <protection locked="0"/>
    </xf>
    <xf numFmtId="2" fontId="58" fillId="0" borderId="110" xfId="0" applyNumberFormat="1" applyFont="1" applyBorder="1" applyAlignment="1" applyProtection="1">
      <alignment vertical="top"/>
      <protection locked="0"/>
    </xf>
    <xf numFmtId="2" fontId="58" fillId="0" borderId="111" xfId="0" applyNumberFormat="1" applyFont="1" applyBorder="1" applyAlignment="1" applyProtection="1">
      <alignment vertical="top"/>
      <protection locked="0"/>
    </xf>
    <xf numFmtId="174" fontId="58" fillId="0" borderId="221" xfId="1" applyNumberFormat="1" applyFont="1" applyBorder="1" applyAlignment="1" applyProtection="1">
      <alignment horizontal="center" vertical="top" wrapText="1"/>
      <protection locked="0"/>
    </xf>
    <xf numFmtId="174" fontId="58" fillId="0" borderId="88" xfId="1" applyNumberFormat="1" applyFont="1" applyBorder="1" applyAlignment="1" applyProtection="1">
      <alignment horizontal="center" vertical="top"/>
      <protection locked="0"/>
    </xf>
    <xf numFmtId="174" fontId="58" fillId="0" borderId="87" xfId="1" applyNumberFormat="1" applyFont="1" applyBorder="1" applyAlignment="1" applyProtection="1">
      <alignment horizontal="center" vertical="top"/>
      <protection locked="0"/>
    </xf>
    <xf numFmtId="2" fontId="58" fillId="3" borderId="90" xfId="0" applyNumberFormat="1" applyFont="1" applyFill="1" applyBorder="1" applyAlignment="1" applyProtection="1">
      <alignment vertical="top"/>
      <protection locked="0"/>
    </xf>
    <xf numFmtId="2" fontId="58" fillId="0" borderId="204" xfId="0" applyNumberFormat="1" applyFont="1" applyBorder="1" applyAlignment="1" applyProtection="1">
      <alignment vertical="top"/>
      <protection locked="0"/>
    </xf>
    <xf numFmtId="2" fontId="58" fillId="0" borderId="83" xfId="0" applyNumberFormat="1" applyFont="1" applyBorder="1" applyAlignment="1" applyProtection="1">
      <alignment vertical="top"/>
      <protection locked="0"/>
    </xf>
    <xf numFmtId="0" fontId="53" fillId="0" borderId="0" xfId="0" applyFont="1" applyAlignment="1" applyProtection="1">
      <alignment vertical="center"/>
      <protection locked="0"/>
    </xf>
    <xf numFmtId="0" fontId="77" fillId="0" borderId="0" xfId="0" applyFont="1" applyAlignment="1" applyProtection="1">
      <alignment vertical="center"/>
      <protection locked="0"/>
    </xf>
    <xf numFmtId="1" fontId="58" fillId="0" borderId="93" xfId="0" applyNumberFormat="1" applyFont="1" applyBorder="1" applyAlignment="1" applyProtection="1">
      <alignment horizontal="center" vertical="top" wrapText="1"/>
      <protection locked="0"/>
    </xf>
    <xf numFmtId="1" fontId="77" fillId="0" borderId="0" xfId="0" applyNumberFormat="1" applyFont="1" applyAlignment="1" applyProtection="1">
      <alignment vertical="top"/>
      <protection locked="0"/>
    </xf>
    <xf numFmtId="0" fontId="77" fillId="0" borderId="0" xfId="0" applyFont="1" applyAlignment="1" applyProtection="1">
      <alignment vertical="top"/>
      <protection locked="0"/>
    </xf>
    <xf numFmtId="0" fontId="0" fillId="6" borderId="1" xfId="3" applyFont="1" applyFill="1" applyBorder="1" applyAlignment="1" applyProtection="1">
      <alignment horizontal="center" vertical="center"/>
      <protection locked="0"/>
    </xf>
    <xf numFmtId="0" fontId="21" fillId="7" borderId="1" xfId="3" applyFont="1" applyFill="1" applyBorder="1" applyAlignment="1" applyProtection="1">
      <alignment horizontal="center" vertical="center"/>
      <protection locked="0"/>
    </xf>
    <xf numFmtId="0" fontId="0" fillId="0" borderId="10" xfId="0" applyBorder="1" applyAlignment="1" applyProtection="1">
      <alignment horizontal="center" vertical="center"/>
      <protection locked="0"/>
    </xf>
    <xf numFmtId="170" fontId="0" fillId="0" borderId="7" xfId="0" applyNumberFormat="1" applyBorder="1" applyAlignment="1" applyProtection="1">
      <alignment horizontal="center" vertical="center"/>
      <protection locked="0"/>
    </xf>
    <xf numFmtId="0" fontId="0" fillId="0" borderId="1" xfId="1" applyNumberFormat="1" applyFont="1" applyBorder="1" applyAlignment="1" applyProtection="1">
      <alignment horizontal="center" vertical="center"/>
      <protection locked="0"/>
    </xf>
    <xf numFmtId="0" fontId="0" fillId="0" borderId="7" xfId="1" applyNumberFormat="1" applyFont="1" applyBorder="1" applyAlignment="1" applyProtection="1">
      <alignment horizontal="center" vertical="center"/>
      <protection locked="0"/>
    </xf>
    <xf numFmtId="0" fontId="0" fillId="0" borderId="10" xfId="1" applyNumberFormat="1" applyFont="1" applyBorder="1" applyAlignment="1" applyProtection="1">
      <alignment horizontal="center" vertical="center"/>
      <protection locked="0"/>
    </xf>
    <xf numFmtId="177" fontId="0" fillId="0" borderId="1" xfId="1" applyNumberFormat="1" applyFont="1" applyBorder="1" applyAlignment="1" applyProtection="1">
      <alignment horizontal="center" vertical="center"/>
      <protection locked="0"/>
    </xf>
    <xf numFmtId="177" fontId="0" fillId="0" borderId="1" xfId="0" applyNumberFormat="1" applyBorder="1" applyAlignment="1" applyProtection="1">
      <alignment horizontal="center" vertical="center"/>
      <protection locked="0"/>
    </xf>
    <xf numFmtId="0" fontId="0" fillId="0" borderId="20" xfId="0" applyBorder="1" applyAlignment="1" applyProtection="1">
      <alignment horizontal="center" vertical="center"/>
      <protection locked="0"/>
    </xf>
    <xf numFmtId="0" fontId="11" fillId="0" borderId="7" xfId="0" applyFont="1" applyBorder="1" applyAlignment="1" applyProtection="1">
      <alignment horizontal="center" vertical="center"/>
      <protection locked="0"/>
    </xf>
    <xf numFmtId="0" fontId="11" fillId="0" borderId="9" xfId="0" applyFont="1" applyBorder="1" applyAlignment="1" applyProtection="1">
      <alignment horizontal="center" vertical="center"/>
      <protection locked="0"/>
    </xf>
    <xf numFmtId="0" fontId="11" fillId="0" borderId="10" xfId="0" applyFont="1" applyBorder="1" applyAlignment="1" applyProtection="1">
      <alignment horizontal="center" vertical="center"/>
      <protection locked="0"/>
    </xf>
    <xf numFmtId="0" fontId="0" fillId="0" borderId="21" xfId="0" applyBorder="1" applyAlignment="1" applyProtection="1">
      <alignment horizontal="center" vertical="center"/>
      <protection locked="0"/>
    </xf>
    <xf numFmtId="2" fontId="0" fillId="0" borderId="10" xfId="0" applyNumberFormat="1" applyBorder="1" applyAlignment="1" applyProtection="1">
      <alignment horizontal="center" vertical="center"/>
      <protection locked="0"/>
    </xf>
    <xf numFmtId="0" fontId="0" fillId="5" borderId="1" xfId="0" applyFill="1" applyBorder="1" applyAlignment="1" applyProtection="1">
      <alignment horizontal="center" vertical="center"/>
      <protection locked="0"/>
    </xf>
    <xf numFmtId="2" fontId="0" fillId="5" borderId="1" xfId="0" applyNumberFormat="1" applyFill="1" applyBorder="1" applyAlignment="1" applyProtection="1">
      <alignment horizontal="center" vertical="center"/>
      <protection locked="0"/>
    </xf>
    <xf numFmtId="1" fontId="0" fillId="0" borderId="8" xfId="0" applyNumberFormat="1" applyBorder="1" applyAlignment="1" applyProtection="1">
      <alignment horizontal="center" vertical="center" wrapText="1"/>
      <protection locked="0"/>
    </xf>
    <xf numFmtId="1" fontId="0" fillId="0" borderId="1" xfId="0" applyNumberFormat="1" applyBorder="1" applyAlignment="1" applyProtection="1">
      <alignment horizontal="center" vertical="center"/>
      <protection locked="0"/>
    </xf>
    <xf numFmtId="0" fontId="0" fillId="0" borderId="9" xfId="0" applyBorder="1" applyAlignment="1" applyProtection="1">
      <alignment horizontal="right" vertical="center"/>
      <protection locked="0"/>
    </xf>
    <xf numFmtId="0" fontId="0" fillId="0" borderId="1" xfId="0" applyBorder="1" applyAlignment="1" applyProtection="1">
      <alignment horizontal="right" vertical="center"/>
      <protection locked="0"/>
    </xf>
    <xf numFmtId="0" fontId="0" fillId="0" borderId="10" xfId="0" applyBorder="1" applyAlignment="1" applyProtection="1">
      <alignment horizontal="right" vertical="center"/>
      <protection locked="0"/>
    </xf>
    <xf numFmtId="0" fontId="0" fillId="0" borderId="14" xfId="0" applyBorder="1" applyAlignment="1" applyProtection="1">
      <alignment horizontal="center" vertical="center"/>
      <protection locked="0"/>
    </xf>
    <xf numFmtId="43" fontId="0" fillId="0" borderId="1" xfId="0" applyNumberFormat="1" applyBorder="1" applyAlignment="1" applyProtection="1">
      <alignment horizontal="center" vertical="center"/>
      <protection locked="0"/>
    </xf>
    <xf numFmtId="43" fontId="0" fillId="0" borderId="10" xfId="0" applyNumberFormat="1" applyBorder="1" applyAlignment="1" applyProtection="1">
      <alignment horizontal="center" vertical="center"/>
      <protection locked="0"/>
    </xf>
    <xf numFmtId="0" fontId="0" fillId="0" borderId="8" xfId="0" applyBorder="1" applyAlignment="1" applyProtection="1">
      <alignment horizontal="centerContinuous" vertical="center"/>
      <protection locked="0"/>
    </xf>
    <xf numFmtId="0" fontId="0" fillId="0" borderId="1" xfId="0" applyBorder="1" applyAlignment="1" applyProtection="1">
      <alignment horizontal="centerContinuous" vertical="center"/>
      <protection locked="0"/>
    </xf>
    <xf numFmtId="0" fontId="0" fillId="0" borderId="9" xfId="1" applyNumberFormat="1" applyFont="1" applyBorder="1" applyAlignment="1" applyProtection="1">
      <alignment horizontal="center" vertical="center"/>
      <protection locked="0"/>
    </xf>
    <xf numFmtId="165" fontId="0" fillId="0" borderId="1" xfId="0" applyNumberFormat="1" applyBorder="1" applyAlignment="1" applyProtection="1">
      <alignment horizontal="center" vertical="center"/>
      <protection locked="0"/>
    </xf>
    <xf numFmtId="0" fontId="46" fillId="0" borderId="10" xfId="0" applyFont="1" applyBorder="1" applyAlignment="1" applyProtection="1">
      <alignment horizontal="center" vertical="center"/>
      <protection locked="0"/>
    </xf>
    <xf numFmtId="0" fontId="46" fillId="0" borderId="1" xfId="0" applyFont="1" applyBorder="1" applyAlignment="1" applyProtection="1">
      <alignment horizontal="center" vertical="center"/>
      <protection locked="0"/>
    </xf>
    <xf numFmtId="165" fontId="0" fillId="0" borderId="10" xfId="1" applyFont="1" applyBorder="1" applyAlignment="1" applyProtection="1">
      <alignment horizontal="center" vertical="center"/>
      <protection locked="0"/>
    </xf>
    <xf numFmtId="165" fontId="0" fillId="0" borderId="9" xfId="1" applyFont="1" applyBorder="1" applyAlignment="1" applyProtection="1">
      <alignment horizontal="center" vertical="center"/>
      <protection locked="0"/>
    </xf>
    <xf numFmtId="165" fontId="0" fillId="0" borderId="28" xfId="1" applyFont="1" applyBorder="1" applyAlignment="1" applyProtection="1">
      <alignment horizontal="center" vertical="center"/>
      <protection locked="0"/>
    </xf>
    <xf numFmtId="0" fontId="0" fillId="0" borderId="28" xfId="1" applyNumberFormat="1" applyFont="1" applyBorder="1" applyAlignment="1" applyProtection="1">
      <alignment horizontal="center" vertical="center"/>
      <protection locked="0"/>
    </xf>
    <xf numFmtId="1" fontId="0" fillId="0" borderId="1" xfId="0" applyNumberFormat="1" applyBorder="1" applyAlignment="1" applyProtection="1">
      <alignment horizontal="center" vertical="center" wrapText="1"/>
      <protection locked="0"/>
    </xf>
    <xf numFmtId="2" fontId="0" fillId="0" borderId="1" xfId="1" applyNumberFormat="1" applyFont="1" applyBorder="1" applyAlignment="1" applyProtection="1">
      <alignment horizontal="center" vertical="center"/>
      <protection locked="0"/>
    </xf>
    <xf numFmtId="168" fontId="0" fillId="0" borderId="10" xfId="0" applyNumberFormat="1" applyBorder="1" applyAlignment="1" applyProtection="1">
      <alignment horizontal="center" vertical="center"/>
      <protection locked="0"/>
    </xf>
    <xf numFmtId="0" fontId="3" fillId="2" borderId="1" xfId="0" applyFont="1" applyFill="1" applyBorder="1" applyAlignment="1" applyProtection="1">
      <alignment horizontal="left" vertical="center" wrapText="1" readingOrder="1"/>
      <protection locked="0"/>
    </xf>
    <xf numFmtId="0" fontId="8" fillId="0" borderId="1" xfId="0" applyFont="1" applyBorder="1" applyAlignment="1" applyProtection="1">
      <alignment horizontal="left" vertical="center" wrapText="1" readingOrder="1"/>
      <protection locked="0"/>
    </xf>
    <xf numFmtId="0" fontId="12" fillId="0" borderId="1" xfId="0" applyFont="1" applyBorder="1" applyAlignment="1" applyProtection="1">
      <alignment horizontal="left" vertical="center" wrapText="1" readingOrder="1"/>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8" fillId="0" borderId="1" xfId="0" applyFont="1" applyBorder="1" applyAlignment="1" applyProtection="1">
      <alignment horizontal="center" vertical="center" wrapText="1" readingOrder="1"/>
      <protection locked="0"/>
    </xf>
    <xf numFmtId="0" fontId="29" fillId="0" borderId="1" xfId="0" applyFont="1" applyBorder="1" applyAlignment="1" applyProtection="1">
      <alignment horizontal="center" vertical="center" wrapText="1" readingOrder="1"/>
      <protection locked="0"/>
    </xf>
    <xf numFmtId="0" fontId="29" fillId="0" borderId="1" xfId="0" applyFont="1" applyBorder="1" applyAlignment="1" applyProtection="1">
      <alignment horizontal="left" vertical="center" wrapText="1" readingOrder="1"/>
      <protection locked="0"/>
    </xf>
    <xf numFmtId="0" fontId="11" fillId="0" borderId="0" xfId="0" applyFont="1" applyAlignment="1" applyProtection="1">
      <alignment horizontal="left"/>
      <protection locked="0"/>
    </xf>
    <xf numFmtId="0" fontId="20" fillId="6" borderId="6" xfId="3" applyFill="1" applyBorder="1" applyAlignment="1" applyProtection="1">
      <alignment horizontal="center" vertical="center"/>
      <protection locked="0"/>
    </xf>
    <xf numFmtId="0" fontId="21" fillId="7" borderId="5" xfId="3" applyFont="1" applyFill="1" applyBorder="1" applyAlignment="1" applyProtection="1">
      <alignment horizontal="center" vertical="center"/>
      <protection locked="0"/>
    </xf>
    <xf numFmtId="0" fontId="21" fillId="7" borderId="3" xfId="3" applyFont="1" applyFill="1" applyBorder="1" applyAlignment="1" applyProtection="1">
      <alignment horizontal="center" vertical="center"/>
      <protection locked="0"/>
    </xf>
    <xf numFmtId="0" fontId="21" fillId="7" borderId="4" xfId="3" applyFont="1" applyFill="1" applyBorder="1" applyAlignment="1" applyProtection="1">
      <alignment horizontal="center" vertical="center"/>
      <protection locked="0"/>
    </xf>
    <xf numFmtId="0" fontId="21" fillId="7" borderId="6" xfId="3" applyFont="1" applyFill="1" applyBorder="1" applyAlignment="1" applyProtection="1">
      <alignment horizontal="center" vertical="center"/>
      <protection locked="0"/>
    </xf>
    <xf numFmtId="0" fontId="21" fillId="7" borderId="13" xfId="3" applyFont="1" applyFill="1" applyBorder="1" applyAlignment="1" applyProtection="1">
      <alignment horizontal="center" vertical="center"/>
      <protection locked="0"/>
    </xf>
    <xf numFmtId="0" fontId="3" fillId="2" borderId="1" xfId="0" applyFont="1" applyFill="1" applyBorder="1" applyAlignment="1" applyProtection="1">
      <alignment vertical="center" wrapText="1" readingOrder="1"/>
      <protection locked="0"/>
    </xf>
    <xf numFmtId="2" fontId="0" fillId="3" borderId="1" xfId="2" applyNumberFormat="1" applyFont="1" applyFill="1" applyBorder="1" applyAlignment="1" applyProtection="1">
      <alignment horizontal="right" vertical="center" wrapText="1"/>
      <protection locked="0"/>
    </xf>
    <xf numFmtId="9" fontId="0" fillId="3" borderId="1" xfId="0" applyNumberFormat="1" applyFill="1" applyBorder="1" applyAlignment="1" applyProtection="1">
      <alignment horizontal="center" vertical="center" wrapText="1"/>
      <protection locked="0"/>
    </xf>
    <xf numFmtId="0" fontId="0" fillId="3" borderId="29" xfId="0" applyFill="1" applyBorder="1" applyAlignment="1" applyProtection="1">
      <alignment vertical="center"/>
      <protection locked="0"/>
    </xf>
    <xf numFmtId="2" fontId="0" fillId="3" borderId="1" xfId="0" applyNumberFormat="1" applyFill="1" applyBorder="1" applyAlignment="1" applyProtection="1">
      <alignment vertical="center" wrapText="1"/>
      <protection locked="0"/>
    </xf>
    <xf numFmtId="2" fontId="0" fillId="3" borderId="1" xfId="0" applyNumberFormat="1" applyFill="1" applyBorder="1" applyAlignment="1" applyProtection="1">
      <alignment horizontal="center" vertical="center"/>
      <protection locked="0"/>
    </xf>
    <xf numFmtId="2" fontId="0" fillId="3" borderId="1" xfId="0" applyNumberFormat="1" applyFill="1" applyBorder="1" applyAlignment="1" applyProtection="1">
      <alignment horizontal="left" vertical="center" wrapText="1"/>
      <protection locked="0"/>
    </xf>
    <xf numFmtId="0" fontId="0" fillId="3" borderId="1" xfId="0" applyFill="1" applyBorder="1" applyAlignment="1" applyProtection="1">
      <alignment horizontal="center" vertical="center" wrapText="1"/>
      <protection locked="0"/>
    </xf>
    <xf numFmtId="2" fontId="43" fillId="3" borderId="1" xfId="0" applyNumberFormat="1" applyFont="1" applyFill="1" applyBorder="1" applyAlignment="1" applyProtection="1">
      <alignment vertical="top" wrapText="1"/>
      <protection locked="0"/>
    </xf>
    <xf numFmtId="0" fontId="0" fillId="3" borderId="1" xfId="0" applyFill="1" applyBorder="1" applyAlignment="1" applyProtection="1">
      <alignment horizontal="center" vertical="center"/>
      <protection locked="0"/>
    </xf>
    <xf numFmtId="2" fontId="0" fillId="3" borderId="16" xfId="0" applyNumberFormat="1" applyFill="1" applyBorder="1" applyProtection="1">
      <protection locked="0"/>
    </xf>
    <xf numFmtId="14" fontId="0" fillId="3" borderId="1" xfId="0" applyNumberFormat="1" applyFill="1" applyBorder="1" applyAlignment="1" applyProtection="1">
      <alignment horizontal="center" vertical="center"/>
      <protection locked="0"/>
    </xf>
    <xf numFmtId="2" fontId="26" fillId="3" borderId="1" xfId="0" applyNumberFormat="1" applyFont="1" applyFill="1" applyBorder="1" applyAlignment="1" applyProtection="1">
      <alignment vertical="center" wrapText="1"/>
      <protection locked="0"/>
    </xf>
    <xf numFmtId="0" fontId="44" fillId="3" borderId="29" xfId="0" applyFont="1" applyFill="1" applyBorder="1" applyAlignment="1" applyProtection="1">
      <alignment horizontal="left" vertical="top" wrapText="1"/>
      <protection locked="0"/>
    </xf>
    <xf numFmtId="0" fontId="21" fillId="3" borderId="29" xfId="0" applyFont="1" applyFill="1" applyBorder="1" applyAlignment="1" applyProtection="1">
      <alignment horizontal="left" vertical="center" wrapText="1"/>
      <protection locked="0"/>
    </xf>
    <xf numFmtId="0" fontId="21" fillId="3" borderId="15" xfId="0" applyFont="1" applyFill="1" applyBorder="1" applyAlignment="1" applyProtection="1">
      <alignment horizontal="left" vertical="top" wrapText="1"/>
      <protection locked="0"/>
    </xf>
    <xf numFmtId="2" fontId="0" fillId="3" borderId="15" xfId="0" applyNumberFormat="1" applyFill="1" applyBorder="1" applyProtection="1">
      <protection locked="0"/>
    </xf>
    <xf numFmtId="2" fontId="0" fillId="3" borderId="15" xfId="0" applyNumberFormat="1" applyFill="1" applyBorder="1" applyAlignment="1" applyProtection="1">
      <alignment vertical="center" wrapText="1"/>
      <protection locked="0"/>
    </xf>
    <xf numFmtId="0" fontId="0" fillId="3" borderId="7" xfId="0" applyFill="1" applyBorder="1" applyAlignment="1" applyProtection="1">
      <alignment wrapText="1"/>
      <protection locked="0"/>
    </xf>
    <xf numFmtId="0" fontId="45" fillId="3" borderId="1" xfId="0" applyFont="1" applyFill="1" applyBorder="1" applyProtection="1">
      <protection locked="0"/>
    </xf>
    <xf numFmtId="2" fontId="0" fillId="3" borderId="25" xfId="0" applyNumberFormat="1" applyFill="1" applyBorder="1" applyProtection="1">
      <protection locked="0"/>
    </xf>
    <xf numFmtId="2" fontId="0" fillId="3" borderId="14" xfId="0" applyNumberFormat="1" applyFill="1" applyBorder="1" applyProtection="1">
      <protection locked="0"/>
    </xf>
    <xf numFmtId="2" fontId="0" fillId="3" borderId="14" xfId="0" applyNumberFormat="1" applyFill="1" applyBorder="1" applyAlignment="1" applyProtection="1">
      <alignment vertical="center" wrapText="1"/>
      <protection locked="0"/>
    </xf>
    <xf numFmtId="2" fontId="0" fillId="3" borderId="8" xfId="0" applyNumberFormat="1" applyFill="1" applyBorder="1" applyProtection="1">
      <protection locked="0"/>
    </xf>
    <xf numFmtId="0" fontId="0" fillId="3" borderId="1" xfId="2" applyNumberFormat="1" applyFont="1" applyFill="1" applyBorder="1" applyAlignment="1" applyProtection="1">
      <alignment vertical="center" wrapText="1"/>
      <protection locked="0"/>
    </xf>
    <xf numFmtId="0" fontId="0" fillId="3" borderId="0" xfId="0" applyFill="1" applyAlignment="1" applyProtection="1">
      <alignment vertical="top" wrapText="1"/>
      <protection locked="0"/>
    </xf>
    <xf numFmtId="0" fontId="48" fillId="21" borderId="1" xfId="0" applyFont="1" applyFill="1" applyBorder="1" applyAlignment="1" applyProtection="1">
      <alignment horizontal="center" vertical="center" wrapText="1"/>
      <protection locked="0"/>
    </xf>
    <xf numFmtId="2" fontId="48" fillId="21" borderId="1" xfId="0" applyNumberFormat="1" applyFont="1" applyFill="1" applyBorder="1" applyAlignment="1" applyProtection="1">
      <alignment horizontal="center" vertical="center" wrapText="1"/>
      <protection locked="0"/>
    </xf>
    <xf numFmtId="2" fontId="0" fillId="3" borderId="18" xfId="0" applyNumberFormat="1" applyFill="1" applyBorder="1" applyAlignment="1" applyProtection="1">
      <alignment vertical="center"/>
      <protection locked="0"/>
    </xf>
    <xf numFmtId="2" fontId="0" fillId="3" borderId="16" xfId="0" applyNumberFormat="1" applyFill="1" applyBorder="1" applyAlignment="1" applyProtection="1">
      <alignment vertical="center" wrapText="1"/>
      <protection locked="0"/>
    </xf>
    <xf numFmtId="165" fontId="0" fillId="3" borderId="1" xfId="1" applyFont="1" applyFill="1" applyBorder="1" applyAlignment="1" applyProtection="1">
      <alignment horizontal="center" vertical="center" wrapText="1"/>
      <protection locked="0"/>
    </xf>
    <xf numFmtId="1" fontId="0" fillId="3" borderId="1" xfId="0" applyNumberFormat="1" applyFill="1" applyBorder="1" applyAlignment="1" applyProtection="1">
      <alignment horizontal="right" vertical="center"/>
      <protection locked="0"/>
    </xf>
    <xf numFmtId="2" fontId="0" fillId="3" borderId="7" xfId="0" applyNumberFormat="1" applyFill="1" applyBorder="1" applyAlignment="1" applyProtection="1">
      <alignment vertical="center"/>
      <protection locked="0"/>
    </xf>
    <xf numFmtId="0" fontId="0" fillId="3" borderId="30" xfId="0" applyFill="1" applyBorder="1" applyAlignment="1" applyProtection="1">
      <alignment vertical="center" wrapText="1"/>
      <protection locked="0"/>
    </xf>
    <xf numFmtId="0" fontId="0" fillId="3" borderId="31" xfId="0" quotePrefix="1" applyFill="1" applyBorder="1" applyAlignment="1" applyProtection="1">
      <alignment vertical="center" wrapText="1"/>
      <protection locked="0"/>
    </xf>
    <xf numFmtId="0" fontId="0" fillId="3" borderId="22" xfId="0" applyFill="1" applyBorder="1" applyAlignment="1" applyProtection="1">
      <alignment vertical="center"/>
      <protection locked="0"/>
    </xf>
    <xf numFmtId="0" fontId="0" fillId="3" borderId="30" xfId="0" applyFill="1" applyBorder="1" applyAlignment="1" applyProtection="1">
      <alignment vertical="center"/>
      <protection locked="0"/>
    </xf>
    <xf numFmtId="0" fontId="0" fillId="3" borderId="31" xfId="0" applyFill="1" applyBorder="1" applyAlignment="1" applyProtection="1">
      <alignment vertical="center"/>
      <protection locked="0"/>
    </xf>
    <xf numFmtId="2" fontId="0" fillId="3" borderId="1" xfId="0" quotePrefix="1" applyNumberFormat="1" applyFill="1" applyBorder="1" applyAlignment="1" applyProtection="1">
      <alignment vertical="top" wrapText="1"/>
      <protection locked="0"/>
    </xf>
    <xf numFmtId="4" fontId="48" fillId="21" borderId="1" xfId="0" applyNumberFormat="1" applyFont="1" applyFill="1" applyBorder="1" applyAlignment="1" applyProtection="1">
      <alignment horizontal="center" vertical="center" wrapText="1"/>
      <protection locked="0"/>
    </xf>
    <xf numFmtId="2" fontId="21" fillId="3" borderId="16" xfId="0" applyNumberFormat="1" applyFont="1" applyFill="1" applyBorder="1" applyAlignment="1" applyProtection="1">
      <alignment vertical="top" wrapText="1"/>
      <protection locked="0"/>
    </xf>
    <xf numFmtId="2" fontId="39" fillId="3" borderId="1" xfId="2" applyNumberFormat="1" applyFont="1" applyFill="1" applyBorder="1" applyAlignment="1" applyProtection="1">
      <alignment horizontal="center" vertical="center" wrapText="1"/>
      <protection locked="0"/>
    </xf>
    <xf numFmtId="43" fontId="39" fillId="3" borderId="1" xfId="0" applyNumberFormat="1" applyFont="1" applyFill="1" applyBorder="1" applyAlignment="1" applyProtection="1">
      <alignment horizontal="right" vertical="center"/>
      <protection locked="0"/>
    </xf>
    <xf numFmtId="2" fontId="0" fillId="3" borderId="1" xfId="0" quotePrefix="1" applyNumberFormat="1" applyFill="1" applyBorder="1" applyAlignment="1" applyProtection="1">
      <alignment wrapText="1"/>
      <protection locked="0"/>
    </xf>
    <xf numFmtId="2" fontId="0" fillId="3" borderId="1" xfId="0" applyNumberFormat="1" applyFill="1" applyBorder="1" applyAlignment="1" applyProtection="1">
      <alignment horizontal="center" vertical="center" wrapText="1"/>
      <protection locked="0"/>
    </xf>
    <xf numFmtId="4" fontId="50" fillId="21" borderId="1" xfId="0" applyNumberFormat="1" applyFont="1" applyFill="1" applyBorder="1" applyAlignment="1" applyProtection="1">
      <alignment horizontal="center" vertical="center" wrapText="1"/>
      <protection locked="0"/>
    </xf>
    <xf numFmtId="2" fontId="0" fillId="3" borderId="16" xfId="0" applyNumberFormat="1" applyFill="1" applyBorder="1" applyAlignment="1" applyProtection="1">
      <alignment vertical="top" wrapText="1"/>
      <protection locked="0"/>
    </xf>
    <xf numFmtId="2" fontId="0" fillId="3" borderId="1" xfId="0" applyNumberFormat="1" applyFill="1" applyBorder="1" applyAlignment="1" applyProtection="1">
      <alignment horizontal="center" vertical="top" wrapText="1"/>
      <protection locked="0"/>
    </xf>
    <xf numFmtId="2" fontId="0" fillId="3" borderId="7" xfId="0" applyNumberFormat="1" applyFill="1" applyBorder="1" applyAlignment="1" applyProtection="1">
      <alignment vertical="top"/>
      <protection locked="0"/>
    </xf>
    <xf numFmtId="2" fontId="21" fillId="3" borderId="1" xfId="0" applyNumberFormat="1" applyFont="1" applyFill="1" applyBorder="1" applyAlignment="1" applyProtection="1">
      <alignment vertical="top" wrapText="1"/>
      <protection locked="0"/>
    </xf>
    <xf numFmtId="2" fontId="39" fillId="3" borderId="1" xfId="0" applyNumberFormat="1" applyFont="1" applyFill="1" applyBorder="1" applyAlignment="1" applyProtection="1">
      <alignment horizontal="center" vertical="center"/>
      <protection locked="0"/>
    </xf>
    <xf numFmtId="165" fontId="0" fillId="3" borderId="1" xfId="1" applyFont="1" applyFill="1" applyBorder="1" applyAlignment="1" applyProtection="1">
      <alignment horizontal="right" vertical="center"/>
      <protection locked="0"/>
    </xf>
    <xf numFmtId="2" fontId="0" fillId="3" borderId="30" xfId="0" applyNumberFormat="1" applyFill="1" applyBorder="1" applyProtection="1">
      <protection locked="0"/>
    </xf>
    <xf numFmtId="2" fontId="0" fillId="3" borderId="2" xfId="0" applyNumberFormat="1" applyFill="1" applyBorder="1" applyProtection="1">
      <protection locked="0"/>
    </xf>
    <xf numFmtId="0" fontId="11" fillId="0" borderId="0" xfId="0" applyFont="1" applyAlignment="1" applyProtection="1">
      <alignment vertical="center"/>
      <protection locked="0"/>
    </xf>
    <xf numFmtId="0" fontId="0" fillId="5" borderId="0" xfId="0" applyFill="1" applyAlignment="1" applyProtection="1">
      <alignment horizontal="center" vertical="center"/>
      <protection locked="0"/>
    </xf>
    <xf numFmtId="0" fontId="11" fillId="0" borderId="0" xfId="0" applyFont="1" applyAlignment="1" applyProtection="1">
      <alignment horizontal="center" vertical="center"/>
      <protection locked="0"/>
    </xf>
    <xf numFmtId="1" fontId="6" fillId="2" borderId="1" xfId="0" applyNumberFormat="1" applyFont="1" applyFill="1" applyBorder="1" applyAlignment="1">
      <alignment horizontal="center" vertical="center" wrapText="1" readingOrder="1"/>
    </xf>
    <xf numFmtId="167" fontId="0" fillId="0" borderId="7" xfId="0" applyNumberFormat="1" applyBorder="1" applyAlignment="1">
      <alignment horizontal="center" vertical="center"/>
    </xf>
    <xf numFmtId="2" fontId="0" fillId="3" borderId="1" xfId="2" applyNumberFormat="1" applyFont="1" applyFill="1" applyBorder="1" applyAlignment="1" applyProtection="1">
      <alignment horizontal="center" vertical="center" wrapText="1"/>
    </xf>
    <xf numFmtId="1" fontId="0" fillId="3" borderId="1" xfId="2" applyNumberFormat="1" applyFont="1" applyFill="1" applyBorder="1" applyAlignment="1" applyProtection="1">
      <alignment horizontal="center" vertical="center" wrapText="1"/>
    </xf>
    <xf numFmtId="0" fontId="0" fillId="3" borderId="1" xfId="0" applyFill="1" applyBorder="1" applyAlignment="1">
      <alignment horizontal="center" vertical="center" wrapText="1"/>
    </xf>
    <xf numFmtId="1" fontId="0" fillId="3" borderId="1" xfId="0" applyNumberFormat="1" applyFill="1" applyBorder="1" applyAlignment="1">
      <alignment horizontal="center" vertical="center" wrapText="1"/>
    </xf>
    <xf numFmtId="165" fontId="0" fillId="3" borderId="1" xfId="1" applyFont="1" applyFill="1" applyBorder="1" applyAlignment="1" applyProtection="1">
      <alignment horizontal="center" vertical="center" wrapText="1"/>
    </xf>
    <xf numFmtId="2" fontId="0" fillId="3" borderId="1" xfId="0" applyNumberFormat="1" applyFill="1" applyBorder="1" applyAlignment="1">
      <alignment horizontal="center" vertical="center" wrapText="1"/>
    </xf>
    <xf numFmtId="0" fontId="0" fillId="5" borderId="0" xfId="0" applyFill="1" applyAlignment="1">
      <alignment vertical="center"/>
    </xf>
    <xf numFmtId="169" fontId="0" fillId="5" borderId="0" xfId="0" applyNumberFormat="1" applyFill="1" applyAlignment="1">
      <alignment horizontal="center" vertical="center"/>
    </xf>
    <xf numFmtId="0" fontId="21" fillId="7" borderId="1" xfId="3" applyFont="1" applyFill="1" applyBorder="1" applyAlignment="1" applyProtection="1">
      <alignment horizontal="center" vertical="center" wrapText="1"/>
      <protection locked="0"/>
    </xf>
    <xf numFmtId="0" fontId="21" fillId="16" borderId="1" xfId="3" applyFont="1" applyFill="1" applyBorder="1" applyAlignment="1" applyProtection="1">
      <alignment horizontal="center" vertical="center"/>
      <protection locked="0"/>
    </xf>
    <xf numFmtId="0" fontId="0" fillId="20" borderId="1" xfId="0" applyFill="1" applyBorder="1" applyProtection="1">
      <protection locked="0"/>
    </xf>
    <xf numFmtId="0" fontId="0" fillId="0" borderId="1" xfId="0" applyBorder="1" applyAlignment="1" applyProtection="1">
      <alignment horizontal="center"/>
      <protection locked="0"/>
    </xf>
    <xf numFmtId="0" fontId="11" fillId="0" borderId="1" xfId="0" applyFont="1" applyBorder="1" applyProtection="1">
      <protection locked="0"/>
    </xf>
    <xf numFmtId="0" fontId="39" fillId="0" borderId="1" xfId="0" applyFont="1" applyBorder="1" applyProtection="1">
      <protection locked="0"/>
    </xf>
    <xf numFmtId="0" fontId="0" fillId="3" borderId="1" xfId="0" applyFill="1" applyBorder="1" applyProtection="1">
      <protection locked="0"/>
    </xf>
    <xf numFmtId="165" fontId="42" fillId="0" borderId="0" xfId="1" applyFont="1" applyProtection="1">
      <protection locked="0"/>
    </xf>
    <xf numFmtId="0" fontId="42" fillId="0" borderId="0" xfId="0" applyFont="1" applyProtection="1">
      <protection locked="0"/>
    </xf>
    <xf numFmtId="0" fontId="21" fillId="0" borderId="0" xfId="3" applyFont="1" applyAlignment="1" applyProtection="1">
      <alignment horizontal="center" vertical="center"/>
      <protection locked="0"/>
    </xf>
    <xf numFmtId="0" fontId="21" fillId="0" borderId="0" xfId="3" applyFont="1" applyAlignment="1" applyProtection="1">
      <alignment horizontal="center" vertical="center" wrapText="1"/>
      <protection locked="0"/>
    </xf>
    <xf numFmtId="1" fontId="0" fillId="0" borderId="9" xfId="0" applyNumberFormat="1" applyBorder="1" applyAlignment="1" applyProtection="1">
      <alignment horizontal="center" vertical="center"/>
      <protection locked="0"/>
    </xf>
    <xf numFmtId="1" fontId="0" fillId="0" borderId="8" xfId="0" applyNumberFormat="1" applyBorder="1" applyAlignment="1" applyProtection="1">
      <alignment horizontal="center" vertical="center"/>
      <protection locked="0"/>
    </xf>
    <xf numFmtId="170" fontId="0" fillId="17" borderId="8" xfId="0" applyNumberFormat="1" applyFill="1" applyBorder="1" applyAlignment="1" applyProtection="1">
      <alignment horizontal="center" vertical="center"/>
      <protection locked="0"/>
    </xf>
    <xf numFmtId="4" fontId="0" fillId="0" borderId="9" xfId="0" applyNumberFormat="1" applyBorder="1" applyAlignment="1" applyProtection="1">
      <alignment horizontal="center" vertical="center"/>
      <protection locked="0"/>
    </xf>
    <xf numFmtId="4" fontId="0" fillId="0" borderId="1" xfId="0" applyNumberFormat="1" applyBorder="1" applyAlignment="1" applyProtection="1">
      <alignment horizontal="center" vertical="center"/>
      <protection locked="0"/>
    </xf>
    <xf numFmtId="4" fontId="0" fillId="0" borderId="8" xfId="0" applyNumberFormat="1" applyBorder="1" applyAlignment="1" applyProtection="1">
      <alignment horizontal="center" vertical="center"/>
      <protection locked="0"/>
    </xf>
    <xf numFmtId="3" fontId="0" fillId="0" borderId="9" xfId="0" applyNumberFormat="1" applyBorder="1" applyAlignment="1" applyProtection="1">
      <alignment horizontal="center" vertical="center"/>
      <protection locked="0"/>
    </xf>
    <xf numFmtId="3" fontId="0" fillId="0" borderId="1" xfId="0" applyNumberFormat="1" applyBorder="1" applyAlignment="1" applyProtection="1">
      <alignment horizontal="center" vertical="center"/>
      <protection locked="0"/>
    </xf>
    <xf numFmtId="171" fontId="0" fillId="0" borderId="9" xfId="0" applyNumberFormat="1" applyBorder="1" applyAlignment="1" applyProtection="1">
      <alignment horizontal="center" vertical="center"/>
      <protection locked="0"/>
    </xf>
    <xf numFmtId="173" fontId="0" fillId="0" borderId="9" xfId="0" applyNumberFormat="1" applyBorder="1" applyAlignment="1" applyProtection="1">
      <alignment horizontal="center" vertical="center"/>
      <protection locked="0"/>
    </xf>
    <xf numFmtId="173" fontId="0" fillId="0" borderId="1" xfId="0" applyNumberFormat="1" applyBorder="1" applyAlignment="1" applyProtection="1">
      <alignment horizontal="center" vertical="center"/>
      <protection locked="0"/>
    </xf>
    <xf numFmtId="170" fontId="0" fillId="12" borderId="9" xfId="0" applyNumberFormat="1" applyFill="1" applyBorder="1" applyAlignment="1" applyProtection="1">
      <alignment horizontal="center" vertical="center"/>
      <protection locked="0"/>
    </xf>
    <xf numFmtId="170" fontId="0" fillId="12" borderId="1" xfId="0" applyNumberFormat="1" applyFill="1" applyBorder="1" applyAlignment="1" applyProtection="1">
      <alignment horizontal="center" vertical="center"/>
      <protection locked="0"/>
    </xf>
    <xf numFmtId="170" fontId="0" fillId="12" borderId="8" xfId="0" applyNumberFormat="1" applyFill="1" applyBorder="1" applyAlignment="1" applyProtection="1">
      <alignment horizontal="center" vertical="center"/>
      <protection locked="0"/>
    </xf>
    <xf numFmtId="0" fontId="0" fillId="12" borderId="11" xfId="0" applyFill="1" applyBorder="1" applyAlignment="1" applyProtection="1">
      <alignment horizontal="center" vertical="center"/>
      <protection locked="0"/>
    </xf>
    <xf numFmtId="0" fontId="0" fillId="12" borderId="12" xfId="0" applyFill="1" applyBorder="1" applyAlignment="1" applyProtection="1">
      <alignment horizontal="center" vertical="center"/>
      <protection locked="0"/>
    </xf>
    <xf numFmtId="0" fontId="0" fillId="12" borderId="23" xfId="0" applyFill="1" applyBorder="1" applyAlignment="1" applyProtection="1">
      <alignment horizontal="center" vertical="center"/>
      <protection locked="0"/>
    </xf>
    <xf numFmtId="2" fontId="0" fillId="3" borderId="7" xfId="0" applyNumberFormat="1" applyFill="1" applyBorder="1" applyAlignment="1" applyProtection="1">
      <alignment wrapText="1"/>
      <protection locked="0"/>
    </xf>
    <xf numFmtId="0" fontId="93" fillId="2" borderId="80" xfId="0" applyFont="1" applyFill="1" applyBorder="1" applyAlignment="1" applyProtection="1">
      <alignment horizontal="center" vertical="center" wrapText="1" readingOrder="1"/>
      <protection locked="0"/>
    </xf>
    <xf numFmtId="0" fontId="93" fillId="2" borderId="79" xfId="0" applyFont="1" applyFill="1" applyBorder="1" applyAlignment="1">
      <alignment vertical="center" wrapText="1" readingOrder="1"/>
    </xf>
    <xf numFmtId="0" fontId="93" fillId="2" borderId="34" xfId="0" applyFont="1" applyFill="1" applyBorder="1" applyAlignment="1">
      <alignment vertical="center" wrapText="1" readingOrder="1"/>
    </xf>
    <xf numFmtId="0" fontId="93" fillId="2" borderId="182" xfId="0" applyFont="1" applyFill="1" applyBorder="1" applyAlignment="1">
      <alignment horizontal="center" vertical="center" wrapText="1" readingOrder="1"/>
    </xf>
    <xf numFmtId="0" fontId="93" fillId="2" borderId="196" xfId="0" applyFont="1" applyFill="1" applyBorder="1" applyAlignment="1">
      <alignment horizontal="center" vertical="center" wrapText="1" readingOrder="1"/>
    </xf>
    <xf numFmtId="0" fontId="93" fillId="2" borderId="124" xfId="0" applyFont="1" applyFill="1" applyBorder="1" applyAlignment="1">
      <alignment horizontal="center" vertical="center" wrapText="1" readingOrder="1"/>
    </xf>
    <xf numFmtId="0" fontId="93" fillId="9" borderId="194" xfId="0" applyFont="1" applyFill="1" applyBorder="1" applyAlignment="1">
      <alignment horizontal="center" vertical="center" wrapText="1" readingOrder="1"/>
    </xf>
    <xf numFmtId="0" fontId="93" fillId="2" borderId="7" xfId="0" applyFont="1" applyFill="1" applyBorder="1" applyAlignment="1">
      <alignment horizontal="center" vertical="center" wrapText="1" readingOrder="1"/>
    </xf>
    <xf numFmtId="1" fontId="93" fillId="2" borderId="76" xfId="0" applyNumberFormat="1" applyFont="1" applyFill="1" applyBorder="1" applyAlignment="1" applyProtection="1">
      <alignment horizontal="center" vertical="center" wrapText="1" readingOrder="1"/>
      <protection locked="0"/>
    </xf>
    <xf numFmtId="0" fontId="93" fillId="2" borderId="27" xfId="0" applyFont="1" applyFill="1" applyBorder="1" applyAlignment="1" applyProtection="1">
      <alignment horizontal="center" vertical="center" wrapText="1" readingOrder="1"/>
      <protection locked="0"/>
    </xf>
    <xf numFmtId="1" fontId="58" fillId="25" borderId="96" xfId="0" applyNumberFormat="1" applyFont="1" applyFill="1" applyBorder="1" applyAlignment="1" applyProtection="1">
      <alignment horizontal="center" vertical="top"/>
      <protection locked="0"/>
    </xf>
    <xf numFmtId="0" fontId="0" fillId="3" borderId="30" xfId="0" applyFill="1" applyBorder="1" applyAlignment="1" applyProtection="1">
      <alignment wrapText="1"/>
      <protection locked="0"/>
    </xf>
    <xf numFmtId="169" fontId="82" fillId="3" borderId="200" xfId="0" applyNumberFormat="1" applyFont="1" applyFill="1" applyBorder="1" applyAlignment="1" applyProtection="1">
      <alignment horizontal="center" vertical="top" wrapText="1"/>
      <protection locked="0"/>
    </xf>
    <xf numFmtId="1" fontId="70" fillId="9" borderId="200" xfId="0" applyNumberFormat="1" applyFont="1" applyFill="1" applyBorder="1" applyAlignment="1" applyProtection="1">
      <alignment horizontal="center" vertical="top" wrapText="1"/>
      <protection locked="0"/>
    </xf>
    <xf numFmtId="2" fontId="70" fillId="9" borderId="96" xfId="0" applyNumberFormat="1" applyFont="1" applyFill="1" applyBorder="1" applyAlignment="1" applyProtection="1">
      <alignment horizontal="center" vertical="top" wrapText="1"/>
      <protection locked="0"/>
    </xf>
    <xf numFmtId="2" fontId="70" fillId="9" borderId="200" xfId="0" applyNumberFormat="1" applyFont="1" applyFill="1" applyBorder="1" applyAlignment="1" applyProtection="1">
      <alignment horizontal="left" vertical="top" wrapText="1"/>
      <protection locked="0"/>
    </xf>
    <xf numFmtId="169" fontId="70" fillId="0" borderId="0" xfId="0" applyNumberFormat="1" applyFont="1" applyAlignment="1" applyProtection="1">
      <alignment vertical="top"/>
      <protection locked="0"/>
    </xf>
    <xf numFmtId="1" fontId="58" fillId="0" borderId="111" xfId="0" applyNumberFormat="1" applyFont="1" applyBorder="1" applyAlignment="1" applyProtection="1">
      <alignment horizontal="center" vertical="top" wrapText="1"/>
      <protection locked="0"/>
    </xf>
    <xf numFmtId="9" fontId="58" fillId="0" borderId="93" xfId="0" applyNumberFormat="1" applyFont="1" applyBorder="1" applyAlignment="1" applyProtection="1">
      <alignment horizontal="center" vertical="top" wrapText="1"/>
      <protection locked="0"/>
    </xf>
    <xf numFmtId="1" fontId="58" fillId="0" borderId="148" xfId="0" applyNumberFormat="1" applyFont="1" applyBorder="1" applyAlignment="1" applyProtection="1">
      <alignment horizontal="center" vertical="top" wrapText="1"/>
      <protection locked="0"/>
    </xf>
    <xf numFmtId="1" fontId="58" fillId="0" borderId="162" xfId="0" applyNumberFormat="1" applyFont="1" applyBorder="1" applyAlignment="1" applyProtection="1">
      <alignment horizontal="center" vertical="top" wrapText="1"/>
      <protection locked="0"/>
    </xf>
    <xf numFmtId="1" fontId="58" fillId="0" borderId="130" xfId="0" applyNumberFormat="1" applyFont="1" applyBorder="1" applyAlignment="1" applyProtection="1">
      <alignment horizontal="center" vertical="top" wrapText="1"/>
      <protection locked="0"/>
    </xf>
    <xf numFmtId="1" fontId="58" fillId="0" borderId="115" xfId="0" applyNumberFormat="1" applyFont="1" applyBorder="1" applyAlignment="1" applyProtection="1">
      <alignment horizontal="center" vertical="top" wrapText="1"/>
      <protection locked="0"/>
    </xf>
    <xf numFmtId="1" fontId="58" fillId="0" borderId="116" xfId="0" applyNumberFormat="1" applyFont="1" applyBorder="1" applyAlignment="1" applyProtection="1">
      <alignment horizontal="center" vertical="top" wrapText="1"/>
      <protection locked="0"/>
    </xf>
    <xf numFmtId="2" fontId="58" fillId="0" borderId="148" xfId="0" applyNumberFormat="1" applyFont="1" applyBorder="1" applyAlignment="1" applyProtection="1">
      <alignment horizontal="center" vertical="top" wrapText="1"/>
      <protection locked="0"/>
    </xf>
    <xf numFmtId="2" fontId="58" fillId="28" borderId="145" xfId="0" applyNumberFormat="1" applyFont="1" applyFill="1" applyBorder="1" applyAlignment="1" applyProtection="1">
      <alignment horizontal="center" vertical="top" wrapText="1"/>
      <protection locked="0"/>
    </xf>
    <xf numFmtId="2" fontId="58" fillId="28" borderId="148" xfId="0" applyNumberFormat="1" applyFont="1" applyFill="1" applyBorder="1" applyAlignment="1" applyProtection="1">
      <alignment horizontal="center" vertical="top" wrapText="1"/>
      <protection locked="0"/>
    </xf>
    <xf numFmtId="2" fontId="58" fillId="0" borderId="192" xfId="0" applyNumberFormat="1" applyFont="1" applyBorder="1" applyAlignment="1" applyProtection="1">
      <alignment horizontal="center" vertical="top" wrapText="1"/>
      <protection locked="0"/>
    </xf>
    <xf numFmtId="168" fontId="58" fillId="28" borderId="148" xfId="0" applyNumberFormat="1" applyFont="1" applyFill="1" applyBorder="1" applyAlignment="1" applyProtection="1">
      <alignment horizontal="center" vertical="top" wrapText="1"/>
      <protection locked="0"/>
    </xf>
    <xf numFmtId="1" fontId="94" fillId="0" borderId="184" xfId="0" applyNumberFormat="1" applyFont="1" applyBorder="1" applyAlignment="1" applyProtection="1">
      <alignment horizontal="center" vertical="top" wrapText="1"/>
      <protection locked="0"/>
    </xf>
    <xf numFmtId="1" fontId="86" fillId="5" borderId="184" xfId="0" applyNumberFormat="1" applyFont="1" applyFill="1" applyBorder="1" applyAlignment="1" applyProtection="1">
      <alignment horizontal="center" vertical="top" wrapText="1"/>
      <protection locked="0"/>
    </xf>
    <xf numFmtId="1" fontId="94" fillId="5" borderId="184" xfId="0" applyNumberFormat="1" applyFont="1" applyFill="1" applyBorder="1" applyAlignment="1" applyProtection="1">
      <alignment horizontal="center" vertical="top" wrapText="1"/>
      <protection locked="0"/>
    </xf>
    <xf numFmtId="0" fontId="58" fillId="0" borderId="148" xfId="0" applyFont="1" applyBorder="1" applyAlignment="1" applyProtection="1">
      <alignment vertical="top" wrapText="1"/>
      <protection locked="0"/>
    </xf>
    <xf numFmtId="0" fontId="58" fillId="0" borderId="144" xfId="0" applyFont="1" applyBorder="1" applyAlignment="1" applyProtection="1">
      <alignment vertical="top" wrapText="1"/>
      <protection locked="0"/>
    </xf>
    <xf numFmtId="2" fontId="58" fillId="0" borderId="200" xfId="0" applyNumberFormat="1" applyFont="1" applyBorder="1" applyAlignment="1" applyProtection="1">
      <alignment horizontal="left" vertical="top" wrapText="1"/>
      <protection locked="0"/>
    </xf>
    <xf numFmtId="2" fontId="58" fillId="0" borderId="92" xfId="0" applyNumberFormat="1" applyFont="1" applyBorder="1" applyAlignment="1" applyProtection="1">
      <alignment horizontal="left" vertical="top" wrapText="1"/>
      <protection locked="0"/>
    </xf>
    <xf numFmtId="1" fontId="58" fillId="0" borderId="96" xfId="0" applyNumberFormat="1" applyFont="1" applyBorder="1" applyAlignment="1" applyProtection="1">
      <alignment horizontal="center" vertical="top" wrapText="1"/>
      <protection locked="0"/>
    </xf>
    <xf numFmtId="2" fontId="58" fillId="0" borderId="92" xfId="0" applyNumberFormat="1" applyFont="1" applyBorder="1" applyAlignment="1" applyProtection="1">
      <alignment horizontal="left" vertical="top"/>
      <protection locked="0"/>
    </xf>
    <xf numFmtId="2" fontId="58" fillId="0" borderId="93" xfId="0" applyNumberFormat="1" applyFont="1" applyBorder="1" applyAlignment="1" applyProtection="1">
      <alignment horizontal="left" vertical="top"/>
      <protection locked="0"/>
    </xf>
    <xf numFmtId="169" fontId="58" fillId="0" borderId="192" xfId="0" applyNumberFormat="1" applyFont="1" applyBorder="1" applyAlignment="1" applyProtection="1">
      <alignment horizontal="center" vertical="top" wrapText="1"/>
      <protection locked="0"/>
    </xf>
    <xf numFmtId="2" fontId="58" fillId="0" borderId="206" xfId="0" applyNumberFormat="1" applyFont="1" applyBorder="1" applyAlignment="1" applyProtection="1">
      <alignment vertical="top"/>
      <protection locked="0"/>
    </xf>
    <xf numFmtId="169" fontId="58" fillId="0" borderId="106" xfId="0" applyNumberFormat="1" applyFont="1" applyBorder="1" applyAlignment="1" applyProtection="1">
      <alignment horizontal="right" vertical="top"/>
      <protection locked="0"/>
    </xf>
    <xf numFmtId="0" fontId="58" fillId="0" borderId="96" xfId="0" applyFont="1" applyBorder="1" applyAlignment="1" applyProtection="1">
      <alignment horizontal="center" vertical="top"/>
      <protection locked="0"/>
    </xf>
    <xf numFmtId="2" fontId="58" fillId="0" borderId="99" xfId="0" applyNumberFormat="1" applyFont="1" applyBorder="1" applyAlignment="1" applyProtection="1">
      <alignment horizontal="center" vertical="top"/>
      <protection locked="0"/>
    </xf>
    <xf numFmtId="169" fontId="58" fillId="0" borderId="192" xfId="0" applyNumberFormat="1" applyFont="1" applyBorder="1" applyAlignment="1" applyProtection="1">
      <alignment horizontal="center" vertical="top"/>
      <protection locked="0"/>
    </xf>
    <xf numFmtId="2" fontId="58" fillId="0" borderId="282" xfId="0" applyNumberFormat="1" applyFont="1" applyBorder="1" applyAlignment="1" applyProtection="1">
      <alignment horizontal="center" vertical="top" wrapText="1"/>
      <protection locked="0"/>
    </xf>
    <xf numFmtId="1" fontId="58" fillId="0" borderId="99" xfId="0" applyNumberFormat="1" applyFont="1" applyBorder="1" applyAlignment="1" applyProtection="1">
      <alignment horizontal="center" vertical="top"/>
      <protection locked="0"/>
    </xf>
    <xf numFmtId="2" fontId="58" fillId="13" borderId="282" xfId="0" applyNumberFormat="1" applyFont="1" applyFill="1" applyBorder="1" applyAlignment="1" applyProtection="1">
      <alignment vertical="top"/>
      <protection locked="0"/>
    </xf>
    <xf numFmtId="2" fontId="58" fillId="0" borderId="213" xfId="0" applyNumberFormat="1" applyFont="1" applyBorder="1" applyAlignment="1" applyProtection="1">
      <alignment vertical="top"/>
      <protection locked="0"/>
    </xf>
    <xf numFmtId="165" fontId="91" fillId="26" borderId="96" xfId="1" applyFont="1" applyFill="1" applyBorder="1" applyAlignment="1" applyProtection="1">
      <alignment horizontal="center" vertical="top" wrapText="1"/>
      <protection locked="0"/>
    </xf>
    <xf numFmtId="9" fontId="90" fillId="0" borderId="96" xfId="0" applyNumberFormat="1" applyFont="1" applyBorder="1" applyAlignment="1" applyProtection="1">
      <alignment horizontal="center" vertical="top"/>
      <protection locked="0"/>
    </xf>
    <xf numFmtId="1" fontId="90" fillId="0" borderId="96" xfId="0" applyNumberFormat="1" applyFont="1" applyBorder="1" applyAlignment="1" applyProtection="1">
      <alignment horizontal="center" vertical="top" wrapText="1"/>
      <protection locked="0"/>
    </xf>
    <xf numFmtId="169" fontId="58" fillId="0" borderId="118" xfId="0" applyNumberFormat="1" applyFont="1" applyBorder="1" applyAlignment="1" applyProtection="1">
      <alignment vertical="top"/>
      <protection locked="0"/>
    </xf>
    <xf numFmtId="169" fontId="58" fillId="0" borderId="117" xfId="0" applyNumberFormat="1" applyFont="1" applyBorder="1" applyAlignment="1" applyProtection="1">
      <alignment horizontal="right" vertical="top"/>
      <protection locked="0"/>
    </xf>
    <xf numFmtId="2" fontId="58" fillId="3" borderId="277" xfId="0" applyNumberFormat="1" applyFont="1" applyFill="1" applyBorder="1" applyAlignment="1" applyProtection="1">
      <alignment vertical="top"/>
      <protection locked="0"/>
    </xf>
    <xf numFmtId="2" fontId="58" fillId="0" borderId="208" xfId="0" applyNumberFormat="1" applyFont="1" applyBorder="1" applyAlignment="1" applyProtection="1">
      <alignment vertical="top"/>
      <protection locked="0"/>
    </xf>
    <xf numFmtId="2" fontId="58" fillId="0" borderId="115" xfId="0" applyNumberFormat="1" applyFont="1" applyBorder="1" applyAlignment="1" applyProtection="1">
      <alignment vertical="top"/>
      <protection locked="0"/>
    </xf>
    <xf numFmtId="2" fontId="58" fillId="0" borderId="116" xfId="0" applyNumberFormat="1" applyFont="1" applyBorder="1" applyAlignment="1" applyProtection="1">
      <alignment vertical="top"/>
      <protection locked="0"/>
    </xf>
    <xf numFmtId="0" fontId="95" fillId="2" borderId="1" xfId="0" applyFont="1" applyFill="1" applyBorder="1" applyAlignment="1">
      <alignment horizontal="center" vertical="center" wrapText="1" readingOrder="1"/>
    </xf>
    <xf numFmtId="0" fontId="96" fillId="2" borderId="79" xfId="0" applyFont="1" applyFill="1" applyBorder="1" applyAlignment="1">
      <alignment horizontal="center" vertical="center" wrapText="1" readingOrder="1"/>
    </xf>
    <xf numFmtId="0" fontId="96" fillId="2" borderId="35" xfId="0" applyFont="1" applyFill="1" applyBorder="1" applyAlignment="1">
      <alignment horizontal="center" vertical="center" wrapText="1" readingOrder="1"/>
    </xf>
    <xf numFmtId="0" fontId="96" fillId="2" borderId="1" xfId="0" applyFont="1" applyFill="1" applyBorder="1" applyAlignment="1">
      <alignment horizontal="center" vertical="center" wrapText="1" readingOrder="1"/>
    </xf>
    <xf numFmtId="0" fontId="96" fillId="2" borderId="1" xfId="0" applyFont="1" applyFill="1" applyBorder="1" applyAlignment="1" applyProtection="1">
      <alignment horizontal="center" vertical="center" wrapText="1" readingOrder="1"/>
      <protection locked="0"/>
    </xf>
    <xf numFmtId="0" fontId="97" fillId="6" borderId="319" xfId="3" applyFont="1" applyFill="1" applyBorder="1" applyAlignment="1" applyProtection="1">
      <alignment horizontal="center" vertical="center"/>
      <protection locked="0"/>
    </xf>
    <xf numFmtId="0" fontId="97" fillId="6" borderId="320" xfId="3" applyFont="1" applyFill="1" applyBorder="1" applyAlignment="1" applyProtection="1">
      <alignment horizontal="center" vertical="center"/>
      <protection locked="0"/>
    </xf>
    <xf numFmtId="0" fontId="97" fillId="6" borderId="321" xfId="3" applyFont="1" applyFill="1" applyBorder="1" applyAlignment="1" applyProtection="1">
      <alignment horizontal="center" vertical="center"/>
      <protection locked="0"/>
    </xf>
    <xf numFmtId="0" fontId="98" fillId="7" borderId="322" xfId="3" applyFont="1" applyFill="1" applyBorder="1" applyAlignment="1" applyProtection="1">
      <alignment horizontal="center" vertical="center"/>
      <protection locked="0"/>
    </xf>
    <xf numFmtId="0" fontId="98" fillId="7" borderId="323" xfId="3" applyFont="1" applyFill="1" applyBorder="1" applyAlignment="1" applyProtection="1">
      <alignment horizontal="center" vertical="center"/>
      <protection locked="0"/>
    </xf>
    <xf numFmtId="0" fontId="98" fillId="7" borderId="323" xfId="0" applyFont="1" applyFill="1" applyBorder="1" applyAlignment="1" applyProtection="1">
      <alignment horizontal="center" vertical="center"/>
      <protection locked="0"/>
    </xf>
    <xf numFmtId="0" fontId="98" fillId="7" borderId="324" xfId="3" applyFont="1" applyFill="1" applyBorder="1" applyAlignment="1" applyProtection="1">
      <alignment horizontal="center" vertical="center"/>
      <protection locked="0"/>
    </xf>
    <xf numFmtId="0" fontId="97" fillId="0" borderId="0" xfId="0" applyFont="1" applyAlignment="1" applyProtection="1">
      <alignment horizontal="center" vertical="center"/>
      <protection locked="0"/>
    </xf>
    <xf numFmtId="0" fontId="97" fillId="0" borderId="0" xfId="0" applyFont="1" applyAlignment="1">
      <alignment horizontal="center" vertical="center"/>
    </xf>
    <xf numFmtId="0" fontId="99" fillId="0" borderId="15" xfId="0" applyFont="1" applyBorder="1" applyAlignment="1">
      <alignment vertical="top" wrapText="1" readingOrder="1"/>
    </xf>
    <xf numFmtId="0" fontId="100" fillId="0" borderId="32" xfId="0" applyFont="1" applyBorder="1" applyAlignment="1">
      <alignment horizontal="center" vertical="top" wrapText="1" readingOrder="1"/>
    </xf>
    <xf numFmtId="0" fontId="100" fillId="0" borderId="32" xfId="0" applyFont="1" applyBorder="1" applyAlignment="1">
      <alignment horizontal="left" vertical="top" wrapText="1" readingOrder="1"/>
    </xf>
    <xf numFmtId="9" fontId="101" fillId="0" borderId="32" xfId="0" applyNumberFormat="1" applyFont="1" applyBorder="1" applyAlignment="1">
      <alignment horizontal="left" vertical="top" wrapText="1"/>
    </xf>
    <xf numFmtId="0" fontId="102" fillId="0" borderId="109" xfId="0" applyFont="1" applyBorder="1" applyAlignment="1">
      <alignment horizontal="center" vertical="top" wrapText="1" readingOrder="1"/>
    </xf>
    <xf numFmtId="0" fontId="102" fillId="0" borderId="111" xfId="0" applyFont="1" applyBorder="1" applyAlignment="1">
      <alignment horizontal="center" vertical="top" wrapText="1" readingOrder="1"/>
    </xf>
    <xf numFmtId="9" fontId="101" fillId="0" borderId="32" xfId="0" applyNumberFormat="1" applyFont="1" applyBorder="1" applyAlignment="1">
      <alignment horizontal="center" vertical="top" wrapText="1"/>
    </xf>
    <xf numFmtId="167" fontId="101" fillId="0" borderId="311" xfId="0" applyNumberFormat="1" applyFont="1" applyBorder="1" applyAlignment="1">
      <alignment horizontal="center" vertical="top"/>
    </xf>
    <xf numFmtId="0" fontId="101" fillId="0" borderId="325" xfId="0" applyFont="1" applyBorder="1" applyAlignment="1" applyProtection="1">
      <alignment horizontal="center" vertical="top"/>
      <protection locked="0"/>
    </xf>
    <xf numFmtId="0" fontId="101" fillId="0" borderId="110" xfId="0" applyFont="1" applyBorder="1" applyAlignment="1" applyProtection="1">
      <alignment horizontal="center" vertical="top"/>
      <protection locked="0"/>
    </xf>
    <xf numFmtId="0" fontId="101" fillId="0" borderId="183" xfId="0" applyFont="1" applyBorder="1" applyAlignment="1" applyProtection="1">
      <alignment horizontal="center" vertical="top"/>
      <protection locked="0"/>
    </xf>
    <xf numFmtId="0" fontId="101" fillId="0" borderId="326" xfId="0" applyFont="1" applyBorder="1" applyAlignment="1" applyProtection="1">
      <alignment vertical="top"/>
      <protection locked="0"/>
    </xf>
    <xf numFmtId="0" fontId="101" fillId="0" borderId="0" xfId="0" applyFont="1" applyAlignment="1" applyProtection="1">
      <alignment vertical="top"/>
      <protection locked="0"/>
    </xf>
    <xf numFmtId="0" fontId="101" fillId="0" borderId="0" xfId="0" applyFont="1" applyAlignment="1">
      <alignment vertical="top"/>
    </xf>
    <xf numFmtId="0" fontId="103" fillId="0" borderId="25" xfId="0" applyFont="1" applyBorder="1" applyAlignment="1">
      <alignment vertical="top" wrapText="1" readingOrder="1"/>
    </xf>
    <xf numFmtId="0" fontId="103" fillId="0" borderId="85" xfId="0" applyFont="1" applyBorder="1" applyAlignment="1">
      <alignment vertical="top" wrapText="1" readingOrder="1"/>
    </xf>
    <xf numFmtId="0" fontId="100" fillId="0" borderId="94" xfId="0" applyFont="1" applyBorder="1" applyAlignment="1">
      <alignment horizontal="center" vertical="top" wrapText="1" readingOrder="1"/>
    </xf>
    <xf numFmtId="0" fontId="100" fillId="0" borderId="94" xfId="0" applyFont="1" applyBorder="1" applyAlignment="1">
      <alignment horizontal="left" vertical="top" wrapText="1" readingOrder="1"/>
    </xf>
    <xf numFmtId="9" fontId="101" fillId="0" borderId="94" xfId="0" applyNumberFormat="1" applyFont="1" applyBorder="1" applyAlignment="1">
      <alignment horizontal="left" vertical="top" wrapText="1"/>
    </xf>
    <xf numFmtId="0" fontId="102" fillId="0" borderId="91" xfId="0" applyFont="1" applyBorder="1" applyAlignment="1">
      <alignment horizontal="center" vertical="top" wrapText="1" readingOrder="1"/>
    </xf>
    <xf numFmtId="0" fontId="102" fillId="0" borderId="93" xfId="0" applyFont="1" applyBorder="1" applyAlignment="1">
      <alignment horizontal="center" vertical="top" wrapText="1" readingOrder="1"/>
    </xf>
    <xf numFmtId="9" fontId="101" fillId="0" borderId="94" xfId="0" applyNumberFormat="1" applyFont="1" applyBorder="1" applyAlignment="1">
      <alignment horizontal="center" vertical="top" wrapText="1"/>
    </xf>
    <xf numFmtId="167" fontId="104" fillId="0" borderId="95" xfId="0" applyNumberFormat="1" applyFont="1" applyBorder="1" applyAlignment="1">
      <alignment horizontal="center" vertical="top"/>
    </xf>
    <xf numFmtId="0" fontId="101" fillId="0" borderId="327" xfId="0" applyFont="1" applyBorder="1" applyAlignment="1" applyProtection="1">
      <alignment horizontal="center" vertical="top"/>
      <protection locked="0"/>
    </xf>
    <xf numFmtId="0" fontId="101" fillId="0" borderId="92" xfId="0" applyFont="1" applyBorder="1" applyAlignment="1" applyProtection="1">
      <alignment horizontal="center" vertical="top"/>
      <protection locked="0"/>
    </xf>
    <xf numFmtId="0" fontId="101" fillId="0" borderId="184" xfId="0" applyFont="1" applyBorder="1" applyAlignment="1" applyProtection="1">
      <alignment horizontal="center" vertical="top"/>
      <protection locked="0"/>
    </xf>
    <xf numFmtId="0" fontId="101" fillId="0" borderId="328" xfId="0" applyFont="1" applyBorder="1" applyAlignment="1" applyProtection="1">
      <alignment horizontal="center" vertical="top"/>
      <protection locked="0"/>
    </xf>
    <xf numFmtId="0" fontId="103" fillId="0" borderId="223" xfId="0" applyFont="1" applyBorder="1" applyAlignment="1">
      <alignment vertical="top" wrapText="1" readingOrder="1"/>
    </xf>
    <xf numFmtId="0" fontId="99" fillId="0" borderId="104" xfId="0" applyFont="1" applyBorder="1" applyAlignment="1">
      <alignment vertical="top" wrapText="1" readingOrder="1"/>
    </xf>
    <xf numFmtId="0" fontId="100" fillId="0" borderId="140" xfId="0" applyFont="1" applyBorder="1" applyAlignment="1">
      <alignment horizontal="center" vertical="top" wrapText="1" readingOrder="1"/>
    </xf>
    <xf numFmtId="0" fontId="100" fillId="0" borderId="140" xfId="0" applyFont="1" applyBorder="1" applyAlignment="1">
      <alignment horizontal="left" vertical="top" wrapText="1" readingOrder="1"/>
    </xf>
    <xf numFmtId="0" fontId="101" fillId="0" borderId="140" xfId="0" applyFont="1" applyBorder="1" applyAlignment="1">
      <alignment horizontal="left" vertical="top"/>
    </xf>
    <xf numFmtId="0" fontId="102" fillId="0" borderId="144" xfId="0" applyFont="1" applyBorder="1" applyAlignment="1">
      <alignment horizontal="center" vertical="top" wrapText="1" readingOrder="1"/>
    </xf>
    <xf numFmtId="0" fontId="102" fillId="0" borderId="148" xfId="0" applyFont="1" applyBorder="1" applyAlignment="1">
      <alignment horizontal="center" vertical="top" wrapText="1" readingOrder="1"/>
    </xf>
    <xf numFmtId="0" fontId="101" fillId="0" borderId="140" xfId="0" applyFont="1" applyBorder="1" applyAlignment="1">
      <alignment horizontal="center" vertical="top"/>
    </xf>
    <xf numFmtId="167" fontId="104" fillId="0" borderId="329" xfId="0" applyNumberFormat="1" applyFont="1" applyBorder="1" applyAlignment="1">
      <alignment horizontal="center" vertical="top"/>
    </xf>
    <xf numFmtId="0" fontId="101" fillId="0" borderId="330" xfId="0" applyFont="1" applyBorder="1" applyAlignment="1" applyProtection="1">
      <alignment horizontal="center" vertical="top"/>
      <protection locked="0"/>
    </xf>
    <xf numFmtId="0" fontId="101" fillId="0" borderId="145" xfId="0" applyFont="1" applyBorder="1" applyAlignment="1" applyProtection="1">
      <alignment horizontal="center" vertical="top"/>
      <protection locked="0"/>
    </xf>
    <xf numFmtId="0" fontId="101" fillId="0" borderId="187" xfId="0" applyFont="1" applyBorder="1" applyAlignment="1" applyProtection="1">
      <alignment horizontal="center" vertical="top"/>
      <protection locked="0"/>
    </xf>
    <xf numFmtId="0" fontId="101" fillId="0" borderId="331" xfId="0" applyFont="1" applyBorder="1" applyAlignment="1" applyProtection="1">
      <alignment vertical="top"/>
      <protection locked="0"/>
    </xf>
    <xf numFmtId="0" fontId="99" fillId="0" borderId="284" xfId="0" applyFont="1" applyBorder="1" applyAlignment="1">
      <alignment vertical="top" wrapText="1" readingOrder="1"/>
    </xf>
    <xf numFmtId="0" fontId="99" fillId="0" borderId="232" xfId="0" applyFont="1" applyBorder="1" applyAlignment="1">
      <alignment vertical="top" wrapText="1" readingOrder="1"/>
    </xf>
    <xf numFmtId="0" fontId="100" fillId="0" borderId="247" xfId="0" applyFont="1" applyBorder="1" applyAlignment="1">
      <alignment horizontal="center" vertical="top" wrapText="1" readingOrder="1"/>
    </xf>
    <xf numFmtId="0" fontId="105" fillId="0" borderId="157" xfId="0" applyFont="1" applyBorder="1" applyAlignment="1">
      <alignment horizontal="left" vertical="top" wrapText="1" readingOrder="1"/>
    </xf>
    <xf numFmtId="9" fontId="101" fillId="0" borderId="157" xfId="0" applyNumberFormat="1" applyFont="1" applyBorder="1" applyAlignment="1">
      <alignment horizontal="left" vertical="top" wrapText="1"/>
    </xf>
    <xf numFmtId="0" fontId="100" fillId="0" borderId="157" xfId="0" applyFont="1" applyBorder="1" applyAlignment="1">
      <alignment horizontal="center" vertical="top" wrapText="1" readingOrder="1"/>
    </xf>
    <xf numFmtId="0" fontId="102" fillId="0" borderId="158" xfId="0" applyFont="1" applyBorder="1" applyAlignment="1">
      <alignment horizontal="center" vertical="top" wrapText="1" readingOrder="1"/>
    </xf>
    <xf numFmtId="0" fontId="102" fillId="0" borderId="162" xfId="0" applyFont="1" applyBorder="1" applyAlignment="1">
      <alignment horizontal="center" vertical="top" wrapText="1" readingOrder="1"/>
    </xf>
    <xf numFmtId="9" fontId="101" fillId="0" borderId="157" xfId="0" applyNumberFormat="1" applyFont="1" applyBorder="1" applyAlignment="1">
      <alignment horizontal="center" vertical="top" wrapText="1"/>
    </xf>
    <xf numFmtId="167" fontId="101" fillId="0" borderId="332" xfId="0" applyNumberFormat="1" applyFont="1" applyBorder="1" applyAlignment="1">
      <alignment horizontal="center" vertical="top"/>
    </xf>
    <xf numFmtId="0" fontId="101" fillId="0" borderId="333" xfId="0" applyFont="1" applyBorder="1" applyAlignment="1" applyProtection="1">
      <alignment horizontal="center" vertical="top"/>
      <protection locked="0"/>
    </xf>
    <xf numFmtId="0" fontId="101" fillId="0" borderId="159" xfId="0" applyFont="1" applyBorder="1" applyAlignment="1" applyProtection="1">
      <alignment horizontal="center" vertical="top"/>
      <protection locked="0"/>
    </xf>
    <xf numFmtId="0" fontId="101" fillId="0" borderId="219" xfId="0" applyFont="1" applyBorder="1" applyAlignment="1" applyProtection="1">
      <alignment horizontal="center" vertical="top"/>
      <protection locked="0"/>
    </xf>
    <xf numFmtId="0" fontId="101" fillId="0" borderId="334" xfId="0" applyFont="1" applyBorder="1" applyAlignment="1" applyProtection="1">
      <alignment vertical="top"/>
      <protection locked="0"/>
    </xf>
    <xf numFmtId="0" fontId="100" fillId="0" borderId="98" xfId="0" applyFont="1" applyBorder="1" applyAlignment="1">
      <alignment horizontal="center" vertical="top" wrapText="1" readingOrder="1"/>
    </xf>
    <xf numFmtId="0" fontId="105" fillId="0" borderId="94" xfId="0" applyFont="1" applyBorder="1" applyAlignment="1">
      <alignment horizontal="left" vertical="top" wrapText="1" readingOrder="1"/>
    </xf>
    <xf numFmtId="167" fontId="104" fillId="0" borderId="95" xfId="0" applyNumberFormat="1" applyFont="1" applyBorder="1" applyAlignment="1" applyProtection="1">
      <alignment horizontal="center" vertical="top"/>
      <protection locked="0"/>
    </xf>
    <xf numFmtId="0" fontId="99" fillId="0" borderId="223" xfId="0" applyFont="1" applyBorder="1" applyAlignment="1">
      <alignment vertical="top" wrapText="1" readingOrder="1"/>
    </xf>
    <xf numFmtId="0" fontId="105" fillId="0" borderId="140" xfId="0" applyFont="1" applyBorder="1" applyAlignment="1">
      <alignment horizontal="left" vertical="top" wrapText="1" readingOrder="1"/>
    </xf>
    <xf numFmtId="0" fontId="101" fillId="0" borderId="334" xfId="0" applyFont="1" applyBorder="1" applyAlignment="1" applyProtection="1">
      <alignment horizontal="center" vertical="top"/>
      <protection locked="0"/>
    </xf>
    <xf numFmtId="0" fontId="103" fillId="0" borderId="26" xfId="0" applyFont="1" applyBorder="1" applyAlignment="1">
      <alignment vertical="top" wrapText="1" readingOrder="1"/>
    </xf>
    <xf numFmtId="0" fontId="99" fillId="0" borderId="140" xfId="0" applyFont="1" applyBorder="1" applyAlignment="1">
      <alignment vertical="top" wrapText="1" readingOrder="1"/>
    </xf>
    <xf numFmtId="0" fontId="101" fillId="0" borderId="331" xfId="0" applyFont="1" applyBorder="1" applyAlignment="1" applyProtection="1">
      <alignment horizontal="center" vertical="top"/>
      <protection locked="0"/>
    </xf>
    <xf numFmtId="0" fontId="99" fillId="0" borderId="0" xfId="0" applyFont="1" applyAlignment="1">
      <alignment vertical="top"/>
    </xf>
    <xf numFmtId="0" fontId="101" fillId="0" borderId="0" xfId="0" applyFont="1" applyAlignment="1">
      <alignment horizontal="left" vertical="top"/>
    </xf>
    <xf numFmtId="0" fontId="101" fillId="0" borderId="0" xfId="0" applyFont="1" applyAlignment="1">
      <alignment horizontal="center" vertical="top"/>
    </xf>
    <xf numFmtId="0" fontId="70" fillId="3" borderId="96" xfId="0" applyFont="1" applyFill="1" applyBorder="1" applyAlignment="1" applyProtection="1">
      <alignment horizontal="center" vertical="top" wrapText="1"/>
      <protection locked="0"/>
    </xf>
    <xf numFmtId="0" fontId="58" fillId="0" borderId="176" xfId="0" applyFont="1" applyBorder="1" applyAlignment="1" applyProtection="1">
      <alignment vertical="top" wrapText="1"/>
      <protection locked="0"/>
    </xf>
    <xf numFmtId="2" fontId="82" fillId="3" borderId="200" xfId="0" applyNumberFormat="1" applyFont="1" applyFill="1" applyBorder="1" applyAlignment="1" applyProtection="1">
      <alignment horizontal="left" vertical="top" wrapText="1"/>
      <protection locked="0"/>
    </xf>
    <xf numFmtId="2" fontId="82" fillId="6" borderId="200" xfId="0" applyNumberFormat="1" applyFont="1" applyFill="1" applyBorder="1" applyAlignment="1" applyProtection="1">
      <alignment horizontal="left" vertical="top" wrapText="1"/>
      <protection locked="0"/>
    </xf>
    <xf numFmtId="10" fontId="58" fillId="0" borderId="126" xfId="2" applyNumberFormat="1" applyFont="1" applyBorder="1" applyAlignment="1" applyProtection="1">
      <alignment horizontal="center" vertical="top" wrapText="1"/>
      <protection locked="0"/>
    </xf>
    <xf numFmtId="10" fontId="58" fillId="0" borderId="83" xfId="2" applyNumberFormat="1" applyFont="1" applyBorder="1" applyAlignment="1" applyProtection="1">
      <alignment horizontal="center" vertical="top" wrapText="1"/>
      <protection locked="0"/>
    </xf>
    <xf numFmtId="0" fontId="53" fillId="6" borderId="76" xfId="3" applyFont="1" applyFill="1" applyBorder="1" applyAlignment="1" applyProtection="1">
      <alignment horizontal="center" vertical="top" wrapText="1"/>
      <protection locked="0"/>
    </xf>
    <xf numFmtId="0" fontId="53" fillId="6" borderId="34" xfId="3" applyFont="1" applyFill="1" applyBorder="1" applyAlignment="1" applyProtection="1">
      <alignment horizontal="center" vertical="top" wrapText="1"/>
      <protection locked="0"/>
    </xf>
    <xf numFmtId="0" fontId="53" fillId="6" borderId="35" xfId="3" applyFont="1" applyFill="1" applyBorder="1" applyAlignment="1" applyProtection="1">
      <alignment horizontal="center" vertical="top" wrapText="1"/>
      <protection locked="0"/>
    </xf>
    <xf numFmtId="0" fontId="90" fillId="0" borderId="82" xfId="0" applyFont="1" applyBorder="1" applyAlignment="1" applyProtection="1">
      <alignment horizontal="left" vertical="top" wrapText="1"/>
      <protection locked="0"/>
    </xf>
    <xf numFmtId="0" fontId="0" fillId="19" borderId="8" xfId="0" applyFill="1" applyBorder="1" applyAlignment="1" applyProtection="1">
      <alignment horizontal="center" vertical="center"/>
      <protection locked="0"/>
    </xf>
    <xf numFmtId="0" fontId="0" fillId="19" borderId="9" xfId="0" applyFill="1" applyBorder="1" applyAlignment="1" applyProtection="1">
      <alignment horizontal="center" vertical="center"/>
      <protection locked="0"/>
    </xf>
    <xf numFmtId="0" fontId="0" fillId="19" borderId="1" xfId="0" applyFill="1" applyBorder="1" applyAlignment="1" applyProtection="1">
      <alignment horizontal="center" vertical="center"/>
      <protection locked="0"/>
    </xf>
    <xf numFmtId="0" fontId="0" fillId="19" borderId="11" xfId="0" applyFill="1" applyBorder="1" applyAlignment="1" applyProtection="1">
      <alignment horizontal="center" vertical="center"/>
      <protection locked="0"/>
    </xf>
    <xf numFmtId="0" fontId="0" fillId="19" borderId="12" xfId="0" applyFill="1" applyBorder="1" applyAlignment="1" applyProtection="1">
      <alignment horizontal="center" vertical="center"/>
      <protection locked="0"/>
    </xf>
    <xf numFmtId="0" fontId="0" fillId="19" borderId="23" xfId="0" applyFill="1" applyBorder="1" applyAlignment="1" applyProtection="1">
      <alignment horizontal="center" vertical="center"/>
      <protection locked="0"/>
    </xf>
    <xf numFmtId="2" fontId="90" fillId="0" borderId="54" xfId="0" applyNumberFormat="1" applyFont="1" applyBorder="1" applyAlignment="1" applyProtection="1">
      <alignment horizontal="center" vertical="top"/>
      <protection locked="0"/>
    </xf>
    <xf numFmtId="0" fontId="0" fillId="0" borderId="0" xfId="0" applyAlignment="1">
      <alignment vertical="top" wrapText="1"/>
    </xf>
    <xf numFmtId="169" fontId="86" fillId="0" borderId="187" xfId="0" applyNumberFormat="1" applyFont="1" applyBorder="1" applyAlignment="1" applyProtection="1">
      <alignment horizontal="center" vertical="top" wrapText="1"/>
      <protection locked="0"/>
    </xf>
    <xf numFmtId="1" fontId="61" fillId="0" borderId="192" xfId="0" applyNumberFormat="1" applyFont="1" applyBorder="1" applyAlignment="1" applyProtection="1">
      <alignment horizontal="center" vertical="top"/>
      <protection locked="0"/>
    </xf>
    <xf numFmtId="175" fontId="58" fillId="0" borderId="161" xfId="1" applyNumberFormat="1" applyFont="1" applyBorder="1" applyAlignment="1">
      <alignment horizontal="center" vertical="top" wrapText="1"/>
    </xf>
    <xf numFmtId="175" fontId="58" fillId="0" borderId="220" xfId="1" applyNumberFormat="1" applyFont="1" applyBorder="1" applyAlignment="1" applyProtection="1">
      <alignment horizontal="center" vertical="top"/>
      <protection locked="0"/>
    </xf>
    <xf numFmtId="175" fontId="58" fillId="0" borderId="128" xfId="1" applyNumberFormat="1" applyFont="1" applyBorder="1" applyAlignment="1">
      <alignment horizontal="center" vertical="top" wrapText="1"/>
    </xf>
    <xf numFmtId="175" fontId="58" fillId="0" borderId="96" xfId="1" applyNumberFormat="1" applyFont="1" applyBorder="1" applyAlignment="1" applyProtection="1">
      <alignment horizontal="center" vertical="top" wrapText="1"/>
      <protection locked="0"/>
    </xf>
    <xf numFmtId="175" fontId="58" fillId="0" borderId="97" xfId="1" applyNumberFormat="1" applyFont="1" applyBorder="1" applyAlignment="1" applyProtection="1">
      <alignment horizontal="center" vertical="top"/>
      <protection locked="0"/>
    </xf>
    <xf numFmtId="175" fontId="58" fillId="0" borderId="96" xfId="1" applyNumberFormat="1" applyFont="1" applyBorder="1" applyAlignment="1" applyProtection="1">
      <alignment horizontal="center" vertical="top"/>
      <protection locked="0"/>
    </xf>
    <xf numFmtId="0" fontId="108" fillId="2" borderId="1" xfId="0" applyFont="1" applyFill="1" applyBorder="1" applyAlignment="1">
      <alignment horizontal="center" vertical="center" wrapText="1" readingOrder="1"/>
    </xf>
    <xf numFmtId="0" fontId="115" fillId="2" borderId="1" xfId="0" applyFont="1" applyFill="1" applyBorder="1" applyAlignment="1">
      <alignment vertical="center" wrapText="1" readingOrder="1"/>
    </xf>
    <xf numFmtId="0" fontId="115" fillId="2" borderId="1" xfId="0" applyFont="1" applyFill="1" applyBorder="1" applyAlignment="1">
      <alignment horizontal="center" vertical="center" wrapText="1" readingOrder="1"/>
    </xf>
    <xf numFmtId="0" fontId="117" fillId="0" borderId="0" xfId="0" applyFont="1" applyProtection="1">
      <protection locked="0"/>
    </xf>
    <xf numFmtId="0" fontId="117" fillId="0" borderId="0" xfId="0" applyFont="1"/>
    <xf numFmtId="0" fontId="115" fillId="0" borderId="1" xfId="0" applyFont="1" applyBorder="1" applyAlignment="1">
      <alignment vertical="center" wrapText="1" readingOrder="1"/>
    </xf>
    <xf numFmtId="0" fontId="118" fillId="0" borderId="1" xfId="0" applyFont="1" applyBorder="1" applyAlignment="1">
      <alignment horizontal="center" vertical="center" wrapText="1" readingOrder="1"/>
    </xf>
    <xf numFmtId="0" fontId="119" fillId="0" borderId="1" xfId="0" applyFont="1" applyBorder="1" applyAlignment="1">
      <alignment horizontal="left" vertical="center" wrapText="1" readingOrder="1"/>
    </xf>
    <xf numFmtId="0" fontId="119" fillId="0" borderId="1" xfId="0" applyFont="1" applyBorder="1" applyAlignment="1">
      <alignment horizontal="center" vertical="center" wrapText="1" readingOrder="1"/>
    </xf>
    <xf numFmtId="0" fontId="116" fillId="0" borderId="1" xfId="0" applyFont="1" applyBorder="1" applyAlignment="1">
      <alignment horizontal="center" vertical="center" wrapText="1" readingOrder="1"/>
    </xf>
    <xf numFmtId="4" fontId="117" fillId="0" borderId="1" xfId="1" applyNumberFormat="1" applyFont="1" applyBorder="1" applyAlignment="1">
      <alignment horizontal="right" vertical="center"/>
    </xf>
    <xf numFmtId="167" fontId="117" fillId="0" borderId="1" xfId="0" applyNumberFormat="1" applyFont="1" applyBorder="1" applyAlignment="1">
      <alignment horizontal="center" vertical="center"/>
    </xf>
    <xf numFmtId="165" fontId="117" fillId="0" borderId="1" xfId="1" applyFont="1" applyBorder="1" applyAlignment="1">
      <alignment horizontal="center" vertical="center" wrapText="1"/>
    </xf>
    <xf numFmtId="2" fontId="117" fillId="3" borderId="18" xfId="0" applyNumberFormat="1" applyFont="1" applyFill="1" applyBorder="1"/>
    <xf numFmtId="2" fontId="117" fillId="0" borderId="1" xfId="0" applyNumberFormat="1" applyFont="1" applyBorder="1"/>
    <xf numFmtId="0" fontId="115" fillId="0" borderId="1" xfId="0" applyFont="1" applyBorder="1" applyAlignment="1">
      <alignment vertical="top" wrapText="1" readingOrder="1"/>
    </xf>
    <xf numFmtId="165" fontId="117" fillId="0" borderId="1" xfId="1" applyFont="1" applyBorder="1" applyAlignment="1">
      <alignment horizontal="right" vertical="center"/>
    </xf>
    <xf numFmtId="0" fontId="105" fillId="0" borderId="1" xfId="0" applyFont="1" applyBorder="1" applyAlignment="1">
      <alignment horizontal="left" vertical="center" wrapText="1" readingOrder="1"/>
    </xf>
    <xf numFmtId="166" fontId="117" fillId="0" borderId="1" xfId="2" applyNumberFormat="1" applyFont="1" applyBorder="1" applyAlignment="1">
      <alignment horizontal="right" vertical="center"/>
    </xf>
    <xf numFmtId="166" fontId="117" fillId="0" borderId="1" xfId="2" applyNumberFormat="1" applyFont="1" applyBorder="1" applyAlignment="1">
      <alignment horizontal="center" vertical="center" wrapText="1"/>
    </xf>
    <xf numFmtId="10" fontId="117" fillId="0" borderId="1" xfId="0" applyNumberFormat="1" applyFont="1" applyBorder="1" applyAlignment="1">
      <alignment horizontal="right" vertical="center"/>
    </xf>
    <xf numFmtId="10" fontId="117" fillId="18" borderId="1" xfId="2" applyNumberFormat="1" applyFont="1" applyFill="1" applyBorder="1" applyAlignment="1">
      <alignment horizontal="center" vertical="center" wrapText="1"/>
    </xf>
    <xf numFmtId="10" fontId="117" fillId="0" borderId="1" xfId="2" applyNumberFormat="1" applyFont="1" applyBorder="1" applyAlignment="1">
      <alignment horizontal="center" vertical="center" wrapText="1"/>
    </xf>
    <xf numFmtId="10" fontId="117" fillId="18" borderId="1" xfId="2" applyNumberFormat="1" applyFont="1" applyFill="1" applyBorder="1" applyAlignment="1" applyProtection="1">
      <alignment horizontal="center" vertical="center" wrapText="1"/>
      <protection locked="0"/>
    </xf>
    <xf numFmtId="10" fontId="117" fillId="0" borderId="1" xfId="2" applyNumberFormat="1" applyFont="1" applyBorder="1" applyAlignment="1" applyProtection="1">
      <alignment horizontal="center" vertical="center" wrapText="1"/>
      <protection locked="0"/>
    </xf>
    <xf numFmtId="2" fontId="117" fillId="3" borderId="18" xfId="0" applyNumberFormat="1" applyFont="1" applyFill="1" applyBorder="1" applyProtection="1">
      <protection locked="0"/>
    </xf>
    <xf numFmtId="2" fontId="117" fillId="0" borderId="1" xfId="0" applyNumberFormat="1" applyFont="1" applyBorder="1" applyProtection="1">
      <protection locked="0"/>
    </xf>
    <xf numFmtId="9" fontId="117" fillId="0" borderId="1" xfId="0" applyNumberFormat="1" applyFont="1" applyBorder="1" applyAlignment="1">
      <alignment horizontal="right" vertical="center"/>
    </xf>
    <xf numFmtId="9" fontId="117" fillId="0" borderId="1" xfId="2" applyFont="1" applyBorder="1" applyAlignment="1">
      <alignment horizontal="center" vertical="center" wrapText="1"/>
    </xf>
    <xf numFmtId="4" fontId="117" fillId="5" borderId="1" xfId="0" applyNumberFormat="1" applyFont="1" applyFill="1" applyBorder="1" applyAlignment="1">
      <alignment horizontal="right" vertical="center"/>
    </xf>
    <xf numFmtId="165" fontId="117" fillId="0" borderId="1" xfId="1" applyFont="1" applyBorder="1" applyAlignment="1" applyProtection="1">
      <alignment horizontal="center" vertical="center" wrapText="1"/>
      <protection locked="0"/>
    </xf>
    <xf numFmtId="37" fontId="117" fillId="0" borderId="1" xfId="0" applyNumberFormat="1" applyFont="1" applyBorder="1" applyAlignment="1">
      <alignment horizontal="right" vertical="center"/>
    </xf>
    <xf numFmtId="2" fontId="117" fillId="0" borderId="1" xfId="0" applyNumberFormat="1" applyFont="1" applyBorder="1" applyAlignment="1">
      <alignment horizontal="center" vertical="center" wrapText="1"/>
    </xf>
    <xf numFmtId="167" fontId="117" fillId="0" borderId="7" xfId="0" applyNumberFormat="1" applyFont="1" applyBorder="1" applyAlignment="1">
      <alignment horizontal="center"/>
    </xf>
    <xf numFmtId="2" fontId="117" fillId="0" borderId="1" xfId="1" applyNumberFormat="1" applyFont="1" applyBorder="1" applyAlignment="1">
      <alignment horizontal="right" vertical="center"/>
    </xf>
    <xf numFmtId="166" fontId="117" fillId="0" borderId="1" xfId="2" applyNumberFormat="1" applyFont="1" applyBorder="1" applyAlignment="1" applyProtection="1">
      <alignment horizontal="center" vertical="center" wrapText="1"/>
      <protection locked="0"/>
    </xf>
    <xf numFmtId="166" fontId="117" fillId="0" borderId="1" xfId="2" applyNumberFormat="1" applyFont="1" applyBorder="1" applyProtection="1">
      <protection locked="0"/>
    </xf>
    <xf numFmtId="0" fontId="117" fillId="5" borderId="1" xfId="0" applyFont="1" applyFill="1" applyBorder="1" applyAlignment="1">
      <alignment horizontal="right" vertical="center"/>
    </xf>
    <xf numFmtId="2" fontId="117" fillId="0" borderId="1" xfId="0" applyNumberFormat="1" applyFont="1" applyBorder="1" applyAlignment="1" applyProtection="1">
      <alignment horizontal="center" vertical="center" wrapText="1"/>
      <protection locked="0"/>
    </xf>
    <xf numFmtId="9" fontId="117" fillId="0" borderId="15" xfId="0" applyNumberFormat="1" applyFont="1" applyBorder="1" applyAlignment="1">
      <alignment horizontal="right" vertical="center"/>
    </xf>
    <xf numFmtId="9" fontId="117" fillId="0" borderId="1" xfId="2" applyFont="1" applyBorder="1"/>
    <xf numFmtId="9" fontId="117" fillId="0" borderId="1" xfId="0" applyNumberFormat="1" applyFont="1" applyBorder="1" applyAlignment="1" applyProtection="1">
      <alignment horizontal="right" vertical="center"/>
      <protection locked="0"/>
    </xf>
    <xf numFmtId="166" fontId="117" fillId="0" borderId="1" xfId="2" applyNumberFormat="1" applyFont="1" applyBorder="1"/>
    <xf numFmtId="9" fontId="117" fillId="0" borderId="1" xfId="2" applyFont="1" applyBorder="1" applyAlignment="1">
      <alignment horizontal="right" vertical="center"/>
    </xf>
    <xf numFmtId="10" fontId="117" fillId="0" borderId="1" xfId="2" applyNumberFormat="1" applyFont="1" applyBorder="1"/>
    <xf numFmtId="0" fontId="120" fillId="0" borderId="0" xfId="0" applyFont="1" applyAlignment="1">
      <alignment vertical="center"/>
    </xf>
    <xf numFmtId="0" fontId="117" fillId="0" borderId="0" xfId="0" applyFont="1" applyAlignment="1">
      <alignment vertical="center"/>
    </xf>
    <xf numFmtId="0" fontId="115" fillId="0" borderId="14" xfId="0" applyFont="1" applyBorder="1" applyAlignment="1">
      <alignment vertical="center" wrapText="1" readingOrder="1"/>
    </xf>
    <xf numFmtId="0" fontId="118" fillId="0" borderId="14" xfId="0" applyFont="1" applyBorder="1" applyAlignment="1">
      <alignment horizontal="center" vertical="center" wrapText="1" readingOrder="1"/>
    </xf>
    <xf numFmtId="0" fontId="119" fillId="0" borderId="14" xfId="0" applyFont="1" applyBorder="1" applyAlignment="1">
      <alignment horizontal="left" vertical="center" wrapText="1" readingOrder="1"/>
    </xf>
    <xf numFmtId="0" fontId="119" fillId="0" borderId="14" xfId="0" applyFont="1" applyBorder="1" applyAlignment="1">
      <alignment horizontal="center" vertical="center" wrapText="1" readingOrder="1"/>
    </xf>
    <xf numFmtId="0" fontId="116" fillId="0" borderId="14" xfId="0" applyFont="1" applyBorder="1" applyAlignment="1">
      <alignment horizontal="center" vertical="center" wrapText="1" readingOrder="1"/>
    </xf>
    <xf numFmtId="2" fontId="117" fillId="0" borderId="14" xfId="1" applyNumberFormat="1" applyFont="1" applyBorder="1" applyAlignment="1">
      <alignment horizontal="right" vertical="center"/>
    </xf>
    <xf numFmtId="167" fontId="117" fillId="0" borderId="2" xfId="0" applyNumberFormat="1" applyFont="1" applyBorder="1" applyAlignment="1">
      <alignment horizontal="center"/>
    </xf>
    <xf numFmtId="2" fontId="117" fillId="0" borderId="14" xfId="0" applyNumberFormat="1" applyFont="1" applyBorder="1" applyAlignment="1" applyProtection="1">
      <alignment horizontal="center" vertical="center" wrapText="1"/>
      <protection locked="0"/>
    </xf>
    <xf numFmtId="2" fontId="117" fillId="0" borderId="14" xfId="0" applyNumberFormat="1" applyFont="1" applyBorder="1" applyProtection="1">
      <protection locked="0"/>
    </xf>
    <xf numFmtId="2" fontId="117" fillId="0" borderId="15" xfId="0" applyNumberFormat="1" applyFont="1" applyBorder="1" applyAlignment="1">
      <alignment horizontal="center" vertical="center" wrapText="1"/>
    </xf>
    <xf numFmtId="165" fontId="117" fillId="0" borderId="14" xfId="1" applyFont="1" applyBorder="1" applyAlignment="1">
      <alignment horizontal="center" vertical="center" wrapText="1"/>
    </xf>
    <xf numFmtId="0" fontId="117" fillId="0" borderId="0" xfId="0" applyFont="1" applyAlignment="1" applyProtection="1">
      <alignment vertical="top"/>
      <protection locked="0"/>
    </xf>
    <xf numFmtId="0" fontId="117" fillId="0" borderId="0" xfId="0" applyFont="1" applyAlignment="1">
      <alignment vertical="top"/>
    </xf>
    <xf numFmtId="0" fontId="120" fillId="0" borderId="0" xfId="0" applyFont="1" applyAlignment="1">
      <alignment vertical="top"/>
    </xf>
    <xf numFmtId="0" fontId="121" fillId="0" borderId="0" xfId="0" applyFont="1" applyAlignment="1">
      <alignment vertical="top"/>
    </xf>
    <xf numFmtId="0" fontId="121" fillId="0" borderId="0" xfId="0" applyFont="1" applyAlignment="1">
      <alignment horizontal="center" vertical="top"/>
    </xf>
    <xf numFmtId="0" fontId="117" fillId="0" borderId="0" xfId="0" applyFont="1" applyAlignment="1" applyProtection="1">
      <alignment vertical="center"/>
      <protection locked="0"/>
    </xf>
    <xf numFmtId="0" fontId="117" fillId="0" borderId="0" xfId="0" applyFont="1" applyAlignment="1">
      <alignment horizontal="center" vertical="top"/>
    </xf>
    <xf numFmtId="0" fontId="115" fillId="2" borderId="7" xfId="0" applyFont="1" applyFill="1" applyBorder="1" applyAlignment="1">
      <alignment horizontal="center" vertical="center" wrapText="1" readingOrder="1"/>
    </xf>
    <xf numFmtId="1" fontId="115" fillId="2" borderId="79" xfId="0" applyNumberFormat="1" applyFont="1" applyFill="1" applyBorder="1" applyAlignment="1" applyProtection="1">
      <alignment horizontal="center" vertical="center" wrapText="1" readingOrder="1"/>
      <protection locked="0"/>
    </xf>
    <xf numFmtId="0" fontId="115" fillId="2" borderId="182" xfId="0" applyFont="1" applyFill="1" applyBorder="1" applyAlignment="1" applyProtection="1">
      <alignment horizontal="center" vertical="center" wrapText="1" readingOrder="1"/>
      <protection locked="0"/>
    </xf>
    <xf numFmtId="0" fontId="99" fillId="2" borderId="80" xfId="0" applyFont="1" applyFill="1" applyBorder="1" applyAlignment="1" applyProtection="1">
      <alignment horizontal="center" vertical="center" wrapText="1" readingOrder="1"/>
      <protection locked="0"/>
    </xf>
    <xf numFmtId="0" fontId="115" fillId="2" borderId="8" xfId="0" applyFont="1" applyFill="1" applyBorder="1" applyAlignment="1" applyProtection="1">
      <alignment horizontal="center" vertical="center" wrapText="1" readingOrder="1"/>
      <protection locked="0"/>
    </xf>
    <xf numFmtId="0" fontId="115" fillId="2" borderId="19" xfId="0" applyFont="1" applyFill="1" applyBorder="1" applyAlignment="1" applyProtection="1">
      <alignment horizontal="left" vertical="center" wrapText="1" readingOrder="1"/>
      <protection locked="0"/>
    </xf>
    <xf numFmtId="0" fontId="115" fillId="2" borderId="19" xfId="0" applyFont="1" applyFill="1" applyBorder="1" applyAlignment="1" applyProtection="1">
      <alignment horizontal="center" vertical="center" wrapText="1" readingOrder="1"/>
      <protection locked="0"/>
    </xf>
    <xf numFmtId="0" fontId="115" fillId="2" borderId="17" xfId="0" applyFont="1" applyFill="1" applyBorder="1" applyAlignment="1" applyProtection="1">
      <alignment horizontal="center" vertical="center" wrapText="1" readingOrder="1"/>
      <protection locked="0"/>
    </xf>
    <xf numFmtId="0" fontId="120" fillId="0" borderId="0" xfId="0" applyFont="1" applyAlignment="1" applyProtection="1">
      <alignment vertical="center"/>
      <protection locked="0"/>
    </xf>
    <xf numFmtId="2" fontId="120" fillId="3" borderId="342" xfId="0" applyNumberFormat="1" applyFont="1" applyFill="1" applyBorder="1" applyAlignment="1">
      <alignment vertical="top"/>
    </xf>
    <xf numFmtId="2" fontId="120" fillId="0" borderId="336" xfId="0" applyNumberFormat="1" applyFont="1" applyBorder="1" applyAlignment="1">
      <alignment vertical="top"/>
    </xf>
    <xf numFmtId="2" fontId="120" fillId="3" borderId="343" xfId="0" applyNumberFormat="1" applyFont="1" applyFill="1" applyBorder="1" applyAlignment="1">
      <alignment vertical="top"/>
    </xf>
    <xf numFmtId="2" fontId="120" fillId="0" borderId="338" xfId="0" applyNumberFormat="1" applyFont="1" applyBorder="1" applyAlignment="1">
      <alignment vertical="top"/>
    </xf>
    <xf numFmtId="0" fontId="123" fillId="0" borderId="338" xfId="0" applyFont="1" applyBorder="1" applyAlignment="1">
      <alignment horizontal="left" vertical="top" wrapText="1" readingOrder="1"/>
    </xf>
    <xf numFmtId="10" fontId="120" fillId="18" borderId="352" xfId="2" applyNumberFormat="1" applyFont="1" applyFill="1" applyBorder="1" applyAlignment="1">
      <alignment horizontal="center" vertical="top" wrapText="1"/>
    </xf>
    <xf numFmtId="2" fontId="120" fillId="3" borderId="343" xfId="0" applyNumberFormat="1" applyFont="1" applyFill="1" applyBorder="1" applyAlignment="1" applyProtection="1">
      <alignment vertical="top"/>
      <protection locked="0"/>
    </xf>
    <xf numFmtId="2" fontId="120" fillId="0" borderId="338" xfId="0" applyNumberFormat="1" applyFont="1" applyBorder="1" applyAlignment="1" applyProtection="1">
      <alignment vertical="top"/>
      <protection locked="0"/>
    </xf>
    <xf numFmtId="0" fontId="120" fillId="0" borderId="0" xfId="0" applyFont="1" applyAlignment="1" applyProtection="1">
      <alignment vertical="top"/>
      <protection locked="0"/>
    </xf>
    <xf numFmtId="2" fontId="120" fillId="3" borderId="344" xfId="0" applyNumberFormat="1" applyFont="1" applyFill="1" applyBorder="1" applyAlignment="1" applyProtection="1">
      <alignment vertical="top"/>
      <protection locked="0"/>
    </xf>
    <xf numFmtId="2" fontId="120" fillId="0" borderId="340" xfId="0" applyNumberFormat="1" applyFont="1" applyBorder="1" applyAlignment="1" applyProtection="1">
      <alignment vertical="top"/>
      <protection locked="0"/>
    </xf>
    <xf numFmtId="0" fontId="122" fillId="0" borderId="0" xfId="0" applyFont="1" applyAlignment="1">
      <alignment vertical="top"/>
    </xf>
    <xf numFmtId="0" fontId="122" fillId="0" borderId="0" xfId="0" applyFont="1" applyAlignment="1">
      <alignment horizontal="center" vertical="top"/>
    </xf>
    <xf numFmtId="0" fontId="120" fillId="0" borderId="0" xfId="0" applyFont="1" applyAlignment="1">
      <alignment horizontal="center" vertical="top"/>
    </xf>
    <xf numFmtId="2" fontId="120" fillId="0" borderId="0" xfId="0" applyNumberFormat="1" applyFont="1" applyAlignment="1" applyProtection="1">
      <alignment horizontal="center" vertical="top"/>
      <protection locked="0"/>
    </xf>
    <xf numFmtId="0" fontId="120" fillId="0" borderId="0" xfId="0" applyFont="1" applyAlignment="1" applyProtection="1">
      <alignment horizontal="center" vertical="top"/>
      <protection locked="0"/>
    </xf>
    <xf numFmtId="0" fontId="103" fillId="0" borderId="357" xfId="0" applyFont="1" applyBorder="1" applyAlignment="1">
      <alignment vertical="top" wrapText="1" readingOrder="1"/>
    </xf>
    <xf numFmtId="167" fontId="124" fillId="0" borderId="339" xfId="0" applyNumberFormat="1" applyFont="1" applyBorder="1" applyAlignment="1">
      <alignment horizontal="center" vertical="top"/>
    </xf>
    <xf numFmtId="167" fontId="124" fillId="0" borderId="341" xfId="0" applyNumberFormat="1" applyFont="1" applyBorder="1" applyAlignment="1">
      <alignment horizontal="center" vertical="top"/>
    </xf>
    <xf numFmtId="0" fontId="115" fillId="2" borderId="79" xfId="0" applyFont="1" applyFill="1" applyBorder="1" applyAlignment="1">
      <alignment horizontal="center" vertical="center" wrapText="1" readingOrder="1"/>
    </xf>
    <xf numFmtId="0" fontId="115" fillId="2" borderId="35" xfId="0" applyFont="1" applyFill="1" applyBorder="1" applyAlignment="1">
      <alignment horizontal="center" vertical="center" wrapText="1" readingOrder="1"/>
    </xf>
    <xf numFmtId="3" fontId="99" fillId="0" borderId="345" xfId="0" applyNumberFormat="1" applyFont="1" applyBorder="1" applyAlignment="1">
      <alignment horizontal="center" vertical="top" wrapText="1"/>
    </xf>
    <xf numFmtId="3" fontId="99" fillId="0" borderId="351" xfId="0" applyNumberFormat="1" applyFont="1" applyBorder="1" applyAlignment="1">
      <alignment horizontal="center" vertical="top" wrapText="1"/>
    </xf>
    <xf numFmtId="3" fontId="99" fillId="0" borderId="345" xfId="1" applyNumberFormat="1" applyFont="1" applyBorder="1" applyAlignment="1">
      <alignment horizontal="center" vertical="top" wrapText="1"/>
    </xf>
    <xf numFmtId="3" fontId="99" fillId="0" borderId="354" xfId="0" applyNumberFormat="1" applyFont="1" applyBorder="1" applyAlignment="1">
      <alignment horizontal="center" vertical="top" wrapText="1"/>
    </xf>
    <xf numFmtId="3" fontId="99" fillId="0" borderId="347" xfId="0" applyNumberFormat="1" applyFont="1" applyBorder="1" applyAlignment="1">
      <alignment horizontal="center" vertical="top" wrapText="1"/>
    </xf>
    <xf numFmtId="3" fontId="99" fillId="0" borderId="352" xfId="0" applyNumberFormat="1" applyFont="1" applyBorder="1" applyAlignment="1">
      <alignment horizontal="center" vertical="top" wrapText="1"/>
    </xf>
    <xf numFmtId="3" fontId="99" fillId="0" borderId="347" xfId="1" applyNumberFormat="1" applyFont="1" applyBorder="1" applyAlignment="1">
      <alignment horizontal="center" vertical="top" wrapText="1"/>
    </xf>
    <xf numFmtId="3" fontId="99" fillId="0" borderId="355" xfId="0" applyNumberFormat="1" applyFont="1" applyBorder="1" applyAlignment="1">
      <alignment horizontal="center" vertical="top" wrapText="1"/>
    </xf>
    <xf numFmtId="166" fontId="99" fillId="0" borderId="347" xfId="2" applyNumberFormat="1" applyFont="1" applyBorder="1" applyAlignment="1">
      <alignment horizontal="center" vertical="top" wrapText="1"/>
    </xf>
    <xf numFmtId="10" fontId="99" fillId="18" borderId="347" xfId="2" applyNumberFormat="1" applyFont="1" applyFill="1" applyBorder="1" applyAlignment="1">
      <alignment horizontal="center" vertical="top" wrapText="1"/>
    </xf>
    <xf numFmtId="10" fontId="99" fillId="18" borderId="347" xfId="2" applyNumberFormat="1" applyFont="1" applyFill="1" applyBorder="1" applyAlignment="1" applyProtection="1">
      <alignment horizontal="center" vertical="top" wrapText="1"/>
      <protection locked="0"/>
    </xf>
    <xf numFmtId="9" fontId="99" fillId="0" borderId="347" xfId="0" applyNumberFormat="1" applyFont="1" applyBorder="1" applyAlignment="1">
      <alignment horizontal="center" vertical="top"/>
    </xf>
    <xf numFmtId="3" fontId="99" fillId="0" borderId="347" xfId="0" applyNumberFormat="1" applyFont="1" applyBorder="1" applyAlignment="1" applyProtection="1">
      <alignment horizontal="center" vertical="top" wrapText="1"/>
      <protection locked="0"/>
    </xf>
    <xf numFmtId="3" fontId="99" fillId="0" borderId="349" xfId="0" applyNumberFormat="1" applyFont="1" applyBorder="1" applyAlignment="1" applyProtection="1">
      <alignment horizontal="center" vertical="top" wrapText="1"/>
      <protection locked="0"/>
    </xf>
    <xf numFmtId="166" fontId="99" fillId="0" borderId="347" xfId="2" applyNumberFormat="1" applyFont="1" applyBorder="1" applyAlignment="1" applyProtection="1">
      <alignment horizontal="center" vertical="top" wrapText="1"/>
      <protection locked="0"/>
    </xf>
    <xf numFmtId="3" fontId="99" fillId="0" borderId="347" xfId="1" applyNumberFormat="1" applyFont="1" applyBorder="1" applyAlignment="1" applyProtection="1">
      <alignment horizontal="center" vertical="top" wrapText="1"/>
      <protection locked="0"/>
    </xf>
    <xf numFmtId="166" fontId="99" fillId="0" borderId="355" xfId="2" applyNumberFormat="1" applyFont="1" applyBorder="1" applyAlignment="1">
      <alignment horizontal="center" vertical="top" wrapText="1"/>
    </xf>
    <xf numFmtId="166" fontId="99" fillId="0" borderId="355" xfId="2" applyNumberFormat="1" applyFont="1" applyBorder="1" applyAlignment="1" applyProtection="1">
      <alignment horizontal="center" vertical="top" wrapText="1"/>
      <protection locked="0"/>
    </xf>
    <xf numFmtId="9" fontId="99" fillId="0" borderId="355" xfId="2" applyFont="1" applyBorder="1" applyAlignment="1">
      <alignment horizontal="center" vertical="top" wrapText="1"/>
    </xf>
    <xf numFmtId="3" fontId="99" fillId="0" borderId="355" xfId="0" applyNumberFormat="1" applyFont="1" applyBorder="1" applyAlignment="1" applyProtection="1">
      <alignment horizontal="center" vertical="top" wrapText="1"/>
      <protection locked="0"/>
    </xf>
    <xf numFmtId="0" fontId="99" fillId="0" borderId="0" xfId="0" applyFont="1" applyAlignment="1" applyProtection="1">
      <alignment vertical="top"/>
      <protection locked="0"/>
    </xf>
    <xf numFmtId="0" fontId="99" fillId="0" borderId="336" xfId="0" applyFont="1" applyBorder="1" applyAlignment="1">
      <alignment vertical="top" wrapText="1" readingOrder="1"/>
    </xf>
    <xf numFmtId="0" fontId="99" fillId="0" borderId="356" xfId="0" applyFont="1" applyBorder="1" applyAlignment="1">
      <alignment vertical="top" wrapText="1" readingOrder="1"/>
    </xf>
    <xf numFmtId="0" fontId="99" fillId="0" borderId="338" xfId="0" applyFont="1" applyBorder="1" applyAlignment="1">
      <alignment horizontal="left" vertical="top" wrapText="1" readingOrder="1"/>
    </xf>
    <xf numFmtId="0" fontId="99" fillId="0" borderId="26" xfId="0" applyFont="1" applyBorder="1" applyAlignment="1">
      <alignment vertical="top" wrapText="1" readingOrder="1"/>
    </xf>
    <xf numFmtId="0" fontId="99" fillId="0" borderId="336" xfId="0" applyFont="1" applyBorder="1" applyAlignment="1">
      <alignment horizontal="center" vertical="top" wrapText="1" readingOrder="1"/>
    </xf>
    <xf numFmtId="0" fontId="99" fillId="0" borderId="338" xfId="0" applyFont="1" applyBorder="1" applyAlignment="1">
      <alignment horizontal="center" vertical="top" wrapText="1" readingOrder="1"/>
    </xf>
    <xf numFmtId="0" fontId="99" fillId="0" borderId="340" xfId="0" applyFont="1" applyBorder="1" applyAlignment="1">
      <alignment horizontal="center" vertical="top" wrapText="1" readingOrder="1"/>
    </xf>
    <xf numFmtId="0" fontId="99" fillId="0" borderId="336" xfId="0" applyFont="1" applyBorder="1" applyAlignment="1">
      <alignment horizontal="left" vertical="top" wrapText="1" readingOrder="1"/>
    </xf>
    <xf numFmtId="0" fontId="99" fillId="0" borderId="345" xfId="0" applyFont="1" applyBorder="1" applyAlignment="1">
      <alignment horizontal="center" vertical="top" wrapText="1" readingOrder="1"/>
    </xf>
    <xf numFmtId="0" fontId="99" fillId="0" borderId="346" xfId="0" applyFont="1" applyBorder="1" applyAlignment="1">
      <alignment horizontal="center" vertical="top" wrapText="1" readingOrder="1"/>
    </xf>
    <xf numFmtId="3" fontId="99" fillId="0" borderId="336" xfId="1" applyNumberFormat="1" applyFont="1" applyBorder="1" applyAlignment="1">
      <alignment horizontal="center" vertical="top"/>
    </xf>
    <xf numFmtId="0" fontId="99" fillId="0" borderId="347" xfId="0" applyFont="1" applyBorder="1" applyAlignment="1">
      <alignment horizontal="center" vertical="top" wrapText="1" readingOrder="1"/>
    </xf>
    <xf numFmtId="0" fontId="99" fillId="0" borderId="348" xfId="0" applyFont="1" applyBorder="1" applyAlignment="1">
      <alignment horizontal="center" vertical="top" wrapText="1" readingOrder="1"/>
    </xf>
    <xf numFmtId="3" fontId="99" fillId="0" borderId="338" xfId="1" applyNumberFormat="1" applyFont="1" applyBorder="1" applyAlignment="1">
      <alignment horizontal="center" vertical="top"/>
    </xf>
    <xf numFmtId="166" fontId="99" fillId="0" borderId="338" xfId="2" applyNumberFormat="1" applyFont="1" applyBorder="1" applyAlignment="1">
      <alignment horizontal="center" vertical="top"/>
    </xf>
    <xf numFmtId="166" fontId="99" fillId="0" borderId="338" xfId="0" applyNumberFormat="1" applyFont="1" applyBorder="1" applyAlignment="1">
      <alignment horizontal="center" vertical="top"/>
    </xf>
    <xf numFmtId="9" fontId="99" fillId="0" borderId="338" xfId="0" applyNumberFormat="1" applyFont="1" applyBorder="1" applyAlignment="1">
      <alignment horizontal="center" vertical="top"/>
    </xf>
    <xf numFmtId="0" fontId="99" fillId="5" borderId="338" xfId="0" applyFont="1" applyFill="1" applyBorder="1" applyAlignment="1">
      <alignment horizontal="center" vertical="top"/>
    </xf>
    <xf numFmtId="3" fontId="99" fillId="0" borderId="338" xfId="0" applyNumberFormat="1" applyFont="1" applyBorder="1" applyAlignment="1">
      <alignment horizontal="center" vertical="top"/>
    </xf>
    <xf numFmtId="0" fontId="99" fillId="0" borderId="349" xfId="0" applyFont="1" applyBorder="1" applyAlignment="1">
      <alignment horizontal="center" vertical="top" wrapText="1" readingOrder="1"/>
    </xf>
    <xf numFmtId="0" fontId="99" fillId="0" borderId="350" xfId="0" applyFont="1" applyBorder="1" applyAlignment="1">
      <alignment horizontal="center" vertical="top" wrapText="1" readingOrder="1"/>
    </xf>
    <xf numFmtId="3" fontId="99" fillId="0" borderId="340" xfId="0" applyNumberFormat="1" applyFont="1" applyBorder="1" applyAlignment="1">
      <alignment horizontal="center" vertical="top"/>
    </xf>
    <xf numFmtId="0" fontId="99" fillId="0" borderId="340" xfId="0" applyFont="1" applyBorder="1" applyAlignment="1">
      <alignment horizontal="left" vertical="top" wrapText="1" readingOrder="1"/>
    </xf>
    <xf numFmtId="166" fontId="125" fillId="0" borderId="355" xfId="2" applyNumberFormat="1" applyFont="1" applyBorder="1" applyAlignment="1">
      <alignment horizontal="center" vertical="top" wrapText="1"/>
    </xf>
    <xf numFmtId="3" fontId="99" fillId="0" borderId="353" xfId="0" applyNumberFormat="1" applyFont="1" applyBorder="1" applyAlignment="1" applyProtection="1">
      <alignment horizontal="center" vertical="top" wrapText="1"/>
      <protection locked="0"/>
    </xf>
    <xf numFmtId="10" fontId="99" fillId="18" borderId="352" xfId="2" applyNumberFormat="1" applyFont="1" applyFill="1" applyBorder="1" applyAlignment="1" applyProtection="1">
      <alignment horizontal="center" vertical="top" wrapText="1"/>
      <protection locked="0"/>
    </xf>
    <xf numFmtId="9" fontId="99" fillId="0" borderId="352" xfId="2" applyFont="1" applyBorder="1" applyAlignment="1">
      <alignment horizontal="center" vertical="top" wrapText="1"/>
    </xf>
    <xf numFmtId="3" fontId="99" fillId="0" borderId="352" xfId="0" applyNumberFormat="1" applyFont="1" applyBorder="1" applyAlignment="1" applyProtection="1">
      <alignment horizontal="center" vertical="top" wrapText="1"/>
      <protection locked="0"/>
    </xf>
    <xf numFmtId="167" fontId="99" fillId="0" borderId="337" xfId="0" applyNumberFormat="1" applyFont="1" applyBorder="1" applyAlignment="1">
      <alignment horizontal="center" vertical="top"/>
    </xf>
    <xf numFmtId="166" fontId="126" fillId="7" borderId="352" xfId="2" applyNumberFormat="1" applyFont="1" applyFill="1" applyBorder="1" applyAlignment="1">
      <alignment horizontal="center" vertical="top" wrapText="1"/>
    </xf>
    <xf numFmtId="0" fontId="58" fillId="3" borderId="83" xfId="0" applyFont="1" applyFill="1" applyBorder="1" applyAlignment="1">
      <alignment vertical="top" wrapText="1"/>
    </xf>
    <xf numFmtId="0" fontId="58" fillId="3" borderId="92" xfId="0" applyFont="1" applyFill="1" applyBorder="1" applyAlignment="1">
      <alignment vertical="top" wrapText="1"/>
    </xf>
    <xf numFmtId="0" fontId="58" fillId="3" borderId="145" xfId="0" applyFont="1" applyFill="1" applyBorder="1" applyAlignment="1">
      <alignment vertical="top" wrapText="1"/>
    </xf>
    <xf numFmtId="0" fontId="58" fillId="3" borderId="115" xfId="0" applyFont="1" applyFill="1" applyBorder="1" applyAlignment="1">
      <alignment vertical="top" wrapText="1"/>
    </xf>
    <xf numFmtId="0" fontId="58" fillId="2" borderId="196" xfId="0" applyFont="1" applyFill="1" applyBorder="1" applyAlignment="1" applyProtection="1">
      <alignment horizontal="center" vertical="center" wrapText="1" readingOrder="1"/>
      <protection locked="0"/>
    </xf>
    <xf numFmtId="0" fontId="58" fillId="0" borderId="0" xfId="0" applyFont="1" applyAlignment="1" applyProtection="1">
      <alignment horizontal="center" vertical="center"/>
      <protection locked="0"/>
    </xf>
    <xf numFmtId="2" fontId="58" fillId="0" borderId="1" xfId="0" applyNumberFormat="1" applyFont="1" applyBorder="1" applyAlignment="1">
      <alignment horizontal="center" vertical="center"/>
    </xf>
    <xf numFmtId="174" fontId="64" fillId="0" borderId="221" xfId="1" applyNumberFormat="1" applyFont="1" applyBorder="1" applyAlignment="1" applyProtection="1">
      <alignment horizontal="center" vertical="top"/>
      <protection locked="0"/>
    </xf>
    <xf numFmtId="175" fontId="64" fillId="0" borderId="221" xfId="1" applyNumberFormat="1" applyFont="1" applyBorder="1" applyAlignment="1" applyProtection="1">
      <alignment horizontal="center" vertical="top"/>
      <protection locked="0"/>
    </xf>
    <xf numFmtId="174" fontId="91" fillId="11" borderId="112" xfId="1" applyNumberFormat="1" applyFont="1" applyFill="1" applyBorder="1" applyAlignment="1" applyProtection="1">
      <alignment horizontal="center" vertical="top" wrapText="1"/>
      <protection locked="0"/>
    </xf>
    <xf numFmtId="174" fontId="91" fillId="0" borderId="87" xfId="1" applyNumberFormat="1" applyFont="1" applyBorder="1" applyAlignment="1" applyProtection="1">
      <alignment horizontal="center" vertical="top" wrapText="1"/>
      <protection locked="0"/>
    </xf>
    <xf numFmtId="174" fontId="91" fillId="11" borderId="221" xfId="1" applyNumberFormat="1" applyFont="1" applyFill="1" applyBorder="1" applyAlignment="1" applyProtection="1">
      <alignment horizontal="center" vertical="top" wrapText="1"/>
      <protection locked="0"/>
    </xf>
    <xf numFmtId="175" fontId="127" fillId="0" borderId="221" xfId="1" applyNumberFormat="1" applyFont="1" applyBorder="1" applyAlignment="1" applyProtection="1">
      <alignment horizontal="center" vertical="top" wrapText="1"/>
      <protection locked="0"/>
    </xf>
    <xf numFmtId="174" fontId="127" fillId="26" borderId="221" xfId="1" applyNumberFormat="1" applyFont="1" applyFill="1" applyBorder="1" applyAlignment="1" applyProtection="1">
      <alignment horizontal="center" vertical="top" wrapText="1"/>
      <protection locked="0"/>
    </xf>
    <xf numFmtId="0" fontId="1" fillId="0" borderId="0" xfId="0" applyFont="1" applyAlignment="1" applyProtection="1">
      <alignment vertical="top"/>
      <protection locked="0"/>
    </xf>
    <xf numFmtId="0" fontId="1" fillId="0" borderId="0" xfId="0" applyFont="1" applyAlignment="1">
      <alignment vertical="top"/>
    </xf>
    <xf numFmtId="0" fontId="0" fillId="0" borderId="0" xfId="0" applyAlignment="1" applyProtection="1">
      <alignment vertical="top"/>
      <protection locked="0"/>
    </xf>
    <xf numFmtId="0" fontId="0" fillId="0" borderId="0" xfId="0" applyAlignment="1">
      <alignment vertical="top"/>
    </xf>
    <xf numFmtId="0" fontId="113" fillId="0" borderId="0" xfId="0" applyFont="1" applyAlignment="1">
      <alignment vertical="top"/>
    </xf>
    <xf numFmtId="0" fontId="114" fillId="0" borderId="0" xfId="0" applyFont="1" applyAlignment="1">
      <alignment vertical="top"/>
    </xf>
    <xf numFmtId="0" fontId="114" fillId="0" borderId="0" xfId="0" applyFont="1" applyAlignment="1">
      <alignment horizontal="center" vertical="top"/>
    </xf>
    <xf numFmtId="0" fontId="1" fillId="0" borderId="0" xfId="0" applyFont="1" applyAlignment="1">
      <alignment horizontal="center" vertical="top"/>
    </xf>
    <xf numFmtId="2" fontId="1" fillId="0" borderId="0" xfId="0" applyNumberFormat="1" applyFont="1" applyAlignment="1" applyProtection="1">
      <alignment horizontal="center" vertical="top"/>
      <protection locked="0"/>
    </xf>
    <xf numFmtId="0" fontId="1" fillId="0" borderId="0" xfId="0" applyFont="1" applyAlignment="1" applyProtection="1">
      <alignment horizontal="center" vertical="top"/>
      <protection locked="0"/>
    </xf>
    <xf numFmtId="3" fontId="1" fillId="0" borderId="0" xfId="0" applyNumberFormat="1" applyFont="1" applyAlignment="1" applyProtection="1">
      <alignment vertical="top"/>
      <protection locked="0"/>
    </xf>
    <xf numFmtId="0" fontId="108" fillId="2" borderId="17" xfId="0" applyFont="1" applyFill="1" applyBorder="1" applyAlignment="1" applyProtection="1">
      <alignment horizontal="center" vertical="center" wrapText="1" readingOrder="1"/>
      <protection locked="0"/>
    </xf>
    <xf numFmtId="169" fontId="90" fillId="0" borderId="145" xfId="0" applyNumberFormat="1" applyFont="1" applyBorder="1" applyAlignment="1" applyProtection="1">
      <alignment horizontal="center" vertical="top" wrapText="1"/>
      <protection locked="0"/>
    </xf>
    <xf numFmtId="1" fontId="133" fillId="0" borderId="96" xfId="0" applyNumberFormat="1" applyFont="1" applyBorder="1" applyAlignment="1" applyProtection="1">
      <alignment horizontal="center" vertical="top"/>
      <protection locked="0"/>
    </xf>
    <xf numFmtId="0" fontId="59" fillId="21" borderId="312" xfId="0" applyFont="1" applyFill="1" applyBorder="1" applyAlignment="1" applyProtection="1">
      <alignment vertical="top" wrapText="1"/>
      <protection locked="0"/>
    </xf>
    <xf numFmtId="0" fontId="134" fillId="0" borderId="0" xfId="0" applyFont="1" applyAlignment="1">
      <alignment vertical="top" wrapText="1"/>
    </xf>
    <xf numFmtId="1" fontId="139" fillId="0" borderId="96" xfId="0" applyNumberFormat="1" applyFont="1" applyBorder="1" applyAlignment="1" applyProtection="1">
      <alignment horizontal="center" vertical="top"/>
      <protection locked="0"/>
    </xf>
    <xf numFmtId="1" fontId="85" fillId="0" borderId="185" xfId="0" applyNumberFormat="1" applyFont="1" applyBorder="1" applyAlignment="1" applyProtection="1">
      <alignment horizontal="center" vertical="top" wrapText="1"/>
      <protection locked="0"/>
    </xf>
    <xf numFmtId="0" fontId="121" fillId="3" borderId="32" xfId="0" applyFont="1" applyFill="1" applyBorder="1" applyAlignment="1">
      <alignment horizontal="center" vertical="top" wrapText="1" readingOrder="1"/>
    </xf>
    <xf numFmtId="0" fontId="140" fillId="0" borderId="231" xfId="0" applyFont="1" applyBorder="1" applyAlignment="1">
      <alignment horizontal="center" vertical="top" wrapText="1" readingOrder="1"/>
    </xf>
    <xf numFmtId="0" fontId="140" fillId="0" borderId="230" xfId="0" applyFont="1" applyBorder="1" applyAlignment="1">
      <alignment horizontal="center" vertical="top" wrapText="1" readingOrder="1"/>
    </xf>
    <xf numFmtId="2" fontId="117" fillId="0" borderId="114" xfId="0" applyNumberFormat="1" applyFont="1" applyBorder="1" applyAlignment="1" applyProtection="1">
      <alignment horizontal="center" vertical="top" wrapText="1"/>
      <protection locked="0"/>
    </xf>
    <xf numFmtId="2" fontId="117" fillId="0" borderId="32" xfId="0" applyNumberFormat="1" applyFont="1" applyBorder="1" applyAlignment="1" applyProtection="1">
      <alignment horizontal="center" vertical="top" wrapText="1"/>
      <protection locked="0"/>
    </xf>
    <xf numFmtId="0" fontId="121" fillId="3" borderId="94" xfId="0" applyFont="1" applyFill="1" applyBorder="1" applyAlignment="1">
      <alignment horizontal="center" vertical="top" wrapText="1" readingOrder="1"/>
    </xf>
    <xf numFmtId="0" fontId="140" fillId="0" borderId="134" xfId="0" applyFont="1" applyBorder="1" applyAlignment="1">
      <alignment horizontal="center" vertical="top" wrapText="1" readingOrder="1"/>
    </xf>
    <xf numFmtId="0" fontId="140" fillId="0" borderId="136" xfId="0" applyFont="1" applyBorder="1" applyAlignment="1">
      <alignment horizontal="center" vertical="top" wrapText="1" readingOrder="1"/>
    </xf>
    <xf numFmtId="2" fontId="117" fillId="0" borderId="98" xfId="0" applyNumberFormat="1" applyFont="1" applyBorder="1" applyAlignment="1" applyProtection="1">
      <alignment horizontal="center" vertical="top" wrapText="1"/>
      <protection locked="0"/>
    </xf>
    <xf numFmtId="2" fontId="117" fillId="0" borderId="94" xfId="0" applyNumberFormat="1" applyFont="1" applyBorder="1" applyAlignment="1" applyProtection="1">
      <alignment horizontal="center" vertical="top" wrapText="1"/>
      <protection locked="0"/>
    </xf>
    <xf numFmtId="1" fontId="121" fillId="3" borderId="94" xfId="0" applyNumberFormat="1" applyFont="1" applyFill="1" applyBorder="1" applyAlignment="1">
      <alignment horizontal="center" vertical="top" wrapText="1" readingOrder="1"/>
    </xf>
    <xf numFmtId="2" fontId="117" fillId="0" borderId="94" xfId="0" applyNumberFormat="1" applyFont="1" applyBorder="1" applyAlignment="1" applyProtection="1">
      <alignment vertical="top"/>
      <protection locked="0"/>
    </xf>
    <xf numFmtId="0" fontId="140" fillId="0" borderId="358" xfId="0" applyFont="1" applyBorder="1" applyAlignment="1">
      <alignment horizontal="left" vertical="top" wrapText="1"/>
    </xf>
    <xf numFmtId="0" fontId="121" fillId="3" borderId="33" xfId="0" applyFont="1" applyFill="1" applyBorder="1" applyAlignment="1">
      <alignment horizontal="center" vertical="top" wrapText="1" readingOrder="1"/>
    </xf>
    <xf numFmtId="0" fontId="140" fillId="0" borderId="137" xfId="0" applyFont="1" applyBorder="1" applyAlignment="1">
      <alignment horizontal="center" vertical="top" wrapText="1" readingOrder="1"/>
    </xf>
    <xf numFmtId="0" fontId="140" fillId="0" borderId="139" xfId="0" applyFont="1" applyBorder="1" applyAlignment="1">
      <alignment horizontal="center" vertical="top" wrapText="1" readingOrder="1"/>
    </xf>
    <xf numFmtId="2" fontId="117" fillId="0" borderId="119" xfId="0" applyNumberFormat="1" applyFont="1" applyBorder="1" applyAlignment="1" applyProtection="1">
      <alignment horizontal="center" vertical="top" wrapText="1"/>
      <protection locked="0"/>
    </xf>
    <xf numFmtId="2" fontId="117" fillId="0" borderId="33" xfId="0" applyNumberFormat="1" applyFont="1" applyBorder="1" applyAlignment="1" applyProtection="1">
      <alignment horizontal="center" vertical="top" wrapText="1"/>
      <protection locked="0"/>
    </xf>
    <xf numFmtId="0" fontId="117" fillId="0" borderId="0" xfId="0" applyFont="1" applyAlignment="1">
      <alignment horizontal="left" vertical="top"/>
    </xf>
    <xf numFmtId="0" fontId="117" fillId="0" borderId="0" xfId="0" applyFont="1" applyAlignment="1" applyProtection="1">
      <alignment horizontal="left" vertical="top"/>
      <protection locked="0"/>
    </xf>
    <xf numFmtId="0" fontId="140" fillId="2" borderId="1" xfId="0" applyFont="1" applyFill="1" applyBorder="1" applyAlignment="1">
      <alignment vertical="center" wrapText="1" readingOrder="1"/>
    </xf>
    <xf numFmtId="0" fontId="140" fillId="2" borderId="1" xfId="0" applyFont="1" applyFill="1" applyBorder="1" applyAlignment="1">
      <alignment horizontal="center" vertical="center" wrapText="1" readingOrder="1"/>
    </xf>
    <xf numFmtId="0" fontId="140" fillId="2" borderId="63" xfId="0" applyFont="1" applyFill="1" applyBorder="1" applyAlignment="1">
      <alignment horizontal="center" vertical="center" wrapText="1" readingOrder="1"/>
    </xf>
    <xf numFmtId="0" fontId="140" fillId="2" borderId="64" xfId="0" applyFont="1" applyFill="1" applyBorder="1" applyAlignment="1">
      <alignment horizontal="center" vertical="center" wrapText="1" readingOrder="1"/>
    </xf>
    <xf numFmtId="0" fontId="140" fillId="2" borderId="17" xfId="0" applyFont="1" applyFill="1" applyBorder="1" applyAlignment="1" applyProtection="1">
      <alignment horizontal="center" vertical="center" wrapText="1" readingOrder="1"/>
      <protection locked="0"/>
    </xf>
    <xf numFmtId="0" fontId="121" fillId="3" borderId="85" xfId="0" applyFont="1" applyFill="1" applyBorder="1" applyAlignment="1">
      <alignment horizontal="center" vertical="top" wrapText="1" readingOrder="1"/>
    </xf>
    <xf numFmtId="0" fontId="140" fillId="0" borderId="131" xfId="0" applyFont="1" applyBorder="1" applyAlignment="1">
      <alignment horizontal="center" vertical="top" wrapText="1" readingOrder="1"/>
    </xf>
    <xf numFmtId="0" fontId="140" fillId="0" borderId="133" xfId="0" applyFont="1" applyBorder="1" applyAlignment="1">
      <alignment horizontal="center" vertical="top" wrapText="1" readingOrder="1"/>
    </xf>
    <xf numFmtId="2" fontId="117" fillId="0" borderId="89" xfId="0" applyNumberFormat="1" applyFont="1" applyBorder="1" applyAlignment="1" applyProtection="1">
      <alignment horizontal="center" vertical="top" wrapText="1"/>
      <protection locked="0"/>
    </xf>
    <xf numFmtId="2" fontId="117" fillId="0" borderId="85" xfId="0" applyNumberFormat="1" applyFont="1" applyBorder="1" applyAlignment="1" applyProtection="1">
      <alignment horizontal="center" vertical="top" wrapText="1"/>
      <protection locked="0"/>
    </xf>
    <xf numFmtId="0" fontId="121" fillId="3" borderId="140" xfId="0" applyFont="1" applyFill="1" applyBorder="1" applyAlignment="1">
      <alignment horizontal="center" vertical="top" wrapText="1" readingOrder="1"/>
    </xf>
    <xf numFmtId="0" fontId="140" fillId="0" borderId="141" xfId="0" applyFont="1" applyBorder="1" applyAlignment="1">
      <alignment horizontal="center" vertical="top" wrapText="1" readingOrder="1"/>
    </xf>
    <xf numFmtId="0" fontId="140" fillId="0" borderId="143" xfId="0" applyFont="1" applyBorder="1" applyAlignment="1">
      <alignment horizontal="center" vertical="top" wrapText="1" readingOrder="1"/>
    </xf>
    <xf numFmtId="2" fontId="117" fillId="0" borderId="243" xfId="0" applyNumberFormat="1" applyFont="1" applyBorder="1" applyAlignment="1" applyProtection="1">
      <alignment horizontal="center" vertical="top" wrapText="1"/>
      <protection locked="0"/>
    </xf>
    <xf numFmtId="2" fontId="117" fillId="0" borderId="140" xfId="0" applyNumberFormat="1" applyFont="1" applyBorder="1" applyAlignment="1" applyProtection="1">
      <alignment horizontal="center" vertical="top" wrapText="1"/>
      <protection locked="0"/>
    </xf>
    <xf numFmtId="0" fontId="140" fillId="0" borderId="15" xfId="0" applyFont="1" applyBorder="1" applyAlignment="1">
      <alignment vertical="top" wrapText="1" readingOrder="1"/>
    </xf>
    <xf numFmtId="0" fontId="142" fillId="0" borderId="26" xfId="0" applyFont="1" applyBorder="1" applyAlignment="1">
      <alignment vertical="top" wrapText="1" readingOrder="1"/>
    </xf>
    <xf numFmtId="0" fontId="142" fillId="0" borderId="223" xfId="0" applyFont="1" applyBorder="1" applyAlignment="1">
      <alignment vertical="top" wrapText="1" readingOrder="1"/>
    </xf>
    <xf numFmtId="0" fontId="121" fillId="3" borderId="104" xfId="0" applyFont="1" applyFill="1" applyBorder="1" applyAlignment="1">
      <alignment horizontal="center" vertical="top" wrapText="1" readingOrder="1"/>
    </xf>
    <xf numFmtId="0" fontId="140" fillId="0" borderId="149" xfId="0" applyFont="1" applyBorder="1" applyAlignment="1">
      <alignment horizontal="center" vertical="top" wrapText="1" readingOrder="1"/>
    </xf>
    <xf numFmtId="0" fontId="140" fillId="0" borderId="151" xfId="0" applyFont="1" applyBorder="1" applyAlignment="1">
      <alignment horizontal="center" vertical="top" wrapText="1" readingOrder="1"/>
    </xf>
    <xf numFmtId="2" fontId="117" fillId="0" borderId="104" xfId="0" applyNumberFormat="1" applyFont="1" applyBorder="1" applyAlignment="1" applyProtection="1">
      <alignment vertical="top"/>
      <protection locked="0"/>
    </xf>
    <xf numFmtId="0" fontId="142" fillId="0" borderId="14" xfId="0" applyFont="1" applyBorder="1" applyAlignment="1">
      <alignment vertical="top" wrapText="1" readingOrder="1"/>
    </xf>
    <xf numFmtId="2" fontId="117" fillId="0" borderId="107" xfId="0" applyNumberFormat="1" applyFont="1" applyBorder="1" applyAlignment="1" applyProtection="1">
      <alignment horizontal="center" vertical="top" wrapText="1"/>
      <protection locked="0"/>
    </xf>
    <xf numFmtId="2" fontId="117" fillId="0" borderId="104" xfId="0" applyNumberFormat="1" applyFont="1" applyBorder="1" applyAlignment="1" applyProtection="1">
      <alignment horizontal="center" vertical="top" wrapText="1"/>
      <protection locked="0"/>
    </xf>
    <xf numFmtId="0" fontId="140" fillId="0" borderId="26" xfId="0" applyFont="1" applyBorder="1" applyAlignment="1">
      <alignment vertical="top" wrapText="1" readingOrder="1"/>
    </xf>
    <xf numFmtId="2" fontId="117" fillId="0" borderId="85" xfId="0" applyNumberFormat="1" applyFont="1" applyBorder="1" applyAlignment="1" applyProtection="1">
      <alignment vertical="top"/>
      <protection locked="0"/>
    </xf>
    <xf numFmtId="0" fontId="140" fillId="0" borderId="232" xfId="0" applyFont="1" applyBorder="1" applyAlignment="1">
      <alignment vertical="top" wrapText="1" readingOrder="1"/>
    </xf>
    <xf numFmtId="0" fontId="121" fillId="3" borderId="157" xfId="0" applyFont="1" applyFill="1" applyBorder="1" applyAlignment="1">
      <alignment horizontal="center" vertical="top" wrapText="1" readingOrder="1"/>
    </xf>
    <xf numFmtId="0" fontId="140" fillId="0" borderId="154" xfId="0" applyFont="1" applyBorder="1" applyAlignment="1">
      <alignment horizontal="center" vertical="top" wrapText="1" readingOrder="1"/>
    </xf>
    <xf numFmtId="0" fontId="140" fillId="0" borderId="156" xfId="0" applyFont="1" applyBorder="1" applyAlignment="1">
      <alignment horizontal="center" vertical="top" wrapText="1" readingOrder="1"/>
    </xf>
    <xf numFmtId="2" fontId="117" fillId="0" borderId="247" xfId="0" applyNumberFormat="1" applyFont="1" applyBorder="1" applyAlignment="1" applyProtection="1">
      <alignment horizontal="center" vertical="top" wrapText="1"/>
      <protection locked="0"/>
    </xf>
    <xf numFmtId="2" fontId="117" fillId="0" borderId="157" xfId="0" applyNumberFormat="1" applyFont="1" applyBorder="1" applyAlignment="1" applyProtection="1">
      <alignment horizontal="center" vertical="top" wrapText="1"/>
      <protection locked="0"/>
    </xf>
    <xf numFmtId="2" fontId="117" fillId="0" borderId="157" xfId="0" applyNumberFormat="1" applyFont="1" applyBorder="1" applyAlignment="1" applyProtection="1">
      <alignment vertical="top"/>
      <protection locked="0"/>
    </xf>
    <xf numFmtId="2" fontId="117" fillId="0" borderId="140" xfId="0" applyNumberFormat="1" applyFont="1" applyBorder="1" applyAlignment="1" applyProtection="1">
      <alignment vertical="top"/>
      <protection locked="0"/>
    </xf>
    <xf numFmtId="0" fontId="140" fillId="2" borderId="7" xfId="0" applyFont="1" applyFill="1" applyBorder="1" applyAlignment="1">
      <alignment vertical="center" wrapText="1" readingOrder="1"/>
    </xf>
    <xf numFmtId="0" fontId="140" fillId="0" borderId="16" xfId="0" applyFont="1" applyBorder="1" applyAlignment="1">
      <alignment vertical="top" wrapText="1" readingOrder="1"/>
    </xf>
    <xf numFmtId="0" fontId="142" fillId="0" borderId="25" xfId="0" applyFont="1" applyBorder="1" applyAlignment="1">
      <alignment vertical="top" wrapText="1" readingOrder="1"/>
    </xf>
    <xf numFmtId="0" fontId="142" fillId="0" borderId="86" xfId="0" applyFont="1" applyBorder="1" applyAlignment="1">
      <alignment vertical="top" wrapText="1" readingOrder="1"/>
    </xf>
    <xf numFmtId="0" fontId="141" fillId="0" borderId="95" xfId="0" applyFont="1" applyBorder="1" applyAlignment="1">
      <alignment vertical="top" wrapText="1" readingOrder="1"/>
    </xf>
    <xf numFmtId="0" fontId="121" fillId="0" borderId="309" xfId="0" applyFont="1" applyBorder="1" applyAlignment="1">
      <alignment vertical="top" wrapText="1" readingOrder="1"/>
    </xf>
    <xf numFmtId="0" fontId="140" fillId="0" borderId="284" xfId="0" applyFont="1" applyBorder="1" applyAlignment="1">
      <alignment vertical="top" wrapText="1" readingOrder="1"/>
    </xf>
    <xf numFmtId="0" fontId="121" fillId="0" borderId="329" xfId="0" applyFont="1" applyBorder="1" applyAlignment="1">
      <alignment vertical="top" wrapText="1" readingOrder="1"/>
    </xf>
    <xf numFmtId="0" fontId="140" fillId="0" borderId="25" xfId="0" applyFont="1" applyBorder="1" applyAlignment="1">
      <alignment vertical="top" wrapText="1" readingOrder="1"/>
    </xf>
    <xf numFmtId="0" fontId="121" fillId="0" borderId="287" xfId="0" applyFont="1" applyBorder="1" applyAlignment="1">
      <alignment vertical="top" wrapText="1" readingOrder="1"/>
    </xf>
    <xf numFmtId="0" fontId="140" fillId="2" borderId="8" xfId="0" applyFont="1" applyFill="1" applyBorder="1" applyAlignment="1">
      <alignment vertical="center" wrapText="1" readingOrder="1"/>
    </xf>
    <xf numFmtId="0" fontId="141" fillId="0" borderId="114" xfId="0" applyFont="1" applyBorder="1" applyAlignment="1">
      <alignment horizontal="left" vertical="top" wrapText="1" readingOrder="1"/>
    </xf>
    <xf numFmtId="0" fontId="141" fillId="0" borderId="98" xfId="0" applyFont="1" applyBorder="1" applyAlignment="1">
      <alignment horizontal="left" vertical="top" wrapText="1" readingOrder="1"/>
    </xf>
    <xf numFmtId="0" fontId="141" fillId="0" borderId="107" xfId="0" applyFont="1" applyBorder="1" applyAlignment="1">
      <alignment horizontal="left" vertical="top" wrapText="1" readingOrder="1"/>
    </xf>
    <xf numFmtId="0" fontId="141" fillId="0" borderId="247" xfId="0" applyFont="1" applyBorder="1" applyAlignment="1">
      <alignment horizontal="left" vertical="top" wrapText="1" readingOrder="1"/>
    </xf>
    <xf numFmtId="0" fontId="141" fillId="0" borderId="243" xfId="0" applyFont="1" applyBorder="1" applyAlignment="1">
      <alignment horizontal="left" vertical="top" wrapText="1" readingOrder="1"/>
    </xf>
    <xf numFmtId="0" fontId="141" fillId="0" borderId="89" xfId="0" applyFont="1" applyBorder="1" applyAlignment="1">
      <alignment horizontal="left" vertical="top" wrapText="1" readingOrder="1"/>
    </xf>
    <xf numFmtId="0" fontId="141" fillId="0" borderId="119" xfId="0" applyFont="1" applyBorder="1" applyAlignment="1">
      <alignment horizontal="left" vertical="top" wrapText="1" readingOrder="1"/>
    </xf>
    <xf numFmtId="0" fontId="140" fillId="2" borderId="34" xfId="0" applyFont="1" applyFill="1" applyBorder="1" applyAlignment="1">
      <alignment vertical="center" wrapText="1" readingOrder="1"/>
    </xf>
    <xf numFmtId="0" fontId="140" fillId="0" borderId="110" xfId="0" applyFont="1" applyBorder="1" applyAlignment="1">
      <alignment horizontal="center" vertical="top" wrapText="1" readingOrder="1"/>
    </xf>
    <xf numFmtId="0" fontId="140" fillId="0" borderId="92" xfId="0" applyFont="1" applyBorder="1" applyAlignment="1">
      <alignment horizontal="center" vertical="top" wrapText="1" readingOrder="1"/>
    </xf>
    <xf numFmtId="0" fontId="140" fillId="0" borderId="101" xfId="0" applyFont="1" applyBorder="1" applyAlignment="1">
      <alignment horizontal="center" vertical="top" wrapText="1" readingOrder="1"/>
    </xf>
    <xf numFmtId="0" fontId="140" fillId="0" borderId="159" xfId="0" applyFont="1" applyBorder="1" applyAlignment="1">
      <alignment horizontal="center" vertical="top" wrapText="1" readingOrder="1"/>
    </xf>
    <xf numFmtId="0" fontId="140" fillId="0" borderId="145" xfId="0" applyFont="1" applyBorder="1" applyAlignment="1">
      <alignment horizontal="center" vertical="top" wrapText="1" readingOrder="1"/>
    </xf>
    <xf numFmtId="0" fontId="140" fillId="0" borderId="83" xfId="0" applyFont="1" applyBorder="1" applyAlignment="1">
      <alignment horizontal="center" vertical="top" wrapText="1" readingOrder="1"/>
    </xf>
    <xf numFmtId="0" fontId="140" fillId="0" borderId="115" xfId="0" applyFont="1" applyBorder="1" applyAlignment="1">
      <alignment horizontal="center" vertical="top" wrapText="1" readingOrder="1"/>
    </xf>
    <xf numFmtId="0" fontId="140" fillId="2" borderId="361" xfId="0" applyFont="1" applyFill="1" applyBorder="1" applyAlignment="1" applyProtection="1">
      <alignment horizontal="center" vertical="center" wrapText="1" readingOrder="1"/>
      <protection locked="0"/>
    </xf>
    <xf numFmtId="2" fontId="117" fillId="0" borderId="362" xfId="0" applyNumberFormat="1" applyFont="1" applyBorder="1" applyAlignment="1" applyProtection="1">
      <alignment horizontal="left" vertical="top" wrapText="1"/>
      <protection locked="0"/>
    </xf>
    <xf numFmtId="2" fontId="117" fillId="0" borderId="363" xfId="0" applyNumberFormat="1" applyFont="1" applyBorder="1" applyAlignment="1" applyProtection="1">
      <alignment horizontal="left" vertical="top" wrapText="1"/>
      <protection locked="0"/>
    </xf>
    <xf numFmtId="2" fontId="117" fillId="0" borderId="364" xfId="0" applyNumberFormat="1" applyFont="1" applyBorder="1" applyAlignment="1" applyProtection="1">
      <alignment horizontal="left" vertical="top" wrapText="1"/>
      <protection locked="0"/>
    </xf>
    <xf numFmtId="2" fontId="117" fillId="0" borderId="365" xfId="0" applyNumberFormat="1" applyFont="1" applyBorder="1" applyAlignment="1" applyProtection="1">
      <alignment horizontal="left" vertical="top" wrapText="1"/>
      <protection locked="0"/>
    </xf>
    <xf numFmtId="2" fontId="117" fillId="0" borderId="366" xfId="0" applyNumberFormat="1" applyFont="1" applyBorder="1" applyAlignment="1" applyProtection="1">
      <alignment horizontal="left" vertical="top" wrapText="1"/>
      <protection locked="0"/>
    </xf>
    <xf numFmtId="2" fontId="117" fillId="0" borderId="367" xfId="0" applyNumberFormat="1" applyFont="1" applyBorder="1" applyAlignment="1" applyProtection="1">
      <alignment horizontal="left" vertical="top" wrapText="1"/>
      <protection locked="0"/>
    </xf>
    <xf numFmtId="0" fontId="117" fillId="6" borderId="367" xfId="0" applyFont="1" applyFill="1" applyBorder="1" applyAlignment="1" applyProtection="1">
      <alignment horizontal="left" vertical="top"/>
      <protection locked="0"/>
    </xf>
    <xf numFmtId="0" fontId="117" fillId="6" borderId="363" xfId="0" applyFont="1" applyFill="1" applyBorder="1" applyAlignment="1" applyProtection="1">
      <alignment horizontal="left" vertical="top"/>
      <protection locked="0"/>
    </xf>
    <xf numFmtId="0" fontId="117" fillId="6" borderId="364" xfId="0" applyFont="1" applyFill="1" applyBorder="1" applyAlignment="1" applyProtection="1">
      <alignment horizontal="left" vertical="top"/>
      <protection locked="0"/>
    </xf>
    <xf numFmtId="2" fontId="117" fillId="0" borderId="368" xfId="0" applyNumberFormat="1" applyFont="1" applyBorder="1" applyAlignment="1" applyProtection="1">
      <alignment horizontal="left" vertical="top" wrapText="1"/>
      <protection locked="0"/>
    </xf>
    <xf numFmtId="1" fontId="140" fillId="2" borderId="369" xfId="0" applyNumberFormat="1" applyFont="1" applyFill="1" applyBorder="1" applyAlignment="1" applyProtection="1">
      <alignment horizontal="center" vertical="center" wrapText="1" readingOrder="1"/>
      <protection locked="0"/>
    </xf>
    <xf numFmtId="0" fontId="101" fillId="2" borderId="370" xfId="0" applyFont="1" applyFill="1" applyBorder="1" applyAlignment="1" applyProtection="1">
      <alignment horizontal="center" vertical="center" wrapText="1" readingOrder="1"/>
      <protection locked="0"/>
    </xf>
    <xf numFmtId="2" fontId="117" fillId="0" borderId="371" xfId="0" applyNumberFormat="1" applyFont="1" applyBorder="1" applyAlignment="1" applyProtection="1">
      <alignment horizontal="center" vertical="top" wrapText="1"/>
      <protection locked="0"/>
    </xf>
    <xf numFmtId="2" fontId="117" fillId="0" borderId="372" xfId="0" applyNumberFormat="1" applyFont="1" applyBorder="1" applyAlignment="1" applyProtection="1">
      <alignment horizontal="center" vertical="top" wrapText="1"/>
      <protection locked="0"/>
    </xf>
    <xf numFmtId="2" fontId="117" fillId="0" borderId="373" xfId="0" applyNumberFormat="1" applyFont="1" applyBorder="1" applyAlignment="1" applyProtection="1">
      <alignment horizontal="center" vertical="top" wrapText="1"/>
      <protection locked="0"/>
    </xf>
    <xf numFmtId="2" fontId="117" fillId="0" borderId="374" xfId="0" applyNumberFormat="1" applyFont="1" applyBorder="1" applyAlignment="1" applyProtection="1">
      <alignment horizontal="center" vertical="top" wrapText="1"/>
      <protection locked="0"/>
    </xf>
    <xf numFmtId="2" fontId="117" fillId="0" borderId="373" xfId="0" applyNumberFormat="1" applyFont="1" applyBorder="1" applyAlignment="1" applyProtection="1">
      <alignment vertical="top"/>
      <protection locked="0"/>
    </xf>
    <xf numFmtId="2" fontId="117" fillId="0" borderId="374" xfId="0" applyNumberFormat="1" applyFont="1" applyBorder="1" applyAlignment="1" applyProtection="1">
      <alignment vertical="top"/>
      <protection locked="0"/>
    </xf>
    <xf numFmtId="2" fontId="117" fillId="0" borderId="375" xfId="0" applyNumberFormat="1" applyFont="1" applyBorder="1" applyAlignment="1" applyProtection="1">
      <alignment horizontal="center" vertical="top" wrapText="1"/>
      <protection locked="0"/>
    </xf>
    <xf numFmtId="2" fontId="117" fillId="0" borderId="376" xfId="0" applyNumberFormat="1" applyFont="1" applyBorder="1" applyAlignment="1" applyProtection="1">
      <alignment horizontal="center" vertical="top" wrapText="1"/>
      <protection locked="0"/>
    </xf>
    <xf numFmtId="2" fontId="117" fillId="0" borderId="377" xfId="0" applyNumberFormat="1" applyFont="1" applyBorder="1" applyAlignment="1" applyProtection="1">
      <alignment horizontal="center" vertical="top" wrapText="1"/>
      <protection locked="0"/>
    </xf>
    <xf numFmtId="2" fontId="117" fillId="0" borderId="378" xfId="0" applyNumberFormat="1" applyFont="1" applyBorder="1" applyAlignment="1" applyProtection="1">
      <alignment horizontal="center" vertical="top" wrapText="1"/>
      <protection locked="0"/>
    </xf>
    <xf numFmtId="2" fontId="117" fillId="0" borderId="379" xfId="0" applyNumberFormat="1" applyFont="1" applyBorder="1" applyAlignment="1" applyProtection="1">
      <alignment horizontal="center" vertical="top" wrapText="1"/>
      <protection locked="0"/>
    </xf>
    <xf numFmtId="2" fontId="117" fillId="0" borderId="380" xfId="0" applyNumberFormat="1" applyFont="1" applyBorder="1" applyAlignment="1" applyProtection="1">
      <alignment horizontal="center" vertical="top" wrapText="1"/>
      <protection locked="0"/>
    </xf>
    <xf numFmtId="2" fontId="117" fillId="0" borderId="381" xfId="0" applyNumberFormat="1" applyFont="1" applyBorder="1" applyAlignment="1" applyProtection="1">
      <alignment horizontal="center" vertical="top" wrapText="1"/>
      <protection locked="0"/>
    </xf>
    <xf numFmtId="2" fontId="117" fillId="0" borderId="382" xfId="0" applyNumberFormat="1" applyFont="1" applyBorder="1" applyAlignment="1" applyProtection="1">
      <alignment horizontal="center" vertical="top" wrapText="1"/>
      <protection locked="0"/>
    </xf>
    <xf numFmtId="9" fontId="117" fillId="0" borderId="377" xfId="2" applyFont="1" applyBorder="1" applyAlignment="1" applyProtection="1">
      <alignment horizontal="center" vertical="top" wrapText="1"/>
      <protection locked="0"/>
    </xf>
    <xf numFmtId="9" fontId="117" fillId="0" borderId="378" xfId="2" applyFont="1" applyBorder="1" applyAlignment="1" applyProtection="1">
      <alignment horizontal="center" vertical="top" wrapText="1"/>
      <protection locked="0"/>
    </xf>
    <xf numFmtId="9" fontId="117" fillId="0" borderId="373" xfId="2" applyFont="1" applyBorder="1" applyAlignment="1" applyProtection="1">
      <alignment horizontal="center" vertical="top" wrapText="1"/>
      <protection locked="0"/>
    </xf>
    <xf numFmtId="9" fontId="117" fillId="0" borderId="374" xfId="2" applyFont="1" applyBorder="1" applyAlignment="1" applyProtection="1">
      <alignment horizontal="center" vertical="top" wrapText="1"/>
      <protection locked="0"/>
    </xf>
    <xf numFmtId="0" fontId="117" fillId="0" borderId="373" xfId="2" applyNumberFormat="1" applyFont="1" applyBorder="1" applyAlignment="1" applyProtection="1">
      <alignment horizontal="center" vertical="top" wrapText="1"/>
      <protection locked="0"/>
    </xf>
    <xf numFmtId="0" fontId="117" fillId="0" borderId="374" xfId="2" applyNumberFormat="1" applyFont="1" applyBorder="1" applyAlignment="1" applyProtection="1">
      <alignment horizontal="center" vertical="top" wrapText="1"/>
      <protection locked="0"/>
    </xf>
    <xf numFmtId="2" fontId="117" fillId="0" borderId="379" xfId="0" applyNumberFormat="1" applyFont="1" applyBorder="1" applyAlignment="1" applyProtection="1">
      <alignment vertical="top"/>
      <protection locked="0"/>
    </xf>
    <xf numFmtId="2" fontId="117" fillId="0" borderId="380" xfId="0" applyNumberFormat="1" applyFont="1" applyBorder="1" applyAlignment="1" applyProtection="1">
      <alignment vertical="top"/>
      <protection locked="0"/>
    </xf>
    <xf numFmtId="9" fontId="117" fillId="0" borderId="381" xfId="2" applyFont="1" applyBorder="1" applyAlignment="1" applyProtection="1">
      <alignment horizontal="center" vertical="top" wrapText="1"/>
      <protection locked="0"/>
    </xf>
    <xf numFmtId="9" fontId="117" fillId="0" borderId="382" xfId="2" applyFont="1" applyBorder="1" applyAlignment="1" applyProtection="1">
      <alignment horizontal="center" vertical="top" wrapText="1"/>
      <protection locked="0"/>
    </xf>
    <xf numFmtId="2" fontId="117" fillId="0" borderId="375" xfId="0" applyNumberFormat="1" applyFont="1" applyBorder="1" applyAlignment="1" applyProtection="1">
      <alignment vertical="top"/>
      <protection locked="0"/>
    </xf>
    <xf numFmtId="2" fontId="117" fillId="0" borderId="376" xfId="0" applyNumberFormat="1" applyFont="1" applyBorder="1" applyAlignment="1" applyProtection="1">
      <alignment vertical="top"/>
      <protection locked="0"/>
    </xf>
    <xf numFmtId="2" fontId="117" fillId="0" borderId="381" xfId="0" applyNumberFormat="1" applyFont="1" applyBorder="1" applyAlignment="1" applyProtection="1">
      <alignment vertical="top"/>
      <protection locked="0"/>
    </xf>
    <xf numFmtId="2" fontId="117" fillId="0" borderId="382" xfId="0" applyNumberFormat="1" applyFont="1" applyBorder="1" applyAlignment="1" applyProtection="1">
      <alignment vertical="top"/>
      <protection locked="0"/>
    </xf>
    <xf numFmtId="2" fontId="117" fillId="0" borderId="383" xfId="0" applyNumberFormat="1" applyFont="1" applyBorder="1" applyAlignment="1" applyProtection="1">
      <alignment horizontal="center" vertical="top" wrapText="1"/>
      <protection locked="0"/>
    </xf>
    <xf numFmtId="2" fontId="117" fillId="0" borderId="384" xfId="0" applyNumberFormat="1" applyFont="1" applyBorder="1" applyAlignment="1" applyProtection="1">
      <alignment horizontal="center" vertical="top" wrapText="1"/>
      <protection locked="0"/>
    </xf>
    <xf numFmtId="0" fontId="140" fillId="2" borderId="27" xfId="0" applyFont="1" applyFill="1" applyBorder="1" applyAlignment="1" applyProtection="1">
      <alignment horizontal="center" vertical="center" wrapText="1" readingOrder="1"/>
      <protection locked="0"/>
    </xf>
    <xf numFmtId="2" fontId="117" fillId="0" borderId="276" xfId="0" applyNumberFormat="1" applyFont="1" applyBorder="1" applyAlignment="1" applyProtection="1">
      <alignment horizontal="center" vertical="top" wrapText="1"/>
      <protection locked="0"/>
    </xf>
    <xf numFmtId="2" fontId="117" fillId="0" borderId="99" xfId="0" applyNumberFormat="1" applyFont="1" applyBorder="1" applyAlignment="1" applyProtection="1">
      <alignment horizontal="center" vertical="top" wrapText="1"/>
      <protection locked="0"/>
    </xf>
    <xf numFmtId="2" fontId="117" fillId="3" borderId="99" xfId="0" applyNumberFormat="1" applyFont="1" applyFill="1" applyBorder="1" applyAlignment="1" applyProtection="1">
      <alignment vertical="top"/>
      <protection locked="0"/>
    </xf>
    <xf numFmtId="2" fontId="117" fillId="0" borderId="108" xfId="0" applyNumberFormat="1" applyFont="1" applyBorder="1" applyAlignment="1" applyProtection="1">
      <alignment horizontal="center" vertical="top" wrapText="1"/>
      <protection locked="0"/>
    </xf>
    <xf numFmtId="2" fontId="117" fillId="0" borderId="280" xfId="0" applyNumberFormat="1" applyFont="1" applyBorder="1" applyAlignment="1" applyProtection="1">
      <alignment horizontal="center" vertical="top" wrapText="1"/>
      <protection locked="0"/>
    </xf>
    <xf numFmtId="2" fontId="117" fillId="0" borderId="282" xfId="0" applyNumberFormat="1" applyFont="1" applyBorder="1" applyAlignment="1" applyProtection="1">
      <alignment horizontal="center" vertical="top" wrapText="1"/>
      <protection locked="0"/>
    </xf>
    <xf numFmtId="2" fontId="117" fillId="0" borderId="90" xfId="0" applyNumberFormat="1" applyFont="1" applyBorder="1" applyAlignment="1" applyProtection="1">
      <alignment horizontal="center" vertical="top" wrapText="1"/>
      <protection locked="0"/>
    </xf>
    <xf numFmtId="2" fontId="117" fillId="3" borderId="280" xfId="0" applyNumberFormat="1" applyFont="1" applyFill="1" applyBorder="1" applyAlignment="1" applyProtection="1">
      <alignment vertical="top"/>
      <protection locked="0"/>
    </xf>
    <xf numFmtId="2" fontId="117" fillId="3" borderId="282" xfId="0" applyNumberFormat="1" applyFont="1" applyFill="1" applyBorder="1" applyAlignment="1" applyProtection="1">
      <alignment vertical="top"/>
      <protection locked="0"/>
    </xf>
    <xf numFmtId="2" fontId="117" fillId="3" borderId="90" xfId="0" applyNumberFormat="1" applyFont="1" applyFill="1" applyBorder="1" applyAlignment="1" applyProtection="1">
      <alignment vertical="top"/>
      <protection locked="0"/>
    </xf>
    <xf numFmtId="2" fontId="117" fillId="3" borderId="108" xfId="0" applyNumberFormat="1" applyFont="1" applyFill="1" applyBorder="1" applyAlignment="1" applyProtection="1">
      <alignment vertical="top"/>
      <protection locked="0"/>
    </xf>
    <xf numFmtId="2" fontId="117" fillId="0" borderId="277" xfId="0" applyNumberFormat="1" applyFont="1" applyBorder="1" applyAlignment="1" applyProtection="1">
      <alignment horizontal="center" vertical="top" wrapText="1"/>
      <protection locked="0"/>
    </xf>
    <xf numFmtId="0" fontId="140" fillId="2" borderId="318" xfId="0" applyFont="1" applyFill="1" applyBorder="1" applyAlignment="1" applyProtection="1">
      <alignment horizontal="center" vertical="center" wrapText="1" readingOrder="1"/>
      <protection locked="0"/>
    </xf>
    <xf numFmtId="2" fontId="117" fillId="0" borderId="98" xfId="0" applyNumberFormat="1" applyFont="1" applyBorder="1" applyAlignment="1" applyProtection="1">
      <alignment vertical="top"/>
      <protection locked="0"/>
    </xf>
    <xf numFmtId="2" fontId="117" fillId="0" borderId="247" xfId="0" applyNumberFormat="1" applyFont="1" applyBorder="1" applyAlignment="1" applyProtection="1">
      <alignment vertical="top"/>
      <protection locked="0"/>
    </xf>
    <xf numFmtId="2" fontId="117" fillId="0" borderId="243" xfId="0" applyNumberFormat="1" applyFont="1" applyBorder="1" applyAlignment="1" applyProtection="1">
      <alignment vertical="top"/>
      <protection locked="0"/>
    </xf>
    <xf numFmtId="2" fontId="117" fillId="0" borderId="89" xfId="0" applyNumberFormat="1" applyFont="1" applyBorder="1" applyAlignment="1" applyProtection="1">
      <alignment vertical="top"/>
      <protection locked="0"/>
    </xf>
    <xf numFmtId="2" fontId="117" fillId="0" borderId="107" xfId="0" applyNumberFormat="1" applyFont="1" applyBorder="1" applyAlignment="1" applyProtection="1">
      <alignment vertical="top"/>
      <protection locked="0"/>
    </xf>
    <xf numFmtId="0" fontId="140" fillId="2" borderId="79" xfId="0" applyFont="1" applyFill="1" applyBorder="1" applyAlignment="1" applyProtection="1">
      <alignment horizontal="left" vertical="center" wrapText="1" readingOrder="1"/>
      <protection locked="0"/>
    </xf>
    <xf numFmtId="0" fontId="140" fillId="2" borderId="193" xfId="0" applyFont="1" applyFill="1" applyBorder="1" applyAlignment="1" applyProtection="1">
      <alignment horizontal="left" vertical="center" wrapText="1" readingOrder="1"/>
      <protection locked="0"/>
    </xf>
    <xf numFmtId="2" fontId="117" fillId="0" borderId="109" xfId="0" applyNumberFormat="1" applyFont="1" applyBorder="1" applyAlignment="1" applyProtection="1">
      <alignment horizontal="center" vertical="top" wrapText="1"/>
      <protection locked="0"/>
    </xf>
    <xf numFmtId="2" fontId="117" fillId="0" borderId="111" xfId="0" applyNumberFormat="1" applyFont="1" applyBorder="1" applyAlignment="1" applyProtection="1">
      <alignment horizontal="center" vertical="top" wrapText="1"/>
      <protection locked="0"/>
    </xf>
    <xf numFmtId="2" fontId="117" fillId="0" borderId="91" xfId="0" applyNumberFormat="1" applyFont="1" applyBorder="1" applyAlignment="1" applyProtection="1">
      <alignment horizontal="center" vertical="top" wrapText="1"/>
      <protection locked="0"/>
    </xf>
    <xf numFmtId="2" fontId="117" fillId="0" borderId="93" xfId="0" applyNumberFormat="1" applyFont="1" applyBorder="1" applyAlignment="1" applyProtection="1">
      <alignment horizontal="center" vertical="top" wrapText="1"/>
      <protection locked="0"/>
    </xf>
    <xf numFmtId="2" fontId="117" fillId="0" borderId="91" xfId="0" applyNumberFormat="1" applyFont="1" applyBorder="1" applyAlignment="1" applyProtection="1">
      <alignment vertical="top"/>
      <protection locked="0"/>
    </xf>
    <xf numFmtId="2" fontId="117" fillId="0" borderId="93" xfId="0" applyNumberFormat="1" applyFont="1" applyBorder="1" applyAlignment="1" applyProtection="1">
      <alignment vertical="top"/>
      <protection locked="0"/>
    </xf>
    <xf numFmtId="2" fontId="117" fillId="0" borderId="103" xfId="0" applyNumberFormat="1" applyFont="1" applyBorder="1" applyAlignment="1" applyProtection="1">
      <alignment horizontal="center" vertical="top" wrapText="1"/>
      <protection locked="0"/>
    </xf>
    <xf numFmtId="2" fontId="117" fillId="0" borderId="102" xfId="0" applyNumberFormat="1" applyFont="1" applyBorder="1" applyAlignment="1" applyProtection="1">
      <alignment horizontal="center" vertical="top" wrapText="1"/>
      <protection locked="0"/>
    </xf>
    <xf numFmtId="2" fontId="117" fillId="0" borderId="158" xfId="0" applyNumberFormat="1" applyFont="1" applyBorder="1" applyAlignment="1" applyProtection="1">
      <alignment horizontal="center" vertical="top" wrapText="1"/>
      <protection locked="0"/>
    </xf>
    <xf numFmtId="2" fontId="117" fillId="0" borderId="162" xfId="0" applyNumberFormat="1" applyFont="1" applyBorder="1" applyAlignment="1" applyProtection="1">
      <alignment horizontal="center" vertical="top" wrapText="1"/>
      <protection locked="0"/>
    </xf>
    <xf numFmtId="2" fontId="117" fillId="0" borderId="144" xfId="0" applyNumberFormat="1" applyFont="1" applyBorder="1" applyAlignment="1" applyProtection="1">
      <alignment horizontal="center" vertical="top" wrapText="1"/>
      <protection locked="0"/>
    </xf>
    <xf numFmtId="2" fontId="117" fillId="0" borderId="148" xfId="0" applyNumberFormat="1" applyFont="1" applyBorder="1" applyAlignment="1" applyProtection="1">
      <alignment horizontal="center" vertical="top" wrapText="1"/>
      <protection locked="0"/>
    </xf>
    <xf numFmtId="2" fontId="117" fillId="0" borderId="82" xfId="0" applyNumberFormat="1" applyFont="1" applyBorder="1" applyAlignment="1" applyProtection="1">
      <alignment horizontal="center" vertical="top" wrapText="1"/>
      <protection locked="0"/>
    </xf>
    <xf numFmtId="2" fontId="117" fillId="0" borderId="84" xfId="0" applyNumberFormat="1" applyFont="1" applyBorder="1" applyAlignment="1" applyProtection="1">
      <alignment horizontal="center" vertical="top" wrapText="1"/>
      <protection locked="0"/>
    </xf>
    <xf numFmtId="2" fontId="117" fillId="0" borderId="158" xfId="0" applyNumberFormat="1" applyFont="1" applyBorder="1" applyAlignment="1" applyProtection="1">
      <alignment vertical="top"/>
      <protection locked="0"/>
    </xf>
    <xf numFmtId="2" fontId="117" fillId="0" borderId="162" xfId="0" applyNumberFormat="1" applyFont="1" applyBorder="1" applyAlignment="1" applyProtection="1">
      <alignment vertical="top"/>
      <protection locked="0"/>
    </xf>
    <xf numFmtId="2" fontId="117" fillId="0" borderId="91" xfId="0" applyNumberFormat="1" applyFont="1" applyBorder="1" applyAlignment="1" applyProtection="1">
      <alignment vertical="top" wrapText="1"/>
      <protection locked="0"/>
    </xf>
    <xf numFmtId="2" fontId="117" fillId="0" borderId="144" xfId="0" applyNumberFormat="1" applyFont="1" applyBorder="1" applyAlignment="1" applyProtection="1">
      <alignment vertical="top"/>
      <protection locked="0"/>
    </xf>
    <xf numFmtId="2" fontId="117" fillId="0" borderId="148" xfId="0" applyNumberFormat="1" applyFont="1" applyBorder="1" applyAlignment="1" applyProtection="1">
      <alignment vertical="top"/>
      <protection locked="0"/>
    </xf>
    <xf numFmtId="2" fontId="117" fillId="0" borderId="82" xfId="0" applyNumberFormat="1" applyFont="1" applyBorder="1" applyAlignment="1" applyProtection="1">
      <alignment vertical="top"/>
      <protection locked="0"/>
    </xf>
    <xf numFmtId="2" fontId="117" fillId="0" borderId="84" xfId="0" applyNumberFormat="1" applyFont="1" applyBorder="1" applyAlignment="1" applyProtection="1">
      <alignment vertical="top"/>
      <protection locked="0"/>
    </xf>
    <xf numFmtId="2" fontId="117" fillId="0" borderId="103" xfId="0" applyNumberFormat="1" applyFont="1" applyBorder="1" applyAlignment="1" applyProtection="1">
      <alignment vertical="top"/>
      <protection locked="0"/>
    </xf>
    <xf numFmtId="2" fontId="117" fillId="0" borderId="102" xfId="0" applyNumberFormat="1" applyFont="1" applyBorder="1" applyAlignment="1" applyProtection="1">
      <alignment vertical="top"/>
      <protection locked="0"/>
    </xf>
    <xf numFmtId="2" fontId="117" fillId="0" borderId="100" xfId="0" applyNumberFormat="1" applyFont="1" applyBorder="1" applyAlignment="1" applyProtection="1">
      <alignment horizontal="center" vertical="top" wrapText="1"/>
      <protection locked="0"/>
    </xf>
    <xf numFmtId="2" fontId="117" fillId="0" borderId="116" xfId="0" applyNumberFormat="1" applyFont="1" applyBorder="1" applyAlignment="1" applyProtection="1">
      <alignment horizontal="center" vertical="top" wrapText="1"/>
      <protection locked="0"/>
    </xf>
    <xf numFmtId="0" fontId="140" fillId="2" borderId="7" xfId="0" applyFont="1" applyFill="1" applyBorder="1" applyAlignment="1">
      <alignment horizontal="center" vertical="center" wrapText="1" readingOrder="1"/>
    </xf>
    <xf numFmtId="0" fontId="140" fillId="0" borderId="311" xfId="0" applyFont="1" applyBorder="1" applyAlignment="1">
      <alignment horizontal="center" vertical="top" wrapText="1"/>
    </xf>
    <xf numFmtId="0" fontId="140" fillId="0" borderId="95" xfId="0" applyFont="1" applyBorder="1" applyAlignment="1">
      <alignment horizontal="center" vertical="top" wrapText="1"/>
    </xf>
    <xf numFmtId="0" fontId="140" fillId="0" borderId="309" xfId="0" applyFont="1" applyBorder="1" applyAlignment="1">
      <alignment horizontal="center" vertical="top" wrapText="1"/>
    </xf>
    <xf numFmtId="0" fontId="140" fillId="0" borderId="95" xfId="0" applyFont="1" applyBorder="1" applyAlignment="1">
      <alignment horizontal="left" vertical="top" wrapText="1"/>
    </xf>
    <xf numFmtId="9" fontId="117" fillId="0" borderId="95" xfId="0" applyNumberFormat="1" applyFont="1" applyBorder="1" applyAlignment="1">
      <alignment horizontal="center" vertical="top"/>
    </xf>
    <xf numFmtId="2" fontId="117" fillId="0" borderId="309" xfId="0" applyNumberFormat="1" applyFont="1" applyBorder="1" applyAlignment="1">
      <alignment horizontal="center" vertical="top"/>
    </xf>
    <xf numFmtId="0" fontId="140" fillId="0" borderId="332" xfId="0" applyFont="1" applyBorder="1" applyAlignment="1">
      <alignment horizontal="center" vertical="top" wrapText="1"/>
    </xf>
    <xf numFmtId="2" fontId="117" fillId="0" borderId="329" xfId="0" applyNumberFormat="1" applyFont="1" applyBorder="1" applyAlignment="1">
      <alignment horizontal="center" vertical="top"/>
    </xf>
    <xf numFmtId="0" fontId="140" fillId="0" borderId="86" xfId="0" applyFont="1" applyBorder="1" applyAlignment="1">
      <alignment horizontal="center" vertical="top" wrapText="1"/>
    </xf>
    <xf numFmtId="2" fontId="117" fillId="0" borderId="287" xfId="0" applyNumberFormat="1" applyFont="1" applyBorder="1" applyAlignment="1">
      <alignment horizontal="center" vertical="top"/>
    </xf>
    <xf numFmtId="1" fontId="140" fillId="2" borderId="385" xfId="0" applyNumberFormat="1" applyFont="1" applyFill="1" applyBorder="1" applyAlignment="1" applyProtection="1">
      <alignment horizontal="center" vertical="center" wrapText="1" readingOrder="1"/>
      <protection locked="0"/>
    </xf>
    <xf numFmtId="9" fontId="117" fillId="0" borderId="386" xfId="2" applyFont="1" applyBorder="1" applyAlignment="1">
      <alignment horizontal="left" vertical="top" wrapText="1"/>
    </xf>
    <xf numFmtId="9" fontId="117" fillId="0" borderId="358" xfId="2" applyFont="1" applyBorder="1" applyAlignment="1">
      <alignment horizontal="left" vertical="top" wrapText="1"/>
    </xf>
    <xf numFmtId="9" fontId="117" fillId="0" borderId="387" xfId="2" applyFont="1" applyBorder="1" applyAlignment="1">
      <alignment horizontal="left" vertical="top" wrapText="1"/>
    </xf>
    <xf numFmtId="1" fontId="117" fillId="0" borderId="358" xfId="0" applyNumberFormat="1" applyFont="1" applyBorder="1" applyAlignment="1">
      <alignment horizontal="left" vertical="top" wrapText="1"/>
    </xf>
    <xf numFmtId="9" fontId="117" fillId="0" borderId="358" xfId="2" applyFont="1" applyBorder="1" applyAlignment="1" applyProtection="1">
      <alignment horizontal="left" vertical="top" wrapText="1"/>
      <protection locked="0"/>
    </xf>
    <xf numFmtId="9" fontId="117" fillId="0" borderId="388" xfId="2" applyFont="1" applyBorder="1" applyAlignment="1">
      <alignment horizontal="left" vertical="top" wrapText="1"/>
    </xf>
    <xf numFmtId="9" fontId="117" fillId="0" borderId="389" xfId="2" applyFont="1" applyBorder="1" applyAlignment="1" applyProtection="1">
      <alignment horizontal="left" vertical="top" wrapText="1"/>
      <protection locked="0"/>
    </xf>
    <xf numFmtId="9" fontId="117" fillId="0" borderId="390" xfId="2" applyFont="1" applyBorder="1" applyAlignment="1">
      <alignment horizontal="left" vertical="top" wrapText="1"/>
    </xf>
    <xf numFmtId="9" fontId="117" fillId="0" borderId="389" xfId="2" applyFont="1" applyBorder="1" applyAlignment="1">
      <alignment horizontal="left" vertical="top" wrapText="1"/>
    </xf>
    <xf numFmtId="0" fontId="117" fillId="6" borderId="390" xfId="0" applyFont="1" applyFill="1" applyBorder="1" applyAlignment="1">
      <alignment horizontal="left" vertical="top"/>
    </xf>
    <xf numFmtId="0" fontId="117" fillId="6" borderId="358" xfId="0" applyFont="1" applyFill="1" applyBorder="1" applyAlignment="1">
      <alignment horizontal="left" vertical="top"/>
    </xf>
    <xf numFmtId="0" fontId="117" fillId="6" borderId="387" xfId="0" applyFont="1" applyFill="1" applyBorder="1" applyAlignment="1">
      <alignment horizontal="left" vertical="top"/>
    </xf>
    <xf numFmtId="9" fontId="117" fillId="0" borderId="388" xfId="2" applyFont="1" applyBorder="1" applyAlignment="1" applyProtection="1">
      <alignment horizontal="left" vertical="top" wrapText="1"/>
      <protection locked="0"/>
    </xf>
    <xf numFmtId="9" fontId="117" fillId="0" borderId="387" xfId="2" applyFont="1" applyBorder="1" applyAlignment="1" applyProtection="1">
      <alignment horizontal="left" vertical="top" wrapText="1"/>
      <protection locked="0"/>
    </xf>
    <xf numFmtId="9" fontId="117" fillId="0" borderId="391" xfId="2" applyFont="1" applyBorder="1" applyAlignment="1">
      <alignment horizontal="left" vertical="top" wrapText="1"/>
    </xf>
    <xf numFmtId="0" fontId="140" fillId="2" borderId="194" xfId="0" applyFont="1" applyFill="1" applyBorder="1" applyAlignment="1">
      <alignment horizontal="center" vertical="center" wrapText="1" readingOrder="1"/>
    </xf>
    <xf numFmtId="167" fontId="117" fillId="0" borderId="272" xfId="0" applyNumberFormat="1" applyFont="1" applyBorder="1" applyAlignment="1">
      <alignment horizontal="center" vertical="top"/>
    </xf>
    <xf numFmtId="167" fontId="104" fillId="0" borderId="273" xfId="0" applyNumberFormat="1" applyFont="1" applyBorder="1" applyAlignment="1">
      <alignment horizontal="center" vertical="top"/>
    </xf>
    <xf numFmtId="167" fontId="104" fillId="0" borderId="278" xfId="0" applyNumberFormat="1" applyFont="1" applyBorder="1" applyAlignment="1">
      <alignment horizontal="center" vertical="top"/>
    </xf>
    <xf numFmtId="167" fontId="117" fillId="0" borderId="279" xfId="0" applyNumberFormat="1" applyFont="1" applyBorder="1" applyAlignment="1">
      <alignment horizontal="center" vertical="top"/>
    </xf>
    <xf numFmtId="167" fontId="104" fillId="0" borderId="281" xfId="0" applyNumberFormat="1" applyFont="1" applyBorder="1" applyAlignment="1">
      <alignment horizontal="center" vertical="top"/>
    </xf>
    <xf numFmtId="167" fontId="117" fillId="0" borderId="283" xfId="0" applyNumberFormat="1" applyFont="1" applyBorder="1" applyAlignment="1">
      <alignment horizontal="center" vertical="top"/>
    </xf>
    <xf numFmtId="167" fontId="104" fillId="0" borderId="274" xfId="0" applyNumberFormat="1" applyFont="1" applyBorder="1" applyAlignment="1">
      <alignment horizontal="center" vertical="top"/>
    </xf>
    <xf numFmtId="0" fontId="130" fillId="0" borderId="32" xfId="0" applyFont="1" applyBorder="1" applyAlignment="1">
      <alignment horizontal="center" vertical="top" wrapText="1" readingOrder="1"/>
    </xf>
    <xf numFmtId="0" fontId="32" fillId="0" borderId="32" xfId="0" applyFont="1" applyBorder="1" applyAlignment="1">
      <alignment horizontal="left" vertical="top" wrapText="1" readingOrder="1"/>
    </xf>
    <xf numFmtId="0" fontId="0" fillId="0" borderId="32" xfId="0" applyBorder="1" applyAlignment="1">
      <alignment horizontal="center" vertical="top" wrapText="1"/>
    </xf>
    <xf numFmtId="0" fontId="32" fillId="0" borderId="32" xfId="0" applyFont="1" applyBorder="1" applyAlignment="1">
      <alignment horizontal="center" vertical="top" wrapText="1" readingOrder="1"/>
    </xf>
    <xf numFmtId="3" fontId="0" fillId="0" borderId="32" xfId="0" applyNumberFormat="1" applyBorder="1" applyAlignment="1">
      <alignment horizontal="center" vertical="top" wrapText="1"/>
    </xf>
    <xf numFmtId="167" fontId="0" fillId="0" borderId="311" xfId="0" applyNumberFormat="1" applyBorder="1" applyAlignment="1">
      <alignment horizontal="center" vertical="top"/>
    </xf>
    <xf numFmtId="0" fontId="130" fillId="0" borderId="94" xfId="0" applyFont="1" applyBorder="1" applyAlignment="1">
      <alignment horizontal="center" vertical="top" wrapText="1" readingOrder="1"/>
    </xf>
    <xf numFmtId="0" fontId="32" fillId="0" borderId="94" xfId="0" applyFont="1" applyBorder="1" applyAlignment="1">
      <alignment horizontal="left" vertical="top" wrapText="1" readingOrder="1"/>
    </xf>
    <xf numFmtId="0" fontId="32" fillId="0" borderId="94" xfId="0" applyFont="1" applyBorder="1" applyAlignment="1">
      <alignment horizontal="center" vertical="top" wrapText="1" readingOrder="1"/>
    </xf>
    <xf numFmtId="9" fontId="0" fillId="0" borderId="94" xfId="0" applyNumberFormat="1" applyBorder="1" applyAlignment="1">
      <alignment horizontal="center" vertical="top" wrapText="1"/>
    </xf>
    <xf numFmtId="2" fontId="0" fillId="0" borderId="94" xfId="0" applyNumberFormat="1" applyBorder="1" applyAlignment="1" applyProtection="1">
      <alignment vertical="top"/>
      <protection locked="0"/>
    </xf>
    <xf numFmtId="9" fontId="0" fillId="0" borderId="94" xfId="0" applyNumberFormat="1" applyBorder="1" applyAlignment="1">
      <alignment horizontal="center" vertical="top"/>
    </xf>
    <xf numFmtId="3" fontId="0" fillId="0" borderId="94" xfId="0" applyNumberFormat="1" applyBorder="1" applyAlignment="1">
      <alignment horizontal="center" vertical="top"/>
    </xf>
    <xf numFmtId="0" fontId="33" fillId="0" borderId="94" xfId="0" applyFont="1" applyBorder="1" applyAlignment="1">
      <alignment horizontal="left" vertical="top" wrapText="1" readingOrder="1"/>
    </xf>
    <xf numFmtId="0" fontId="33" fillId="0" borderId="94" xfId="0" applyFont="1" applyBorder="1" applyAlignment="1">
      <alignment horizontal="center" vertical="top" wrapText="1" readingOrder="1"/>
    </xf>
    <xf numFmtId="0" fontId="0" fillId="0" borderId="94" xfId="0" applyBorder="1" applyAlignment="1">
      <alignment horizontal="center" vertical="top"/>
    </xf>
    <xf numFmtId="0" fontId="111" fillId="0" borderId="94" xfId="0" applyFont="1" applyBorder="1" applyAlignment="1">
      <alignment horizontal="center" vertical="top" wrapText="1" readingOrder="1"/>
    </xf>
    <xf numFmtId="0" fontId="112" fillId="0" borderId="94" xfId="0" applyFont="1" applyBorder="1" applyAlignment="1">
      <alignment horizontal="left" vertical="top" wrapText="1" readingOrder="1"/>
    </xf>
    <xf numFmtId="0" fontId="1" fillId="0" borderId="94" xfId="0" quotePrefix="1" applyFont="1" applyBorder="1" applyAlignment="1">
      <alignment horizontal="center" vertical="top" wrapText="1"/>
    </xf>
    <xf numFmtId="0" fontId="112" fillId="0" borderId="94" xfId="0" applyFont="1" applyBorder="1" applyAlignment="1">
      <alignment horizontal="center" vertical="top" wrapText="1" readingOrder="1"/>
    </xf>
    <xf numFmtId="2" fontId="1" fillId="0" borderId="94" xfId="0" applyNumberFormat="1" applyFont="1" applyBorder="1" applyAlignment="1" applyProtection="1">
      <alignment vertical="top"/>
      <protection locked="0"/>
    </xf>
    <xf numFmtId="0" fontId="111" fillId="0" borderId="140" xfId="0" applyFont="1" applyBorder="1" applyAlignment="1">
      <alignment horizontal="center" vertical="top" wrapText="1" readingOrder="1"/>
    </xf>
    <xf numFmtId="0" fontId="112" fillId="3" borderId="140" xfId="0" applyFont="1" applyFill="1" applyBorder="1" applyAlignment="1">
      <alignment horizontal="left" vertical="top" wrapText="1" readingOrder="1"/>
    </xf>
    <xf numFmtId="0" fontId="112" fillId="0" borderId="140" xfId="0" applyFont="1" applyBorder="1" applyAlignment="1">
      <alignment horizontal="center" vertical="top" wrapText="1" readingOrder="1"/>
    </xf>
    <xf numFmtId="3" fontId="1" fillId="0" borderId="140" xfId="0" applyNumberFormat="1" applyFont="1" applyBorder="1" applyAlignment="1">
      <alignment horizontal="center" vertical="top" wrapText="1"/>
    </xf>
    <xf numFmtId="2" fontId="1" fillId="0" borderId="140" xfId="0" applyNumberFormat="1" applyFont="1" applyBorder="1" applyAlignment="1" applyProtection="1">
      <alignment vertical="top"/>
      <protection locked="0"/>
    </xf>
    <xf numFmtId="0" fontId="108" fillId="2" borderId="7" xfId="0" applyFont="1" applyFill="1" applyBorder="1" applyAlignment="1" applyProtection="1">
      <alignment horizontal="center" vertical="center" wrapText="1" readingOrder="1"/>
      <protection locked="0"/>
    </xf>
    <xf numFmtId="0" fontId="108" fillId="2" borderId="27" xfId="0" applyFont="1" applyFill="1" applyBorder="1" applyAlignment="1" applyProtection="1">
      <alignment horizontal="center" vertical="center" wrapText="1" readingOrder="1"/>
      <protection locked="0"/>
    </xf>
    <xf numFmtId="2" fontId="0" fillId="3" borderId="276" xfId="0" applyNumberFormat="1" applyFill="1" applyBorder="1" applyAlignment="1" applyProtection="1">
      <alignment vertical="top"/>
      <protection locked="0"/>
    </xf>
    <xf numFmtId="2" fontId="0" fillId="3" borderId="99" xfId="0" applyNumberFormat="1" applyFill="1" applyBorder="1" applyAlignment="1" applyProtection="1">
      <alignment vertical="top"/>
      <protection locked="0"/>
    </xf>
    <xf numFmtId="0" fontId="108" fillId="2" borderId="318" xfId="0" applyFont="1" applyFill="1" applyBorder="1" applyAlignment="1" applyProtection="1">
      <alignment horizontal="center" vertical="center" wrapText="1" readingOrder="1"/>
      <protection locked="0"/>
    </xf>
    <xf numFmtId="2" fontId="0" fillId="0" borderId="98" xfId="0" applyNumberFormat="1" applyBorder="1" applyAlignment="1" applyProtection="1">
      <alignment vertical="top"/>
      <protection locked="0"/>
    </xf>
    <xf numFmtId="2" fontId="1" fillId="0" borderId="98" xfId="0" applyNumberFormat="1" applyFont="1" applyBorder="1" applyAlignment="1" applyProtection="1">
      <alignment vertical="top"/>
      <protection locked="0"/>
    </xf>
    <xf numFmtId="2" fontId="1" fillId="0" borderId="243" xfId="0" applyNumberFormat="1" applyFont="1" applyBorder="1" applyAlignment="1" applyProtection="1">
      <alignment vertical="top"/>
      <protection locked="0"/>
    </xf>
    <xf numFmtId="2" fontId="0" fillId="0" borderId="134" xfId="0" applyNumberFormat="1" applyBorder="1" applyAlignment="1" applyProtection="1">
      <alignment vertical="top"/>
      <protection locked="0"/>
    </xf>
    <xf numFmtId="2" fontId="0" fillId="0" borderId="136" xfId="0" applyNumberFormat="1" applyBorder="1" applyAlignment="1" applyProtection="1">
      <alignment vertical="top"/>
      <protection locked="0"/>
    </xf>
    <xf numFmtId="2" fontId="1" fillId="0" borderId="136" xfId="0" applyNumberFormat="1" applyFont="1" applyBorder="1" applyAlignment="1" applyProtection="1">
      <alignment vertical="top"/>
      <protection locked="0"/>
    </xf>
    <xf numFmtId="2" fontId="1" fillId="0" borderId="141" xfId="0" applyNumberFormat="1" applyFont="1" applyBorder="1" applyAlignment="1" applyProtection="1">
      <alignment vertical="top"/>
      <protection locked="0"/>
    </xf>
    <xf numFmtId="2" fontId="1" fillId="0" borderId="143" xfId="0" applyNumberFormat="1" applyFont="1" applyBorder="1" applyAlignment="1" applyProtection="1">
      <alignment vertical="top"/>
      <protection locked="0"/>
    </xf>
    <xf numFmtId="0" fontId="108" fillId="2" borderId="63" xfId="0" applyFont="1" applyFill="1" applyBorder="1" applyAlignment="1">
      <alignment horizontal="center" vertical="center" wrapText="1" readingOrder="1"/>
    </xf>
    <xf numFmtId="0" fontId="108" fillId="2" borderId="64" xfId="0" applyFont="1" applyFill="1" applyBorder="1" applyAlignment="1">
      <alignment horizontal="center" vertical="center" wrapText="1" readingOrder="1"/>
    </xf>
    <xf numFmtId="0" fontId="5" fillId="0" borderId="231" xfId="0" applyFont="1" applyBorder="1" applyAlignment="1">
      <alignment horizontal="center" vertical="top" wrapText="1" readingOrder="1"/>
    </xf>
    <xf numFmtId="0" fontId="5" fillId="0" borderId="230" xfId="0" applyFont="1" applyBorder="1" applyAlignment="1">
      <alignment horizontal="center" vertical="top" wrapText="1" readingOrder="1"/>
    </xf>
    <xf numFmtId="0" fontId="5" fillId="0" borderId="134" xfId="0" applyFont="1" applyBorder="1" applyAlignment="1">
      <alignment horizontal="center" vertical="top" wrapText="1" readingOrder="1"/>
    </xf>
    <xf numFmtId="0" fontId="5" fillId="0" borderId="136" xfId="0" applyFont="1" applyBorder="1" applyAlignment="1">
      <alignment horizontal="center" vertical="top" wrapText="1" readingOrder="1"/>
    </xf>
    <xf numFmtId="0" fontId="128" fillId="0" borderId="134" xfId="0" applyFont="1" applyBorder="1" applyAlignment="1">
      <alignment horizontal="center" vertical="top" wrapText="1" readingOrder="1"/>
    </xf>
    <xf numFmtId="0" fontId="109" fillId="0" borderId="136" xfId="0" applyFont="1" applyBorder="1" applyAlignment="1">
      <alignment horizontal="center" vertical="top" wrapText="1" readingOrder="1"/>
    </xf>
    <xf numFmtId="0" fontId="128" fillId="0" borderId="141" xfId="0" applyFont="1" applyBorder="1" applyAlignment="1">
      <alignment horizontal="center" vertical="top" wrapText="1" readingOrder="1"/>
    </xf>
    <xf numFmtId="0" fontId="109" fillId="0" borderId="143" xfId="0" applyFont="1" applyBorder="1" applyAlignment="1">
      <alignment horizontal="center" vertical="top" wrapText="1" readingOrder="1"/>
    </xf>
    <xf numFmtId="167" fontId="143" fillId="0" borderId="95" xfId="0" applyNumberFormat="1" applyFont="1" applyBorder="1" applyAlignment="1">
      <alignment horizontal="center" vertical="top"/>
    </xf>
    <xf numFmtId="167" fontId="143" fillId="0" borderId="95" xfId="0" applyNumberFormat="1" applyFont="1" applyBorder="1" applyAlignment="1" applyProtection="1">
      <alignment horizontal="center" vertical="top"/>
      <protection locked="0"/>
    </xf>
    <xf numFmtId="167" fontId="143" fillId="0" borderId="329" xfId="0" applyNumberFormat="1" applyFont="1" applyBorder="1" applyAlignment="1" applyProtection="1">
      <alignment horizontal="center" vertical="top"/>
      <protection locked="0"/>
    </xf>
    <xf numFmtId="0" fontId="108" fillId="2" borderId="392" xfId="0" applyFont="1" applyFill="1" applyBorder="1" applyAlignment="1" applyProtection="1">
      <alignment horizontal="center" vertical="center" wrapText="1" readingOrder="1"/>
      <protection locked="0"/>
    </xf>
    <xf numFmtId="0" fontId="108" fillId="2" borderId="393" xfId="0" applyFont="1" applyFill="1" applyBorder="1" applyAlignment="1" applyProtection="1">
      <alignment horizontal="center" vertical="center" wrapText="1" readingOrder="1"/>
      <protection locked="0"/>
    </xf>
    <xf numFmtId="0" fontId="132" fillId="0" borderId="0" xfId="0" applyFont="1" applyAlignment="1" applyProtection="1">
      <alignment horizontal="center" vertical="center"/>
      <protection locked="0"/>
    </xf>
    <xf numFmtId="0" fontId="132" fillId="0" borderId="0" xfId="0" applyFont="1" applyAlignment="1">
      <alignment horizontal="center" vertical="center"/>
    </xf>
    <xf numFmtId="1" fontId="108" fillId="2" borderId="63" xfId="0" applyNumberFormat="1" applyFont="1" applyFill="1" applyBorder="1" applyAlignment="1" applyProtection="1">
      <alignment horizontal="center" vertical="center" wrapText="1" readingOrder="1"/>
      <protection locked="0"/>
    </xf>
    <xf numFmtId="0" fontId="108" fillId="2" borderId="69" xfId="0" applyFont="1" applyFill="1" applyBorder="1" applyAlignment="1" applyProtection="1">
      <alignment horizontal="center" vertical="center" wrapText="1" readingOrder="1"/>
      <protection locked="0"/>
    </xf>
    <xf numFmtId="1" fontId="108" fillId="2" borderId="69" xfId="0" applyNumberFormat="1" applyFont="1" applyFill="1" applyBorder="1" applyAlignment="1" applyProtection="1">
      <alignment horizontal="center" vertical="center" wrapText="1" readingOrder="1"/>
      <protection locked="0"/>
    </xf>
    <xf numFmtId="0" fontId="131" fillId="2" borderId="395" xfId="0" applyFont="1" applyFill="1" applyBorder="1" applyAlignment="1" applyProtection="1">
      <alignment horizontal="center" vertical="center" wrapText="1" readingOrder="1"/>
      <protection locked="0"/>
    </xf>
    <xf numFmtId="3" fontId="0" fillId="0" borderId="231" xfId="0" applyNumberFormat="1" applyBorder="1" applyAlignment="1">
      <alignment horizontal="center" vertical="top" wrapText="1"/>
    </xf>
    <xf numFmtId="3" fontId="0" fillId="0" borderId="229" xfId="0" applyNumberFormat="1" applyBorder="1" applyAlignment="1" applyProtection="1">
      <alignment horizontal="center" vertical="top" wrapText="1"/>
      <protection locked="0"/>
    </xf>
    <xf numFmtId="3" fontId="0" fillId="0" borderId="229" xfId="0" applyNumberFormat="1" applyBorder="1" applyAlignment="1" applyProtection="1">
      <alignment horizontal="center" vertical="top"/>
      <protection locked="0"/>
    </xf>
    <xf numFmtId="3" fontId="0" fillId="0" borderId="396" xfId="0" applyNumberFormat="1" applyBorder="1" applyAlignment="1" applyProtection="1">
      <alignment horizontal="center" vertical="top"/>
      <protection locked="0"/>
    </xf>
    <xf numFmtId="172" fontId="0" fillId="17" borderId="134" xfId="0" applyNumberFormat="1" applyFill="1" applyBorder="1" applyAlignment="1">
      <alignment horizontal="center" vertical="top" wrapText="1"/>
    </xf>
    <xf numFmtId="3" fontId="0" fillId="0" borderId="134" xfId="0" applyNumberFormat="1" applyBorder="1" applyAlignment="1">
      <alignment horizontal="center" vertical="top" wrapText="1"/>
    </xf>
    <xf numFmtId="3" fontId="0" fillId="0" borderId="135" xfId="0" applyNumberFormat="1" applyBorder="1" applyAlignment="1" applyProtection="1">
      <alignment horizontal="center" vertical="top" wrapText="1"/>
      <protection locked="0"/>
    </xf>
    <xf numFmtId="3" fontId="0" fillId="0" borderId="397" xfId="0" applyNumberFormat="1" applyBorder="1" applyAlignment="1" applyProtection="1">
      <alignment horizontal="center" vertical="top"/>
      <protection locked="0"/>
    </xf>
    <xf numFmtId="3" fontId="0" fillId="0" borderId="135" xfId="0" applyNumberFormat="1" applyBorder="1" applyAlignment="1" applyProtection="1">
      <alignment horizontal="center" vertical="top"/>
      <protection locked="0"/>
    </xf>
    <xf numFmtId="3" fontId="1" fillId="0" borderId="142" xfId="0" applyNumberFormat="1" applyFont="1" applyBorder="1" applyAlignment="1" applyProtection="1">
      <alignment horizontal="center" vertical="top" wrapText="1"/>
      <protection locked="0"/>
    </xf>
    <xf numFmtId="166" fontId="0" fillId="0" borderId="135" xfId="0" applyNumberFormat="1" applyBorder="1" applyAlignment="1" applyProtection="1">
      <alignment horizontal="center" vertical="top" wrapText="1"/>
      <protection locked="0"/>
    </xf>
    <xf numFmtId="166" fontId="0" fillId="0" borderId="397" xfId="0" applyNumberFormat="1" applyBorder="1" applyAlignment="1" applyProtection="1">
      <alignment horizontal="center" vertical="top"/>
      <protection locked="0"/>
    </xf>
    <xf numFmtId="3" fontId="0" fillId="0" borderId="134" xfId="1" applyNumberFormat="1" applyFont="1" applyBorder="1" applyAlignment="1">
      <alignment horizontal="center" vertical="top" wrapText="1"/>
    </xf>
    <xf numFmtId="3" fontId="0" fillId="0" borderId="135" xfId="1" applyNumberFormat="1" applyFont="1" applyBorder="1" applyAlignment="1" applyProtection="1">
      <alignment horizontal="center" vertical="top" wrapText="1"/>
      <protection locked="0"/>
    </xf>
    <xf numFmtId="3" fontId="0" fillId="0" borderId="397" xfId="1" applyNumberFormat="1" applyFont="1" applyBorder="1" applyAlignment="1" applyProtection="1">
      <alignment horizontal="center" vertical="top"/>
      <protection locked="0"/>
    </xf>
    <xf numFmtId="3" fontId="0" fillId="3" borderId="99" xfId="1" applyNumberFormat="1" applyFont="1" applyFill="1" applyBorder="1" applyAlignment="1" applyProtection="1">
      <alignment horizontal="center" vertical="top"/>
      <protection locked="0"/>
    </xf>
    <xf numFmtId="3" fontId="0" fillId="0" borderId="134" xfId="0" applyNumberFormat="1" applyBorder="1" applyAlignment="1" applyProtection="1">
      <alignment horizontal="center" vertical="top" wrapText="1"/>
      <protection locked="0"/>
    </xf>
    <xf numFmtId="3" fontId="0" fillId="3" borderId="99" xfId="0" applyNumberFormat="1" applyFill="1" applyBorder="1" applyAlignment="1" applyProtection="1">
      <alignment vertical="top"/>
      <protection locked="0"/>
    </xf>
    <xf numFmtId="176" fontId="0" fillId="0" borderId="135" xfId="0" applyNumberFormat="1" applyBorder="1" applyAlignment="1" applyProtection="1">
      <alignment horizontal="center" vertical="top" wrapText="1"/>
      <protection locked="0"/>
    </xf>
    <xf numFmtId="176" fontId="0" fillId="0" borderId="135" xfId="0" applyNumberFormat="1" applyBorder="1" applyAlignment="1" applyProtection="1">
      <alignment horizontal="center" vertical="top"/>
      <protection locked="0"/>
    </xf>
    <xf numFmtId="176" fontId="0" fillId="0" borderId="397" xfId="0" applyNumberFormat="1" applyBorder="1" applyAlignment="1" applyProtection="1">
      <alignment horizontal="center" vertical="top"/>
      <protection locked="0"/>
    </xf>
    <xf numFmtId="176" fontId="0" fillId="3" borderId="99" xfId="0" applyNumberFormat="1" applyFill="1" applyBorder="1" applyAlignment="1" applyProtection="1">
      <alignment vertical="top"/>
      <protection locked="0"/>
    </xf>
    <xf numFmtId="3" fontId="0" fillId="3" borderId="99" xfId="0" applyNumberFormat="1" applyFill="1" applyBorder="1" applyAlignment="1" applyProtection="1">
      <alignment horizontal="center" vertical="top"/>
      <protection locked="0"/>
    </xf>
    <xf numFmtId="166" fontId="0" fillId="17" borderId="134" xfId="0" applyNumberFormat="1" applyFill="1" applyBorder="1" applyAlignment="1">
      <alignment horizontal="center" vertical="top" wrapText="1"/>
    </xf>
    <xf numFmtId="4" fontId="0" fillId="0" borderId="94" xfId="0" applyNumberFormat="1" applyBorder="1" applyAlignment="1">
      <alignment horizontal="center" vertical="top"/>
    </xf>
    <xf numFmtId="4" fontId="0" fillId="0" borderId="134" xfId="0" applyNumberFormat="1" applyBorder="1" applyAlignment="1">
      <alignment horizontal="center" vertical="top" wrapText="1"/>
    </xf>
    <xf numFmtId="4" fontId="0" fillId="0" borderId="135" xfId="0" applyNumberFormat="1" applyBorder="1" applyAlignment="1" applyProtection="1">
      <alignment horizontal="center" vertical="top" wrapText="1"/>
      <protection locked="0"/>
    </xf>
    <xf numFmtId="4" fontId="0" fillId="0" borderId="135" xfId="0" applyNumberFormat="1" applyBorder="1" applyAlignment="1" applyProtection="1">
      <alignment horizontal="center" vertical="top"/>
      <protection locked="0"/>
    </xf>
    <xf numFmtId="4" fontId="0" fillId="0" borderId="397" xfId="0" applyNumberFormat="1" applyBorder="1" applyAlignment="1" applyProtection="1">
      <alignment horizontal="center" vertical="top"/>
      <protection locked="0"/>
    </xf>
    <xf numFmtId="4" fontId="0" fillId="3" borderId="99" xfId="0" applyNumberFormat="1" applyFill="1" applyBorder="1" applyAlignment="1" applyProtection="1">
      <alignment horizontal="center" vertical="top"/>
      <protection locked="0"/>
    </xf>
    <xf numFmtId="4" fontId="1" fillId="0" borderId="94" xfId="0" quotePrefix="1" applyNumberFormat="1" applyFont="1" applyBorder="1" applyAlignment="1">
      <alignment horizontal="center" vertical="top" wrapText="1"/>
    </xf>
    <xf numFmtId="4" fontId="1" fillId="0" borderId="135" xfId="0" applyNumberFormat="1" applyFont="1" applyBorder="1" applyAlignment="1" applyProtection="1">
      <alignment horizontal="center" vertical="top" wrapText="1"/>
      <protection locked="0"/>
    </xf>
    <xf numFmtId="4" fontId="143" fillId="3" borderId="99" xfId="0" applyNumberFormat="1" applyFont="1" applyFill="1" applyBorder="1" applyAlignment="1" applyProtection="1">
      <alignment horizontal="center" vertical="top"/>
      <protection locked="0"/>
    </xf>
    <xf numFmtId="2" fontId="1" fillId="0" borderId="24" xfId="0" applyNumberFormat="1" applyFont="1" applyBorder="1" applyAlignment="1" applyProtection="1">
      <alignment vertical="top"/>
      <protection locked="0"/>
    </xf>
    <xf numFmtId="0" fontId="41" fillId="0" borderId="231" xfId="0" applyFont="1" applyBorder="1" applyAlignment="1" applyProtection="1">
      <alignment horizontal="left" vertical="top" wrapText="1"/>
      <protection locked="0"/>
    </xf>
    <xf numFmtId="0" fontId="41" fillId="0" borderId="230" xfId="0" applyFont="1" applyBorder="1" applyAlignment="1" applyProtection="1">
      <alignment horizontal="left" vertical="top" wrapText="1"/>
      <protection locked="0"/>
    </xf>
    <xf numFmtId="0" fontId="41" fillId="0" borderId="114" xfId="0" applyFont="1" applyBorder="1" applyAlignment="1" applyProtection="1">
      <alignment horizontal="left" vertical="top" wrapText="1"/>
      <protection locked="0"/>
    </xf>
    <xf numFmtId="0" fontId="41" fillId="0" borderId="32" xfId="0" applyFont="1" applyBorder="1" applyAlignment="1" applyProtection="1">
      <alignment horizontal="left" vertical="top"/>
      <protection locked="0"/>
    </xf>
    <xf numFmtId="0" fontId="0" fillId="0" borderId="94" xfId="0" quotePrefix="1" applyBorder="1" applyAlignment="1">
      <alignment horizontal="center" vertical="top" wrapText="1"/>
    </xf>
    <xf numFmtId="166" fontId="0" fillId="0" borderId="135" xfId="0" applyNumberFormat="1" applyBorder="1" applyAlignment="1" applyProtection="1">
      <alignment horizontal="center" vertical="top"/>
      <protection locked="0"/>
    </xf>
    <xf numFmtId="166" fontId="0" fillId="0" borderId="134" xfId="2" applyNumberFormat="1" applyFont="1" applyBorder="1" applyAlignment="1">
      <alignment horizontal="center" vertical="top" wrapText="1"/>
    </xf>
    <xf numFmtId="166" fontId="0" fillId="0" borderId="135" xfId="2" applyNumberFormat="1" applyFont="1" applyBorder="1" applyAlignment="1" applyProtection="1">
      <alignment horizontal="center" vertical="top" wrapText="1"/>
      <protection locked="0"/>
    </xf>
    <xf numFmtId="2" fontId="0" fillId="0" borderId="134" xfId="0" quotePrefix="1" applyNumberFormat="1" applyBorder="1" applyAlignment="1" applyProtection="1">
      <alignment vertical="top" wrapText="1"/>
      <protection locked="0"/>
    </xf>
    <xf numFmtId="176" fontId="30" fillId="0" borderId="134" xfId="0" applyNumberFormat="1" applyFont="1" applyBorder="1" applyAlignment="1">
      <alignment horizontal="center" vertical="top"/>
    </xf>
    <xf numFmtId="166" fontId="0" fillId="0" borderId="397" xfId="0" applyNumberFormat="1" applyBorder="1" applyAlignment="1" applyProtection="1">
      <alignment horizontal="center" vertical="top" wrapText="1"/>
      <protection locked="0"/>
    </xf>
    <xf numFmtId="4" fontId="1" fillId="0" borderId="134" xfId="0" applyNumberFormat="1" applyFont="1" applyBorder="1" applyAlignment="1">
      <alignment horizontal="center" vertical="top" wrapText="1"/>
    </xf>
    <xf numFmtId="4" fontId="1" fillId="0" borderId="397" xfId="0" applyNumberFormat="1" applyFont="1" applyBorder="1" applyAlignment="1" applyProtection="1">
      <alignment horizontal="center" vertical="top" wrapText="1"/>
      <protection locked="0"/>
    </xf>
    <xf numFmtId="4" fontId="143" fillId="13" borderId="99" xfId="0" applyNumberFormat="1" applyFont="1" applyFill="1" applyBorder="1" applyAlignment="1" applyProtection="1">
      <alignment horizontal="center" vertical="top"/>
      <protection locked="0"/>
    </xf>
    <xf numFmtId="2" fontId="1" fillId="0" borderId="134" xfId="0" applyNumberFormat="1" applyFont="1" applyBorder="1" applyAlignment="1" applyProtection="1">
      <alignment vertical="top"/>
      <protection locked="0"/>
    </xf>
    <xf numFmtId="0" fontId="17" fillId="0" borderId="335" xfId="0" applyFont="1" applyBorder="1" applyAlignment="1">
      <alignment vertical="top" wrapText="1" readingOrder="1"/>
    </xf>
    <xf numFmtId="0" fontId="17" fillId="0" borderId="24" xfId="0" applyFont="1" applyBorder="1" applyAlignment="1">
      <alignment vertical="top" wrapText="1" readingOrder="1"/>
    </xf>
    <xf numFmtId="0" fontId="110" fillId="0" borderId="24" xfId="0" applyFont="1" applyBorder="1" applyAlignment="1">
      <alignment vertical="top" wrapText="1" readingOrder="1"/>
    </xf>
    <xf numFmtId="0" fontId="129" fillId="0" borderId="15" xfId="0" applyFont="1" applyBorder="1" applyAlignment="1">
      <alignment vertical="top" wrapText="1" readingOrder="1"/>
    </xf>
    <xf numFmtId="0" fontId="144" fillId="0" borderId="26" xfId="0" applyFont="1" applyBorder="1" applyAlignment="1">
      <alignment vertical="top" wrapText="1" readingOrder="1"/>
    </xf>
    <xf numFmtId="0" fontId="145" fillId="0" borderId="24" xfId="0" applyFont="1" applyBorder="1" applyAlignment="1">
      <alignment vertical="top" wrapText="1" readingOrder="1"/>
    </xf>
    <xf numFmtId="0" fontId="144" fillId="0" borderId="223" xfId="0" applyFont="1" applyBorder="1" applyAlignment="1">
      <alignment vertical="top" wrapText="1" readingOrder="1"/>
    </xf>
    <xf numFmtId="0" fontId="145" fillId="0" borderId="399" xfId="0" applyFont="1" applyBorder="1" applyAlignment="1">
      <alignment vertical="top" wrapText="1" readingOrder="1"/>
    </xf>
    <xf numFmtId="0" fontId="1" fillId="0" borderId="282" xfId="0" applyFont="1" applyBorder="1" applyAlignment="1">
      <alignment vertical="top"/>
    </xf>
    <xf numFmtId="167" fontId="143" fillId="0" borderId="329" xfId="0" applyNumberFormat="1" applyFont="1" applyBorder="1" applyAlignment="1">
      <alignment horizontal="center" vertical="top"/>
    </xf>
    <xf numFmtId="3" fontId="1" fillId="0" borderId="141" xfId="0" applyNumberFormat="1" applyFont="1" applyBorder="1" applyAlignment="1">
      <alignment horizontal="center" vertical="top" wrapText="1"/>
    </xf>
    <xf numFmtId="3" fontId="1" fillId="0" borderId="398" xfId="0" applyNumberFormat="1" applyFont="1" applyBorder="1" applyAlignment="1" applyProtection="1">
      <alignment horizontal="center" vertical="top"/>
      <protection locked="0"/>
    </xf>
    <xf numFmtId="3" fontId="143" fillId="13" borderId="282" xfId="0" applyNumberFormat="1" applyFont="1" applyFill="1" applyBorder="1" applyAlignment="1" applyProtection="1">
      <alignment horizontal="center" vertical="top"/>
      <protection locked="0"/>
    </xf>
    <xf numFmtId="2" fontId="0" fillId="0" borderId="154" xfId="0" applyNumberFormat="1" applyBorder="1" applyAlignment="1" applyProtection="1">
      <alignment vertical="top" wrapText="1"/>
      <protection locked="0"/>
    </xf>
    <xf numFmtId="2" fontId="0" fillId="0" borderId="156" xfId="0" quotePrefix="1" applyNumberFormat="1" applyBorder="1" applyAlignment="1" applyProtection="1">
      <alignment vertical="top" wrapText="1"/>
      <protection locked="0"/>
    </xf>
    <xf numFmtId="2" fontId="0" fillId="0" borderId="247" xfId="0" applyNumberFormat="1" applyBorder="1" applyAlignment="1" applyProtection="1">
      <alignment vertical="top" wrapText="1"/>
      <protection locked="0"/>
    </xf>
    <xf numFmtId="2" fontId="0" fillId="0" borderId="157" xfId="0" applyNumberFormat="1" applyBorder="1" applyAlignment="1" applyProtection="1">
      <alignment vertical="top"/>
      <protection locked="0"/>
    </xf>
    <xf numFmtId="169" fontId="143" fillId="3" borderId="99" xfId="0" applyNumberFormat="1" applyFont="1" applyFill="1" applyBorder="1" applyAlignment="1" applyProtection="1">
      <alignment horizontal="center" vertical="top"/>
      <protection locked="0"/>
    </xf>
    <xf numFmtId="3" fontId="143" fillId="3" borderId="99" xfId="1" applyNumberFormat="1" applyFont="1" applyFill="1" applyBorder="1" applyAlignment="1" applyProtection="1">
      <alignment horizontal="center" vertical="top"/>
      <protection locked="0"/>
    </xf>
    <xf numFmtId="3" fontId="143" fillId="3" borderId="99" xfId="0" applyNumberFormat="1" applyFont="1" applyFill="1" applyBorder="1" applyAlignment="1" applyProtection="1">
      <alignment horizontal="center" vertical="top"/>
      <protection locked="0"/>
    </xf>
    <xf numFmtId="2" fontId="0" fillId="0" borderId="134" xfId="0" applyNumberFormat="1" applyBorder="1" applyAlignment="1" applyProtection="1">
      <alignment vertical="top" wrapText="1"/>
      <protection locked="0"/>
    </xf>
    <xf numFmtId="2" fontId="0" fillId="0" borderId="136" xfId="0" applyNumberFormat="1" applyBorder="1" applyAlignment="1" applyProtection="1">
      <alignment vertical="top" wrapText="1"/>
      <protection locked="0"/>
    </xf>
    <xf numFmtId="2" fontId="0" fillId="0" borderId="136" xfId="0" quotePrefix="1" applyNumberFormat="1" applyBorder="1" applyAlignment="1" applyProtection="1">
      <alignment vertical="top" wrapText="1"/>
      <protection locked="0"/>
    </xf>
    <xf numFmtId="2" fontId="0" fillId="0" borderId="98" xfId="0" applyNumberFormat="1" applyBorder="1" applyAlignment="1" applyProtection="1">
      <alignment vertical="top" wrapText="1"/>
      <protection locked="0"/>
    </xf>
    <xf numFmtId="170" fontId="143" fillId="3" borderId="99" xfId="0" applyNumberFormat="1" applyFont="1" applyFill="1" applyBorder="1" applyAlignment="1" applyProtection="1">
      <alignment horizontal="center" vertical="top"/>
      <protection locked="0"/>
    </xf>
    <xf numFmtId="0" fontId="145" fillId="0" borderId="26" xfId="0" applyFont="1" applyBorder="1" applyAlignment="1">
      <alignment vertical="top" wrapText="1" readingOrder="1"/>
    </xf>
    <xf numFmtId="0" fontId="145" fillId="0" borderId="223" xfId="0" applyFont="1" applyBorder="1" applyAlignment="1">
      <alignment vertical="top" wrapText="1" readingOrder="1"/>
    </xf>
    <xf numFmtId="3" fontId="143" fillId="3" borderId="280" xfId="0" applyNumberFormat="1" applyFont="1" applyFill="1" applyBorder="1" applyAlignment="1" applyProtection="1">
      <alignment horizontal="center" vertical="top"/>
      <protection locked="0"/>
    </xf>
    <xf numFmtId="170" fontId="143" fillId="3" borderId="99" xfId="0" quotePrefix="1" applyNumberFormat="1" applyFont="1" applyFill="1" applyBorder="1" applyAlignment="1" applyProtection="1">
      <alignment horizontal="center" vertical="top"/>
      <protection locked="0"/>
    </xf>
    <xf numFmtId="176" fontId="143" fillId="3" borderId="99" xfId="0" applyNumberFormat="1" applyFont="1" applyFill="1" applyBorder="1" applyAlignment="1" applyProtection="1">
      <alignment horizontal="center" vertical="top"/>
      <protection locked="0"/>
    </xf>
    <xf numFmtId="0" fontId="146" fillId="0" borderId="154" xfId="0" applyFont="1" applyBorder="1" applyAlignment="1">
      <alignment horizontal="center" vertical="top" wrapText="1" readingOrder="1"/>
    </xf>
    <xf numFmtId="0" fontId="146" fillId="0" borderId="156" xfId="0" applyFont="1" applyBorder="1" applyAlignment="1">
      <alignment horizontal="center" vertical="top" wrapText="1" readingOrder="1"/>
    </xf>
    <xf numFmtId="0" fontId="146" fillId="0" borderId="134" xfId="0" applyFont="1" applyBorder="1" applyAlignment="1">
      <alignment horizontal="center" vertical="top" wrapText="1" readingOrder="1"/>
    </xf>
    <xf numFmtId="0" fontId="146" fillId="0" borderId="136" xfId="0" applyFont="1" applyBorder="1" applyAlignment="1">
      <alignment horizontal="center" vertical="top" wrapText="1" readingOrder="1"/>
    </xf>
    <xf numFmtId="0" fontId="146" fillId="0" borderId="141" xfId="0" applyFont="1" applyBorder="1" applyAlignment="1">
      <alignment horizontal="center" vertical="top" wrapText="1" readingOrder="1"/>
    </xf>
    <xf numFmtId="0" fontId="146" fillId="0" borderId="143" xfId="0" applyFont="1" applyBorder="1" applyAlignment="1">
      <alignment horizontal="center" vertical="top" wrapText="1" readingOrder="1"/>
    </xf>
    <xf numFmtId="0" fontId="67" fillId="0" borderId="232" xfId="0" applyFont="1" applyBorder="1" applyAlignment="1">
      <alignment vertical="top" wrapText="1" readingOrder="1"/>
    </xf>
    <xf numFmtId="0" fontId="148" fillId="0" borderId="232" xfId="0" applyFont="1" applyBorder="1" applyAlignment="1">
      <alignment vertical="top" wrapText="1" readingOrder="1"/>
    </xf>
    <xf numFmtId="0" fontId="70" fillId="0" borderId="157" xfId="0" applyFont="1" applyBorder="1" applyAlignment="1">
      <alignment horizontal="center" vertical="top" wrapText="1" readingOrder="1"/>
    </xf>
    <xf numFmtId="0" fontId="70" fillId="0" borderId="94" xfId="0" applyFont="1" applyBorder="1" applyAlignment="1">
      <alignment horizontal="center" vertical="top" wrapText="1" readingOrder="1"/>
    </xf>
    <xf numFmtId="0" fontId="149" fillId="0" borderId="94" xfId="0" applyFont="1" applyBorder="1" applyAlignment="1">
      <alignment horizontal="center" vertical="top" wrapText="1" readingOrder="1"/>
    </xf>
    <xf numFmtId="0" fontId="149" fillId="0" borderId="140" xfId="0" applyFont="1" applyBorder="1" applyAlignment="1">
      <alignment horizontal="center" vertical="top" wrapText="1" readingOrder="1"/>
    </xf>
    <xf numFmtId="0" fontId="148" fillId="0" borderId="26" xfId="0" applyFont="1" applyBorder="1" applyAlignment="1">
      <alignment vertical="top" wrapText="1" readingOrder="1"/>
    </xf>
    <xf numFmtId="0" fontId="150" fillId="0" borderId="26" xfId="0" applyFont="1" applyBorder="1" applyAlignment="1">
      <alignment vertical="top" wrapText="1" readingOrder="1"/>
    </xf>
    <xf numFmtId="0" fontId="70" fillId="0" borderId="157" xfId="0" applyFont="1" applyBorder="1" applyAlignment="1">
      <alignment horizontal="left" vertical="top" wrapText="1" readingOrder="1"/>
    </xf>
    <xf numFmtId="0" fontId="70" fillId="0" borderId="94" xfId="0" applyFont="1" applyBorder="1" applyAlignment="1">
      <alignment horizontal="left" vertical="top" wrapText="1" readingOrder="1"/>
    </xf>
    <xf numFmtId="0" fontId="149" fillId="0" borderId="94" xfId="0" applyFont="1" applyBorder="1" applyAlignment="1">
      <alignment horizontal="left" vertical="top" wrapText="1" readingOrder="1"/>
    </xf>
    <xf numFmtId="0" fontId="149" fillId="3" borderId="140" xfId="0" applyFont="1" applyFill="1" applyBorder="1" applyAlignment="1">
      <alignment horizontal="left" vertical="top" wrapText="1" readingOrder="1"/>
    </xf>
    <xf numFmtId="0" fontId="134" fillId="0" borderId="157" xfId="0" applyFont="1" applyBorder="1" applyAlignment="1">
      <alignment horizontal="center" vertical="top" wrapText="1"/>
    </xf>
    <xf numFmtId="3" fontId="134" fillId="0" borderId="157" xfId="0" applyNumberFormat="1" applyFont="1" applyBorder="1" applyAlignment="1">
      <alignment horizontal="center" vertical="top" wrapText="1"/>
    </xf>
    <xf numFmtId="167" fontId="134" fillId="0" borderId="332" xfId="0" applyNumberFormat="1" applyFont="1" applyBorder="1" applyAlignment="1">
      <alignment horizontal="center" vertical="top"/>
    </xf>
    <xf numFmtId="3" fontId="134" fillId="0" borderId="154" xfId="0" applyNumberFormat="1" applyFont="1" applyBorder="1" applyAlignment="1">
      <alignment horizontal="center" vertical="top" wrapText="1"/>
    </xf>
    <xf numFmtId="3" fontId="134" fillId="0" borderId="155" xfId="0" applyNumberFormat="1" applyFont="1" applyBorder="1" applyAlignment="1" applyProtection="1">
      <alignment horizontal="center" vertical="top" wrapText="1"/>
      <protection locked="0"/>
    </xf>
    <xf numFmtId="3" fontId="134" fillId="0" borderId="155" xfId="0" applyNumberFormat="1" applyFont="1" applyBorder="1" applyAlignment="1" applyProtection="1">
      <alignment horizontal="center" vertical="top"/>
      <protection locked="0"/>
    </xf>
    <xf numFmtId="3" fontId="134" fillId="0" borderId="400" xfId="0" applyNumberFormat="1" applyFont="1" applyBorder="1" applyAlignment="1" applyProtection="1">
      <alignment horizontal="center" vertical="top"/>
      <protection locked="0"/>
    </xf>
    <xf numFmtId="9" fontId="134" fillId="0" borderId="94" xfId="0" applyNumberFormat="1" applyFont="1" applyBorder="1" applyAlignment="1">
      <alignment horizontal="center" vertical="top" wrapText="1"/>
    </xf>
    <xf numFmtId="172" fontId="134" fillId="17" borderId="134" xfId="0" applyNumberFormat="1" applyFont="1" applyFill="1" applyBorder="1" applyAlignment="1">
      <alignment horizontal="center" vertical="top" wrapText="1"/>
    </xf>
    <xf numFmtId="170" fontId="134" fillId="17" borderId="135" xfId="0" applyNumberFormat="1" applyFont="1" applyFill="1" applyBorder="1" applyAlignment="1" applyProtection="1">
      <alignment horizontal="center" vertical="top" wrapText="1"/>
      <protection locked="0"/>
    </xf>
    <xf numFmtId="166" fontId="134" fillId="0" borderId="135" xfId="0" applyNumberFormat="1" applyFont="1" applyBorder="1" applyAlignment="1" applyProtection="1">
      <alignment horizontal="center" vertical="top"/>
      <protection locked="0"/>
    </xf>
    <xf numFmtId="166" fontId="134" fillId="0" borderId="397" xfId="0" applyNumberFormat="1" applyFont="1" applyBorder="1" applyAlignment="1" applyProtection="1">
      <alignment horizontal="center" vertical="top"/>
      <protection locked="0"/>
    </xf>
    <xf numFmtId="9" fontId="134" fillId="0" borderId="94" xfId="0" applyNumberFormat="1" applyFont="1" applyBorder="1" applyAlignment="1">
      <alignment horizontal="center" vertical="top"/>
    </xf>
    <xf numFmtId="166" fontId="134" fillId="0" borderId="134" xfId="0" applyNumberFormat="1" applyFont="1" applyBorder="1" applyAlignment="1" applyProtection="1">
      <alignment horizontal="center" vertical="top" wrapText="1"/>
      <protection locked="0"/>
    </xf>
    <xf numFmtId="166" fontId="134" fillId="0" borderId="135" xfId="0" applyNumberFormat="1" applyFont="1" applyBorder="1" applyAlignment="1" applyProtection="1">
      <alignment horizontal="center" vertical="top" wrapText="1"/>
      <protection locked="0"/>
    </xf>
    <xf numFmtId="3" fontId="134" fillId="0" borderId="94" xfId="0" applyNumberFormat="1" applyFont="1" applyBorder="1" applyAlignment="1">
      <alignment horizontal="center" vertical="top"/>
    </xf>
    <xf numFmtId="3" fontId="134" fillId="0" borderId="134" xfId="1" applyNumberFormat="1" applyFont="1" applyBorder="1" applyAlignment="1">
      <alignment horizontal="center" vertical="top" wrapText="1"/>
    </xf>
    <xf numFmtId="3" fontId="134" fillId="0" borderId="135" xfId="1" applyNumberFormat="1" applyFont="1" applyBorder="1" applyAlignment="1" applyProtection="1">
      <alignment horizontal="center" vertical="top" wrapText="1"/>
      <protection locked="0"/>
    </xf>
    <xf numFmtId="3" fontId="134" fillId="0" borderId="397" xfId="1" applyNumberFormat="1" applyFont="1" applyBorder="1" applyAlignment="1" applyProtection="1">
      <alignment horizontal="center" vertical="top"/>
      <protection locked="0"/>
    </xf>
    <xf numFmtId="0" fontId="134" fillId="0" borderId="94" xfId="0" applyFont="1" applyBorder="1" applyAlignment="1">
      <alignment horizontal="center" vertical="top"/>
    </xf>
    <xf numFmtId="3" fontId="134" fillId="0" borderId="134" xfId="0" applyNumberFormat="1" applyFont="1" applyBorder="1" applyAlignment="1">
      <alignment horizontal="center" vertical="top" wrapText="1"/>
    </xf>
    <xf numFmtId="3" fontId="134" fillId="0" borderId="135" xfId="0" applyNumberFormat="1" applyFont="1" applyBorder="1" applyAlignment="1" applyProtection="1">
      <alignment horizontal="center" vertical="top" wrapText="1"/>
      <protection locked="0"/>
    </xf>
    <xf numFmtId="3" fontId="134" fillId="0" borderId="135" xfId="0" applyNumberFormat="1" applyFont="1" applyBorder="1" applyAlignment="1" applyProtection="1">
      <alignment horizontal="center" vertical="top"/>
      <protection locked="0"/>
    </xf>
    <xf numFmtId="3" fontId="134" fillId="0" borderId="397" xfId="0" applyNumberFormat="1" applyFont="1" applyBorder="1" applyAlignment="1" applyProtection="1">
      <alignment horizontal="center" vertical="top"/>
      <protection locked="0"/>
    </xf>
    <xf numFmtId="176" fontId="152" fillId="0" borderId="134" xfId="0" applyNumberFormat="1" applyFont="1" applyBorder="1" applyAlignment="1">
      <alignment horizontal="center" vertical="top"/>
    </xf>
    <xf numFmtId="176" fontId="134" fillId="0" borderId="135" xfId="0" applyNumberFormat="1" applyFont="1" applyBorder="1" applyAlignment="1" applyProtection="1">
      <alignment horizontal="center" vertical="top" wrapText="1"/>
      <protection locked="0"/>
    </xf>
    <xf numFmtId="176" fontId="134" fillId="0" borderId="135" xfId="0" applyNumberFormat="1" applyFont="1" applyBorder="1" applyAlignment="1" applyProtection="1">
      <alignment horizontal="center" vertical="top"/>
      <protection locked="0"/>
    </xf>
    <xf numFmtId="176" fontId="134" fillId="0" borderId="397" xfId="0" applyNumberFormat="1" applyFont="1" applyBorder="1" applyAlignment="1" applyProtection="1">
      <alignment horizontal="center" vertical="top"/>
      <protection locked="0"/>
    </xf>
    <xf numFmtId="0" fontId="134" fillId="0" borderId="94" xfId="0" quotePrefix="1" applyFont="1" applyBorder="1" applyAlignment="1">
      <alignment horizontal="center" vertical="top" wrapText="1"/>
    </xf>
    <xf numFmtId="166" fontId="134" fillId="17" borderId="134" xfId="0" applyNumberFormat="1" applyFont="1" applyFill="1" applyBorder="1" applyAlignment="1">
      <alignment horizontal="center" vertical="top" wrapText="1"/>
    </xf>
    <xf numFmtId="166" fontId="134" fillId="17" borderId="135" xfId="0" applyNumberFormat="1" applyFont="1" applyFill="1" applyBorder="1" applyAlignment="1" applyProtection="1">
      <alignment horizontal="center" vertical="top" wrapText="1"/>
      <protection locked="0"/>
    </xf>
    <xf numFmtId="4" fontId="134" fillId="0" borderId="94" xfId="0" applyNumberFormat="1" applyFont="1" applyBorder="1" applyAlignment="1">
      <alignment horizontal="center" vertical="top"/>
    </xf>
    <xf numFmtId="4" fontId="134" fillId="0" borderId="134" xfId="0" applyNumberFormat="1" applyFont="1" applyBorder="1" applyAlignment="1">
      <alignment horizontal="center" vertical="top" wrapText="1"/>
    </xf>
    <xf numFmtId="4" fontId="134" fillId="0" borderId="135" xfId="0" applyNumberFormat="1" applyFont="1" applyBorder="1" applyAlignment="1" applyProtection="1">
      <alignment horizontal="center" vertical="top" wrapText="1"/>
      <protection locked="0"/>
    </xf>
    <xf numFmtId="4" fontId="134" fillId="0" borderId="135" xfId="0" applyNumberFormat="1" applyFont="1" applyBorder="1" applyAlignment="1" applyProtection="1">
      <alignment horizontal="center" vertical="top"/>
      <protection locked="0"/>
    </xf>
    <xf numFmtId="4" fontId="134" fillId="0" borderId="397" xfId="0" applyNumberFormat="1" applyFont="1" applyBorder="1" applyAlignment="1" applyProtection="1">
      <alignment horizontal="center" vertical="top"/>
      <protection locked="0"/>
    </xf>
    <xf numFmtId="0" fontId="151" fillId="0" borderId="94" xfId="0" quotePrefix="1" applyFont="1" applyBorder="1" applyAlignment="1">
      <alignment horizontal="center" vertical="top" wrapText="1"/>
    </xf>
    <xf numFmtId="4" fontId="151" fillId="0" borderId="94" xfId="0" quotePrefix="1" applyNumberFormat="1" applyFont="1" applyBorder="1" applyAlignment="1">
      <alignment horizontal="center" vertical="top" wrapText="1"/>
    </xf>
    <xf numFmtId="4" fontId="151" fillId="0" borderId="134" xfId="0" applyNumberFormat="1" applyFont="1" applyBorder="1" applyAlignment="1">
      <alignment horizontal="center" vertical="top" wrapText="1"/>
    </xf>
    <xf numFmtId="4" fontId="151" fillId="0" borderId="135" xfId="0" applyNumberFormat="1" applyFont="1" applyBorder="1" applyAlignment="1" applyProtection="1">
      <alignment horizontal="center" vertical="top" wrapText="1"/>
      <protection locked="0"/>
    </xf>
    <xf numFmtId="4" fontId="151" fillId="0" borderId="397" xfId="0" applyNumberFormat="1" applyFont="1" applyBorder="1" applyAlignment="1" applyProtection="1">
      <alignment horizontal="center" vertical="top" wrapText="1"/>
      <protection locked="0"/>
    </xf>
    <xf numFmtId="0" fontId="153" fillId="0" borderId="140" xfId="0" applyFont="1" applyBorder="1" applyAlignment="1">
      <alignment horizontal="center" vertical="top" wrapText="1"/>
    </xf>
    <xf numFmtId="3" fontId="151" fillId="0" borderId="140" xfId="0" applyNumberFormat="1" applyFont="1" applyBorder="1" applyAlignment="1">
      <alignment horizontal="center" vertical="top" wrapText="1"/>
    </xf>
    <xf numFmtId="3" fontId="151" fillId="0" borderId="141" xfId="0" applyNumberFormat="1" applyFont="1" applyBorder="1" applyAlignment="1">
      <alignment horizontal="center" vertical="top" wrapText="1"/>
    </xf>
    <xf numFmtId="3" fontId="151" fillId="0" borderId="142" xfId="0" applyNumberFormat="1" applyFont="1" applyBorder="1" applyAlignment="1" applyProtection="1">
      <alignment horizontal="center" vertical="top" wrapText="1"/>
      <protection locked="0"/>
    </xf>
    <xf numFmtId="3" fontId="151" fillId="0" borderId="398" xfId="0" applyNumberFormat="1" applyFont="1" applyBorder="1" applyAlignment="1" applyProtection="1">
      <alignment horizontal="center" vertical="top"/>
      <protection locked="0"/>
    </xf>
    <xf numFmtId="0" fontId="154" fillId="0" borderId="232" xfId="0" applyFont="1" applyBorder="1" applyAlignment="1">
      <alignment vertical="top" wrapText="1" readingOrder="1"/>
    </xf>
    <xf numFmtId="0" fontId="82" fillId="0" borderId="157" xfId="0" applyFont="1" applyBorder="1" applyAlignment="1">
      <alignment horizontal="center" vertical="top" wrapText="1" readingOrder="1"/>
    </xf>
    <xf numFmtId="0" fontId="82" fillId="0" borderId="157" xfId="0" applyFont="1" applyBorder="1" applyAlignment="1">
      <alignment horizontal="left" vertical="top" wrapText="1" readingOrder="1"/>
    </xf>
    <xf numFmtId="0" fontId="151" fillId="0" borderId="157" xfId="0" applyFont="1" applyBorder="1" applyAlignment="1">
      <alignment horizontal="center" vertical="top" wrapText="1"/>
    </xf>
    <xf numFmtId="0" fontId="155" fillId="0" borderId="154" xfId="0" applyFont="1" applyBorder="1" applyAlignment="1">
      <alignment horizontal="center" vertical="top" wrapText="1" readingOrder="1"/>
    </xf>
    <xf numFmtId="0" fontId="155" fillId="0" borderId="156" xfId="0" applyFont="1" applyBorder="1" applyAlignment="1">
      <alignment horizontal="center" vertical="top" wrapText="1" readingOrder="1"/>
    </xf>
    <xf numFmtId="3" fontId="151" fillId="0" borderId="157" xfId="0" applyNumberFormat="1" applyFont="1" applyBorder="1" applyAlignment="1">
      <alignment horizontal="center" vertical="top" wrapText="1"/>
    </xf>
    <xf numFmtId="167" fontId="151" fillId="0" borderId="332" xfId="0" applyNumberFormat="1" applyFont="1" applyBorder="1" applyAlignment="1" applyProtection="1">
      <alignment horizontal="center" vertical="top"/>
      <protection locked="0"/>
    </xf>
    <xf numFmtId="3" fontId="151" fillId="0" borderId="154" xfId="0" applyNumberFormat="1" applyFont="1" applyBorder="1" applyAlignment="1" applyProtection="1">
      <alignment horizontal="center" vertical="top" wrapText="1"/>
      <protection locked="0"/>
    </xf>
    <xf numFmtId="3" fontId="151" fillId="0" borderId="400" xfId="0" applyNumberFormat="1" applyFont="1" applyBorder="1" applyAlignment="1" applyProtection="1">
      <alignment horizontal="center" vertical="top" wrapText="1"/>
      <protection locked="0"/>
    </xf>
    <xf numFmtId="3" fontId="151" fillId="0" borderId="401" xfId="0" applyNumberFormat="1" applyFont="1" applyBorder="1" applyAlignment="1" applyProtection="1">
      <alignment horizontal="center" vertical="top"/>
      <protection locked="0"/>
    </xf>
    <xf numFmtId="3" fontId="151" fillId="0" borderId="400" xfId="0" applyNumberFormat="1" applyFont="1" applyBorder="1" applyAlignment="1" applyProtection="1">
      <alignment horizontal="center" vertical="top"/>
      <protection locked="0"/>
    </xf>
    <xf numFmtId="3" fontId="143" fillId="3" borderId="359" xfId="0" applyNumberFormat="1" applyFont="1" applyFill="1" applyBorder="1" applyAlignment="1" applyProtection="1">
      <alignment horizontal="center" vertical="top"/>
      <protection locked="0"/>
    </xf>
    <xf numFmtId="2" fontId="0" fillId="0" borderId="156" xfId="0" applyNumberFormat="1" applyBorder="1" applyAlignment="1" applyProtection="1">
      <alignment vertical="top" wrapText="1"/>
      <protection locked="0"/>
    </xf>
    <xf numFmtId="2" fontId="0" fillId="0" borderId="157" xfId="0" applyNumberFormat="1" applyBorder="1" applyAlignment="1" applyProtection="1">
      <alignment vertical="top" wrapText="1"/>
      <protection locked="0"/>
    </xf>
    <xf numFmtId="0" fontId="156" fillId="0" borderId="26" xfId="0" applyFont="1" applyBorder="1" applyAlignment="1">
      <alignment vertical="top" wrapText="1" readingOrder="1"/>
    </xf>
    <xf numFmtId="0" fontId="157" fillId="0" borderId="26" xfId="0" applyFont="1" applyBorder="1" applyAlignment="1">
      <alignment vertical="top" wrapText="1" readingOrder="1"/>
    </xf>
    <xf numFmtId="0" fontId="82" fillId="0" borderId="94" xfId="0" applyFont="1" applyBorder="1" applyAlignment="1">
      <alignment horizontal="center" vertical="top" wrapText="1" readingOrder="1"/>
    </xf>
    <xf numFmtId="0" fontId="82" fillId="0" borderId="94" xfId="0" applyFont="1" applyBorder="1" applyAlignment="1">
      <alignment horizontal="left" vertical="top" wrapText="1" readingOrder="1"/>
    </xf>
    <xf numFmtId="0" fontId="155" fillId="0" borderId="134" xfId="0" applyFont="1" applyBorder="1" applyAlignment="1">
      <alignment horizontal="center" vertical="top" wrapText="1" readingOrder="1"/>
    </xf>
    <xf numFmtId="0" fontId="155" fillId="0" borderId="136" xfId="0" applyFont="1" applyBorder="1" applyAlignment="1">
      <alignment horizontal="center" vertical="top" wrapText="1" readingOrder="1"/>
    </xf>
    <xf numFmtId="9" fontId="151" fillId="0" borderId="94" xfId="0" applyNumberFormat="1" applyFont="1" applyBorder="1" applyAlignment="1">
      <alignment horizontal="center" vertical="top" wrapText="1"/>
    </xf>
    <xf numFmtId="172" fontId="151" fillId="17" borderId="134" xfId="0" applyNumberFormat="1" applyFont="1" applyFill="1" applyBorder="1" applyAlignment="1">
      <alignment horizontal="center" vertical="top" wrapText="1"/>
    </xf>
    <xf numFmtId="170" fontId="151" fillId="17" borderId="397" xfId="0" applyNumberFormat="1" applyFont="1" applyFill="1" applyBorder="1" applyAlignment="1" applyProtection="1">
      <alignment horizontal="center" vertical="top" wrapText="1"/>
      <protection locked="0"/>
    </xf>
    <xf numFmtId="166" fontId="151" fillId="0" borderId="394" xfId="0" applyNumberFormat="1" applyFont="1" applyBorder="1" applyAlignment="1" applyProtection="1">
      <alignment horizontal="center" vertical="top"/>
      <protection locked="0"/>
    </xf>
    <xf numFmtId="166" fontId="151" fillId="0" borderId="397" xfId="0" applyNumberFormat="1" applyFont="1" applyBorder="1" applyAlignment="1" applyProtection="1">
      <alignment horizontal="center" vertical="top"/>
      <protection locked="0"/>
    </xf>
    <xf numFmtId="170" fontId="143" fillId="3" borderId="317" xfId="0" applyNumberFormat="1" applyFont="1" applyFill="1" applyBorder="1" applyAlignment="1" applyProtection="1">
      <alignment horizontal="center" vertical="top"/>
      <protection locked="0"/>
    </xf>
    <xf numFmtId="9" fontId="151" fillId="0" borderId="94" xfId="0" applyNumberFormat="1" applyFont="1" applyBorder="1" applyAlignment="1">
      <alignment horizontal="center" vertical="top"/>
    </xf>
    <xf numFmtId="166" fontId="151" fillId="0" borderId="134" xfId="0" applyNumberFormat="1" applyFont="1" applyBorder="1" applyAlignment="1">
      <alignment horizontal="center" vertical="top" wrapText="1"/>
    </xf>
    <xf numFmtId="166" fontId="151" fillId="0" borderId="397" xfId="0" applyNumberFormat="1" applyFont="1" applyBorder="1" applyAlignment="1" applyProtection="1">
      <alignment horizontal="center" vertical="top" wrapText="1"/>
      <protection locked="0"/>
    </xf>
    <xf numFmtId="169" fontId="143" fillId="3" borderId="317" xfId="0" applyNumberFormat="1" applyFont="1" applyFill="1" applyBorder="1" applyAlignment="1" applyProtection="1">
      <alignment horizontal="center" vertical="top"/>
      <protection locked="0"/>
    </xf>
    <xf numFmtId="3" fontId="151" fillId="0" borderId="94" xfId="0" applyNumberFormat="1" applyFont="1" applyBorder="1" applyAlignment="1">
      <alignment horizontal="center" vertical="top"/>
    </xf>
    <xf numFmtId="3" fontId="151" fillId="0" borderId="134" xfId="1" applyNumberFormat="1" applyFont="1" applyBorder="1" applyAlignment="1">
      <alignment horizontal="center" vertical="top" wrapText="1"/>
    </xf>
    <xf numFmtId="3" fontId="151" fillId="0" borderId="397" xfId="1" applyNumberFormat="1" applyFont="1" applyBorder="1" applyAlignment="1" applyProtection="1">
      <alignment horizontal="center" vertical="top" wrapText="1"/>
      <protection locked="0"/>
    </xf>
    <xf numFmtId="3" fontId="151" fillId="0" borderId="394" xfId="1" applyNumberFormat="1" applyFont="1" applyBorder="1" applyAlignment="1" applyProtection="1">
      <alignment horizontal="center" vertical="top" wrapText="1"/>
      <protection locked="0"/>
    </xf>
    <xf numFmtId="3" fontId="151" fillId="0" borderId="397" xfId="1" applyNumberFormat="1" applyFont="1" applyBorder="1" applyAlignment="1" applyProtection="1">
      <alignment horizontal="center" vertical="top"/>
      <protection locked="0"/>
    </xf>
    <xf numFmtId="3" fontId="143" fillId="3" borderId="317" xfId="1" applyNumberFormat="1" applyFont="1" applyFill="1" applyBorder="1" applyAlignment="1" applyProtection="1">
      <alignment horizontal="center" vertical="top"/>
      <protection locked="0"/>
    </xf>
    <xf numFmtId="0" fontId="158" fillId="0" borderId="94" xfId="0" applyFont="1" applyBorder="1" applyAlignment="1">
      <alignment horizontal="left" vertical="top" wrapText="1" readingOrder="1"/>
    </xf>
    <xf numFmtId="0" fontId="151" fillId="0" borderId="94" xfId="0" applyFont="1" applyBorder="1" applyAlignment="1">
      <alignment horizontal="center" vertical="top"/>
    </xf>
    <xf numFmtId="3" fontId="151" fillId="0" borderId="134" xfId="0" applyNumberFormat="1" applyFont="1" applyBorder="1" applyAlignment="1">
      <alignment horizontal="center" vertical="top" wrapText="1"/>
    </xf>
    <xf numFmtId="3" fontId="151" fillId="0" borderId="397" xfId="0" applyNumberFormat="1" applyFont="1" applyBorder="1" applyAlignment="1" applyProtection="1">
      <alignment horizontal="center" vertical="top" wrapText="1"/>
      <protection locked="0"/>
    </xf>
    <xf numFmtId="3" fontId="151" fillId="0" borderId="394" xfId="0" applyNumberFormat="1" applyFont="1" applyBorder="1" applyAlignment="1" applyProtection="1">
      <alignment horizontal="center" vertical="top"/>
      <protection locked="0"/>
    </xf>
    <xf numFmtId="3" fontId="151" fillId="0" borderId="397" xfId="0" applyNumberFormat="1" applyFont="1" applyBorder="1" applyAlignment="1" applyProtection="1">
      <alignment horizontal="center" vertical="top"/>
      <protection locked="0"/>
    </xf>
    <xf numFmtId="3" fontId="143" fillId="3" borderId="317" xfId="0" applyNumberFormat="1" applyFont="1" applyFill="1" applyBorder="1" applyAlignment="1" applyProtection="1">
      <alignment horizontal="center" vertical="top"/>
      <protection locked="0"/>
    </xf>
    <xf numFmtId="0" fontId="157" fillId="0" borderId="85" xfId="0" applyFont="1" applyBorder="1" applyAlignment="1">
      <alignment vertical="top" wrapText="1" readingOrder="1"/>
    </xf>
    <xf numFmtId="176" fontId="151" fillId="0" borderId="397" xfId="0" applyNumberFormat="1" applyFont="1" applyBorder="1" applyAlignment="1" applyProtection="1">
      <alignment horizontal="center" vertical="top" wrapText="1"/>
      <protection locked="0"/>
    </xf>
    <xf numFmtId="176" fontId="151" fillId="0" borderId="394" xfId="0" applyNumberFormat="1" applyFont="1" applyBorder="1" applyAlignment="1" applyProtection="1">
      <alignment horizontal="center" vertical="top"/>
      <protection locked="0"/>
    </xf>
    <xf numFmtId="176" fontId="151" fillId="0" borderId="397" xfId="0" applyNumberFormat="1" applyFont="1" applyBorder="1" applyAlignment="1" applyProtection="1">
      <alignment horizontal="center" vertical="top"/>
      <protection locked="0"/>
    </xf>
    <xf numFmtId="176" fontId="143" fillId="3" borderId="317" xfId="0" applyNumberFormat="1" applyFont="1" applyFill="1" applyBorder="1" applyAlignment="1" applyProtection="1">
      <alignment horizontal="center" vertical="top"/>
      <protection locked="0"/>
    </xf>
    <xf numFmtId="2" fontId="0" fillId="0" borderId="94" xfId="0" applyNumberFormat="1" applyBorder="1" applyAlignment="1" applyProtection="1">
      <alignment vertical="top" wrapText="1"/>
      <protection locked="0"/>
    </xf>
    <xf numFmtId="0" fontId="148" fillId="0" borderId="104" xfId="0" applyFont="1" applyBorder="1" applyAlignment="1">
      <alignment vertical="top" wrapText="1" readingOrder="1"/>
    </xf>
    <xf numFmtId="166" fontId="151" fillId="17" borderId="134" xfId="0" applyNumberFormat="1" applyFont="1" applyFill="1" applyBorder="1" applyAlignment="1">
      <alignment horizontal="center" vertical="top" wrapText="1"/>
    </xf>
    <xf numFmtId="166" fontId="151" fillId="17" borderId="397" xfId="0" applyNumberFormat="1" applyFont="1" applyFill="1" applyBorder="1" applyAlignment="1" applyProtection="1">
      <alignment horizontal="center" vertical="top" wrapText="1"/>
      <protection locked="0"/>
    </xf>
    <xf numFmtId="166" fontId="151" fillId="0" borderId="394" xfId="0" applyNumberFormat="1" applyFont="1" applyBorder="1" applyAlignment="1" applyProtection="1">
      <alignment horizontal="center" vertical="top" wrapText="1"/>
      <protection locked="0"/>
    </xf>
    <xf numFmtId="4" fontId="151" fillId="0" borderId="94" xfId="0" applyNumberFormat="1" applyFont="1" applyBorder="1" applyAlignment="1">
      <alignment horizontal="center" vertical="top"/>
    </xf>
    <xf numFmtId="4" fontId="151" fillId="0" borderId="394" xfId="0" applyNumberFormat="1" applyFont="1" applyBorder="1" applyAlignment="1" applyProtection="1">
      <alignment horizontal="center" vertical="top"/>
      <protection locked="0"/>
    </xf>
    <xf numFmtId="4" fontId="151" fillId="0" borderId="397" xfId="0" applyNumberFormat="1" applyFont="1" applyBorder="1" applyAlignment="1" applyProtection="1">
      <alignment horizontal="center" vertical="top"/>
      <protection locked="0"/>
    </xf>
    <xf numFmtId="4" fontId="143" fillId="3" borderId="317" xfId="0" applyNumberFormat="1" applyFont="1" applyFill="1" applyBorder="1" applyAlignment="1" applyProtection="1">
      <alignment horizontal="center" vertical="top"/>
      <protection locked="0"/>
    </xf>
    <xf numFmtId="4" fontId="151" fillId="0" borderId="134" xfId="0" applyNumberFormat="1" applyFont="1" applyBorder="1" applyAlignment="1" applyProtection="1">
      <alignment horizontal="center" vertical="top" wrapText="1"/>
      <protection locked="0"/>
    </xf>
    <xf numFmtId="4" fontId="151" fillId="0" borderId="394" xfId="0" applyNumberFormat="1" applyFont="1" applyBorder="1" applyAlignment="1" applyProtection="1">
      <alignment horizontal="center" vertical="top" wrapText="1"/>
      <protection locked="0"/>
    </xf>
    <xf numFmtId="4" fontId="143" fillId="13" borderId="317" xfId="0" applyNumberFormat="1" applyFont="1" applyFill="1" applyBorder="1" applyAlignment="1" applyProtection="1">
      <alignment horizontal="center" vertical="top"/>
      <protection locked="0"/>
    </xf>
    <xf numFmtId="0" fontId="156" fillId="0" borderId="223" xfId="0" applyFont="1" applyBorder="1" applyAlignment="1">
      <alignment vertical="top" wrapText="1" readingOrder="1"/>
    </xf>
    <xf numFmtId="0" fontId="157" fillId="0" borderId="223" xfId="0" applyFont="1" applyBorder="1" applyAlignment="1">
      <alignment vertical="top" wrapText="1" readingOrder="1"/>
    </xf>
    <xf numFmtId="0" fontId="82" fillId="0" borderId="140" xfId="0" applyFont="1" applyBorder="1" applyAlignment="1">
      <alignment horizontal="center" vertical="top" wrapText="1" readingOrder="1"/>
    </xf>
    <xf numFmtId="0" fontId="82" fillId="3" borderId="140" xfId="0" applyFont="1" applyFill="1" applyBorder="1" applyAlignment="1">
      <alignment horizontal="left" vertical="top" wrapText="1" readingOrder="1"/>
    </xf>
    <xf numFmtId="0" fontId="159" fillId="0" borderId="140" xfId="0" applyFont="1" applyBorder="1" applyAlignment="1">
      <alignment horizontal="center" vertical="top" wrapText="1"/>
    </xf>
    <xf numFmtId="0" fontId="155" fillId="0" borderId="141" xfId="0" applyFont="1" applyBorder="1" applyAlignment="1">
      <alignment horizontal="center" vertical="top" wrapText="1" readingOrder="1"/>
    </xf>
    <xf numFmtId="0" fontId="155" fillId="0" borderId="143" xfId="0" applyFont="1" applyBorder="1" applyAlignment="1">
      <alignment horizontal="center" vertical="top" wrapText="1" readingOrder="1"/>
    </xf>
    <xf numFmtId="3" fontId="151" fillId="0" borderId="398" xfId="0" applyNumberFormat="1" applyFont="1" applyBorder="1" applyAlignment="1" applyProtection="1">
      <alignment horizontal="center" vertical="top" wrapText="1"/>
      <protection locked="0"/>
    </xf>
    <xf numFmtId="3" fontId="151" fillId="0" borderId="402" xfId="0" applyNumberFormat="1" applyFont="1" applyBorder="1" applyAlignment="1" applyProtection="1">
      <alignment horizontal="center" vertical="top" wrapText="1"/>
      <protection locked="0"/>
    </xf>
    <xf numFmtId="3" fontId="143" fillId="13" borderId="360" xfId="0" applyNumberFormat="1" applyFont="1" applyFill="1" applyBorder="1" applyAlignment="1" applyProtection="1">
      <alignment horizontal="center" vertical="top"/>
      <protection locked="0"/>
    </xf>
    <xf numFmtId="2" fontId="0" fillId="0" borderId="141" xfId="0" applyNumberFormat="1" applyBorder="1" applyAlignment="1" applyProtection="1">
      <alignment vertical="top"/>
      <protection locked="0"/>
    </xf>
    <xf numFmtId="2" fontId="0" fillId="0" borderId="143" xfId="0" applyNumberFormat="1" applyBorder="1" applyAlignment="1" applyProtection="1">
      <alignment vertical="top"/>
      <protection locked="0"/>
    </xf>
    <xf numFmtId="2" fontId="0" fillId="0" borderId="140" xfId="0" applyNumberFormat="1" applyBorder="1" applyAlignment="1" applyProtection="1">
      <alignment vertical="top"/>
      <protection locked="0"/>
    </xf>
    <xf numFmtId="167" fontId="151" fillId="0" borderId="332" xfId="0" applyNumberFormat="1" applyFont="1" applyBorder="1" applyAlignment="1">
      <alignment horizontal="center" vertical="top"/>
    </xf>
    <xf numFmtId="3" fontId="151" fillId="0" borderId="154" xfId="0" applyNumberFormat="1" applyFont="1" applyBorder="1" applyAlignment="1">
      <alignment horizontal="center" vertical="top" wrapText="1"/>
    </xf>
    <xf numFmtId="166" fontId="151" fillId="17" borderId="134" xfId="0" applyNumberFormat="1" applyFont="1" applyFill="1" applyBorder="1" applyAlignment="1" applyProtection="1">
      <alignment horizontal="center" vertical="top" wrapText="1"/>
      <protection locked="0"/>
    </xf>
    <xf numFmtId="176" fontId="152" fillId="0" borderId="134" xfId="0" applyNumberFormat="1" applyFont="1" applyBorder="1" applyAlignment="1" applyProtection="1">
      <alignment horizontal="center" vertical="top"/>
      <protection locked="0"/>
    </xf>
    <xf numFmtId="3" fontId="151" fillId="0" borderId="134" xfId="1" applyNumberFormat="1" applyFont="1" applyBorder="1" applyAlignment="1" applyProtection="1">
      <alignment horizontal="center" vertical="top" wrapText="1"/>
      <protection locked="0"/>
    </xf>
    <xf numFmtId="172" fontId="151" fillId="17" borderId="134" xfId="0" applyNumberFormat="1" applyFont="1" applyFill="1" applyBorder="1" applyAlignment="1" applyProtection="1">
      <alignment horizontal="center" vertical="top" wrapText="1"/>
      <protection locked="0"/>
    </xf>
    <xf numFmtId="3" fontId="151" fillId="0" borderId="141" xfId="0" applyNumberFormat="1" applyFont="1" applyBorder="1" applyAlignment="1" applyProtection="1">
      <alignment horizontal="center" vertical="top" wrapText="1"/>
      <protection locked="0"/>
    </xf>
    <xf numFmtId="3" fontId="151" fillId="0" borderId="134" xfId="0" applyNumberFormat="1" applyFont="1" applyBorder="1" applyAlignment="1" applyProtection="1">
      <alignment horizontal="center" vertical="top" wrapText="1"/>
      <protection locked="0"/>
    </xf>
    <xf numFmtId="166" fontId="151" fillId="0" borderId="134" xfId="0" applyNumberFormat="1" applyFont="1" applyBorder="1" applyAlignment="1" applyProtection="1">
      <alignment horizontal="center" vertical="top" wrapText="1"/>
      <protection locked="0"/>
    </xf>
    <xf numFmtId="170" fontId="143" fillId="3" borderId="317" xfId="0" quotePrefix="1" applyNumberFormat="1" applyFont="1" applyFill="1" applyBorder="1" applyAlignment="1" applyProtection="1">
      <alignment horizontal="center" vertical="top"/>
      <protection locked="0"/>
    </xf>
    <xf numFmtId="2" fontId="82" fillId="3" borderId="96" xfId="0" applyNumberFormat="1" applyFont="1" applyFill="1" applyBorder="1" applyAlignment="1" applyProtection="1">
      <alignment horizontal="left" vertical="top" wrapText="1"/>
      <protection locked="0"/>
    </xf>
    <xf numFmtId="3" fontId="90" fillId="0" borderId="91" xfId="0" applyNumberFormat="1" applyFont="1" applyBorder="1" applyAlignment="1" applyProtection="1">
      <alignment horizontal="center" vertical="top"/>
      <protection locked="0"/>
    </xf>
    <xf numFmtId="3" fontId="90" fillId="0" borderId="92" xfId="0" applyNumberFormat="1" applyFont="1" applyBorder="1" applyAlignment="1" applyProtection="1">
      <alignment horizontal="center" vertical="top"/>
      <protection locked="0"/>
    </xf>
    <xf numFmtId="3" fontId="90" fillId="0" borderId="127" xfId="0" applyNumberFormat="1" applyFont="1" applyBorder="1" applyAlignment="1" applyProtection="1">
      <alignment horizontal="center" vertical="top"/>
      <protection locked="0"/>
    </xf>
    <xf numFmtId="3" fontId="90" fillId="0" borderId="128" xfId="0" applyNumberFormat="1" applyFont="1" applyBorder="1" applyAlignment="1" applyProtection="1">
      <alignment horizontal="center" vertical="top"/>
      <protection locked="0"/>
    </xf>
    <xf numFmtId="3" fontId="90" fillId="0" borderId="93" xfId="0" applyNumberFormat="1" applyFont="1" applyBorder="1" applyAlignment="1" applyProtection="1">
      <alignment horizontal="center" vertical="top"/>
      <protection locked="0"/>
    </xf>
    <xf numFmtId="3" fontId="90" fillId="0" borderId="103" xfId="0" applyNumberFormat="1" applyFont="1" applyBorder="1" applyAlignment="1" applyProtection="1">
      <alignment horizontal="center" vertical="top"/>
      <protection locked="0"/>
    </xf>
    <xf numFmtId="3" fontId="90" fillId="0" borderId="101" xfId="0" applyNumberFormat="1" applyFont="1" applyBorder="1" applyAlignment="1" applyProtection="1">
      <alignment horizontal="center" vertical="top"/>
      <protection locked="0"/>
    </xf>
    <xf numFmtId="3" fontId="90" fillId="0" borderId="152" xfId="0" applyNumberFormat="1" applyFont="1" applyBorder="1" applyAlignment="1" applyProtection="1">
      <alignment horizontal="center" vertical="top"/>
      <protection locked="0"/>
    </xf>
    <xf numFmtId="3" fontId="90" fillId="0" borderId="153" xfId="0" applyNumberFormat="1" applyFont="1" applyBorder="1" applyAlignment="1" applyProtection="1">
      <alignment horizontal="center" vertical="top"/>
      <protection locked="0"/>
    </xf>
    <xf numFmtId="3" fontId="90" fillId="0" borderId="102" xfId="0" applyNumberFormat="1" applyFont="1" applyBorder="1" applyAlignment="1" applyProtection="1">
      <alignment horizontal="center" vertical="top"/>
      <protection locked="0"/>
    </xf>
    <xf numFmtId="3" fontId="90" fillId="0" borderId="144" xfId="0" applyNumberFormat="1" applyFont="1" applyBorder="1" applyAlignment="1" applyProtection="1">
      <alignment horizontal="center" vertical="top"/>
      <protection locked="0"/>
    </xf>
    <xf numFmtId="3" fontId="90" fillId="0" borderId="145" xfId="0" applyNumberFormat="1" applyFont="1" applyBorder="1" applyAlignment="1" applyProtection="1">
      <alignment horizontal="center" vertical="top"/>
      <protection locked="0"/>
    </xf>
    <xf numFmtId="3" fontId="90" fillId="0" borderId="146" xfId="0" applyNumberFormat="1" applyFont="1" applyBorder="1" applyAlignment="1" applyProtection="1">
      <alignment horizontal="center" vertical="top"/>
      <protection locked="0"/>
    </xf>
    <xf numFmtId="3" fontId="90" fillId="0" borderId="147" xfId="0" applyNumberFormat="1" applyFont="1" applyBorder="1" applyAlignment="1" applyProtection="1">
      <alignment horizontal="center" vertical="top"/>
      <protection locked="0"/>
    </xf>
    <xf numFmtId="3" fontId="90" fillId="0" borderId="148" xfId="0" applyNumberFormat="1" applyFont="1" applyBorder="1" applyAlignment="1" applyProtection="1">
      <alignment horizontal="center" vertical="top"/>
      <protection locked="0"/>
    </xf>
    <xf numFmtId="3" fontId="90" fillId="0" borderId="82" xfId="0" applyNumberFormat="1" applyFont="1" applyBorder="1" applyAlignment="1" applyProtection="1">
      <alignment horizontal="center" vertical="top"/>
      <protection locked="0"/>
    </xf>
    <xf numFmtId="3" fontId="90" fillId="0" borderId="83" xfId="0" applyNumberFormat="1" applyFont="1" applyBorder="1" applyAlignment="1" applyProtection="1">
      <alignment horizontal="center" vertical="top"/>
      <protection locked="0"/>
    </xf>
    <xf numFmtId="3" fontId="90" fillId="0" borderId="125" xfId="0" applyNumberFormat="1" applyFont="1" applyBorder="1" applyAlignment="1" applyProtection="1">
      <alignment horizontal="center" vertical="top"/>
      <protection locked="0"/>
    </xf>
    <xf numFmtId="3" fontId="90" fillId="0" borderId="126" xfId="0" applyNumberFormat="1" applyFont="1" applyBorder="1" applyAlignment="1" applyProtection="1">
      <alignment horizontal="center" vertical="top"/>
      <protection locked="0"/>
    </xf>
    <xf numFmtId="3" fontId="90" fillId="0" borderId="84" xfId="0" applyNumberFormat="1" applyFont="1" applyBorder="1" applyAlignment="1" applyProtection="1">
      <alignment horizontal="center" vertical="top"/>
      <protection locked="0"/>
    </xf>
    <xf numFmtId="169" fontId="58" fillId="0" borderId="0" xfId="0" applyNumberFormat="1" applyFont="1" applyAlignment="1" applyProtection="1">
      <alignment horizontal="center" vertical="top"/>
      <protection locked="0"/>
    </xf>
    <xf numFmtId="169" fontId="58" fillId="5" borderId="0" xfId="0" applyNumberFormat="1" applyFont="1" applyFill="1" applyAlignment="1" applyProtection="1">
      <alignment horizontal="center" vertical="top"/>
      <protection locked="0"/>
    </xf>
    <xf numFmtId="10" fontId="58" fillId="0" borderId="0" xfId="2" applyNumberFormat="1" applyFont="1" applyAlignment="1" applyProtection="1">
      <alignment horizontal="center" vertical="top"/>
      <protection locked="0"/>
    </xf>
    <xf numFmtId="10" fontId="58" fillId="5" borderId="0" xfId="2" applyNumberFormat="1" applyFont="1" applyFill="1" applyAlignment="1" applyProtection="1">
      <alignment horizontal="center" vertical="top"/>
      <protection locked="0"/>
    </xf>
    <xf numFmtId="0" fontId="90" fillId="0" borderId="93" xfId="0" applyFont="1" applyBorder="1" applyAlignment="1" applyProtection="1">
      <alignment vertical="top"/>
      <protection locked="0"/>
    </xf>
    <xf numFmtId="1" fontId="90" fillId="3" borderId="201" xfId="0" applyNumberFormat="1" applyFont="1" applyFill="1" applyBorder="1" applyAlignment="1" applyProtection="1">
      <alignment horizontal="center" vertical="top"/>
      <protection locked="0"/>
    </xf>
    <xf numFmtId="0" fontId="90" fillId="0" borderId="93" xfId="0" quotePrefix="1" applyFont="1" applyBorder="1" applyAlignment="1" applyProtection="1">
      <alignment vertical="top"/>
      <protection locked="0"/>
    </xf>
    <xf numFmtId="1" fontId="93" fillId="2" borderId="81" xfId="0" applyNumberFormat="1" applyFont="1" applyFill="1" applyBorder="1" applyAlignment="1" applyProtection="1">
      <alignment horizontal="center" vertical="center" wrapText="1" readingOrder="1"/>
      <protection locked="0"/>
    </xf>
    <xf numFmtId="0" fontId="90" fillId="2" borderId="196" xfId="0" applyFont="1" applyFill="1" applyBorder="1" applyAlignment="1" applyProtection="1">
      <alignment horizontal="left" vertical="center" wrapText="1" readingOrder="1"/>
      <protection locked="0"/>
    </xf>
    <xf numFmtId="0" fontId="90" fillId="2" borderId="34" xfId="0" applyFont="1" applyFill="1" applyBorder="1" applyAlignment="1" applyProtection="1">
      <alignment horizontal="left" vertical="center" wrapText="1" readingOrder="1"/>
      <protection locked="0"/>
    </xf>
    <xf numFmtId="0" fontId="90" fillId="2" borderId="34" xfId="0" applyFont="1" applyFill="1" applyBorder="1" applyAlignment="1" applyProtection="1">
      <alignment horizontal="center" vertical="center" wrapText="1" readingOrder="1"/>
      <protection locked="0"/>
    </xf>
    <xf numFmtId="0" fontId="90" fillId="2" borderId="35" xfId="0" applyFont="1" applyFill="1" applyBorder="1" applyAlignment="1" applyProtection="1">
      <alignment horizontal="center" vertical="center" wrapText="1" readingOrder="1"/>
      <protection locked="0"/>
    </xf>
    <xf numFmtId="1" fontId="82" fillId="3" borderId="96" xfId="0" applyNumberFormat="1" applyFont="1" applyFill="1" applyBorder="1" applyAlignment="1">
      <alignment horizontal="center" vertical="top"/>
    </xf>
    <xf numFmtId="2" fontId="82" fillId="3" borderId="99" xfId="0" applyNumberFormat="1" applyFont="1" applyFill="1" applyBorder="1" applyAlignment="1" applyProtection="1">
      <alignment vertical="top"/>
      <protection locked="0"/>
    </xf>
    <xf numFmtId="2" fontId="82" fillId="3" borderId="96" xfId="0" applyNumberFormat="1" applyFont="1" applyFill="1" applyBorder="1" applyAlignment="1" applyProtection="1">
      <alignment horizontal="center" vertical="top"/>
      <protection locked="0"/>
    </xf>
    <xf numFmtId="1" fontId="82" fillId="3" borderId="96" xfId="0" applyNumberFormat="1" applyFont="1" applyFill="1" applyBorder="1" applyAlignment="1" applyProtection="1">
      <alignment horizontal="center" vertical="top"/>
      <protection locked="0"/>
    </xf>
    <xf numFmtId="1" fontId="82" fillId="6" borderId="128" xfId="0" applyNumberFormat="1" applyFont="1" applyFill="1" applyBorder="1" applyAlignment="1" applyProtection="1">
      <alignment horizontal="center" vertical="top"/>
      <protection locked="0"/>
    </xf>
    <xf numFmtId="2" fontId="82" fillId="6" borderId="96" xfId="0" applyNumberFormat="1" applyFont="1" applyFill="1" applyBorder="1" applyAlignment="1" applyProtection="1">
      <alignment horizontal="center" vertical="top"/>
      <protection locked="0"/>
    </xf>
    <xf numFmtId="2" fontId="82" fillId="6" borderId="99" xfId="0" applyNumberFormat="1" applyFont="1" applyFill="1" applyBorder="1" applyAlignment="1" applyProtection="1">
      <alignment vertical="top"/>
      <protection locked="0"/>
    </xf>
    <xf numFmtId="2" fontId="82" fillId="6" borderId="96" xfId="0" applyNumberFormat="1" applyFont="1" applyFill="1" applyBorder="1" applyAlignment="1" applyProtection="1">
      <alignment horizontal="left" vertical="top"/>
      <protection locked="0"/>
    </xf>
    <xf numFmtId="2" fontId="82" fillId="6" borderId="128" xfId="0" applyNumberFormat="1" applyFont="1" applyFill="1" applyBorder="1" applyAlignment="1" applyProtection="1">
      <alignment horizontal="center" vertical="top"/>
      <protection locked="0"/>
    </xf>
    <xf numFmtId="2" fontId="82" fillId="6" borderId="93" xfId="0" applyNumberFormat="1" applyFont="1" applyFill="1" applyBorder="1" applyAlignment="1">
      <alignment horizontal="center" vertical="top"/>
    </xf>
    <xf numFmtId="10" fontId="82" fillId="3" borderId="200" xfId="2" applyNumberFormat="1" applyFont="1" applyFill="1" applyBorder="1" applyAlignment="1" applyProtection="1">
      <alignment horizontal="center" vertical="top" wrapText="1"/>
      <protection locked="0"/>
    </xf>
    <xf numFmtId="1" fontId="82" fillId="3" borderId="147" xfId="0" applyNumberFormat="1" applyFont="1" applyFill="1" applyBorder="1" applyAlignment="1" applyProtection="1">
      <alignment horizontal="center" vertical="top"/>
      <protection locked="0"/>
    </xf>
    <xf numFmtId="1" fontId="82" fillId="3" borderId="126" xfId="0" applyNumberFormat="1" applyFont="1" applyFill="1" applyBorder="1" applyAlignment="1" applyProtection="1">
      <alignment horizontal="center" vertical="top"/>
      <protection locked="0"/>
    </xf>
    <xf numFmtId="1" fontId="82" fillId="0" borderId="128" xfId="0" applyNumberFormat="1" applyFont="1" applyBorder="1" applyAlignment="1" applyProtection="1">
      <alignment horizontal="center" vertical="top"/>
      <protection locked="0"/>
    </xf>
    <xf numFmtId="2" fontId="82" fillId="3" borderId="128" xfId="0" applyNumberFormat="1" applyFont="1" applyFill="1" applyBorder="1" applyAlignment="1" applyProtection="1">
      <alignment horizontal="center" vertical="top" wrapText="1"/>
      <protection locked="0"/>
    </xf>
    <xf numFmtId="1" fontId="82" fillId="3" borderId="128" xfId="0" applyNumberFormat="1" applyFont="1" applyFill="1" applyBorder="1" applyAlignment="1" applyProtection="1">
      <alignment horizontal="center" vertical="top"/>
      <protection locked="0"/>
    </xf>
    <xf numFmtId="2" fontId="82" fillId="3" borderId="128" xfId="0" applyNumberFormat="1" applyFont="1" applyFill="1" applyBorder="1" applyAlignment="1" applyProtection="1">
      <alignment horizontal="center" vertical="top"/>
      <protection locked="0"/>
    </xf>
    <xf numFmtId="10" fontId="82" fillId="3" borderId="128" xfId="0" applyNumberFormat="1" applyFont="1" applyFill="1" applyBorder="1" applyAlignment="1" applyProtection="1">
      <alignment horizontal="center" vertical="top"/>
      <protection locked="0"/>
    </xf>
    <xf numFmtId="2" fontId="82" fillId="3" borderId="200" xfId="0" applyNumberFormat="1" applyFont="1" applyFill="1" applyBorder="1" applyAlignment="1" applyProtection="1">
      <alignment horizontal="center" vertical="top" wrapText="1"/>
      <protection locked="0"/>
    </xf>
    <xf numFmtId="1" fontId="82" fillId="3" borderId="128" xfId="0" applyNumberFormat="1" applyFont="1" applyFill="1" applyBorder="1" applyAlignment="1" applyProtection="1">
      <alignment horizontal="center" vertical="top" wrapText="1"/>
      <protection locked="0"/>
    </xf>
    <xf numFmtId="0" fontId="1" fillId="6" borderId="1" xfId="3" applyFont="1" applyFill="1" applyBorder="1" applyAlignment="1" applyProtection="1">
      <alignment horizontal="center" vertical="center"/>
      <protection locked="0"/>
    </xf>
    <xf numFmtId="0" fontId="1" fillId="6" borderId="1" xfId="3" applyFont="1" applyFill="1" applyBorder="1" applyAlignment="1" applyProtection="1">
      <alignment horizontal="center" vertical="center" wrapText="1"/>
      <protection locked="0"/>
    </xf>
    <xf numFmtId="0" fontId="161" fillId="21" borderId="312" xfId="0" applyFont="1" applyFill="1" applyBorder="1" applyAlignment="1" applyProtection="1">
      <alignment vertical="top" wrapText="1"/>
      <protection locked="0"/>
    </xf>
    <xf numFmtId="0" fontId="161" fillId="0" borderId="128" xfId="0" applyFont="1" applyBorder="1" applyAlignment="1" applyProtection="1">
      <alignment vertical="top" wrapText="1"/>
      <protection locked="0"/>
    </xf>
    <xf numFmtId="3" fontId="163" fillId="25" borderId="92" xfId="0" applyNumberFormat="1" applyFont="1" applyFill="1" applyBorder="1" applyAlignment="1" applyProtection="1">
      <alignment horizontal="center" vertical="top"/>
      <protection locked="0"/>
    </xf>
    <xf numFmtId="0" fontId="60" fillId="3" borderId="259" xfId="0" applyFont="1" applyFill="1" applyBorder="1" applyAlignment="1">
      <alignment vertical="top" wrapText="1" readingOrder="1"/>
    </xf>
    <xf numFmtId="0" fontId="58" fillId="3" borderId="239" xfId="0" applyFont="1" applyFill="1" applyBorder="1" applyAlignment="1">
      <alignment vertical="top" wrapText="1" readingOrder="1"/>
    </xf>
    <xf numFmtId="0" fontId="58" fillId="3" borderId="159" xfId="0" applyFont="1" applyFill="1" applyBorder="1" applyAlignment="1">
      <alignment horizontal="center" vertical="top" wrapText="1" readingOrder="1"/>
    </xf>
    <xf numFmtId="0" fontId="58" fillId="3" borderId="159" xfId="0" applyFont="1" applyFill="1" applyBorder="1" applyAlignment="1">
      <alignment horizontal="left" vertical="top" wrapText="1" readingOrder="1"/>
    </xf>
    <xf numFmtId="0" fontId="58" fillId="3" borderId="158" xfId="0" applyFont="1" applyFill="1" applyBorder="1" applyAlignment="1">
      <alignment horizontal="center" vertical="top" wrapText="1" readingOrder="1"/>
    </xf>
    <xf numFmtId="167" fontId="60" fillId="3" borderId="258" xfId="0" applyNumberFormat="1" applyFont="1" applyFill="1" applyBorder="1" applyAlignment="1">
      <alignment horizontal="center" vertical="top"/>
    </xf>
    <xf numFmtId="0" fontId="58" fillId="3" borderId="158" xfId="0" applyFont="1" applyFill="1" applyBorder="1" applyAlignment="1" applyProtection="1">
      <alignment horizontal="center" vertical="top"/>
      <protection locked="0"/>
    </xf>
    <xf numFmtId="0" fontId="60" fillId="3" borderId="221" xfId="0" applyFont="1" applyFill="1" applyBorder="1" applyAlignment="1" applyProtection="1">
      <alignment horizontal="center" vertical="top"/>
      <protection locked="0"/>
    </xf>
    <xf numFmtId="0" fontId="60" fillId="3" borderId="220" xfId="0" applyFont="1" applyFill="1" applyBorder="1" applyAlignment="1" applyProtection="1">
      <alignment horizontal="center" vertical="top"/>
      <protection locked="0"/>
    </xf>
    <xf numFmtId="0" fontId="60" fillId="3" borderId="247" xfId="0" applyFont="1" applyFill="1" applyBorder="1" applyAlignment="1" applyProtection="1">
      <alignment horizontal="center" vertical="top"/>
      <protection locked="0"/>
    </xf>
    <xf numFmtId="0" fontId="60" fillId="3" borderId="158" xfId="0" applyFont="1" applyFill="1" applyBorder="1" applyAlignment="1" applyProtection="1">
      <alignment vertical="top"/>
      <protection locked="0"/>
    </xf>
    <xf numFmtId="0" fontId="60" fillId="3" borderId="159" xfId="0" applyFont="1" applyFill="1" applyBorder="1" applyAlignment="1" applyProtection="1">
      <alignment vertical="top"/>
      <protection locked="0"/>
    </xf>
    <xf numFmtId="0" fontId="60" fillId="3" borderId="159" xfId="0" applyFont="1" applyFill="1" applyBorder="1" applyAlignment="1" applyProtection="1">
      <alignment horizontal="center" vertical="top"/>
      <protection locked="0"/>
    </xf>
    <xf numFmtId="0" fontId="60" fillId="3" borderId="162" xfId="0" applyFont="1" applyFill="1" applyBorder="1" applyAlignment="1" applyProtection="1">
      <alignment horizontal="center" vertical="top"/>
      <protection locked="0"/>
    </xf>
    <xf numFmtId="0" fontId="60" fillId="3" borderId="25" xfId="0" applyFont="1" applyFill="1" applyBorder="1" applyAlignment="1">
      <alignment vertical="top"/>
    </xf>
    <xf numFmtId="0" fontId="60" fillId="3" borderId="0" xfId="0" applyFont="1" applyFill="1" applyAlignment="1">
      <alignment vertical="top"/>
    </xf>
    <xf numFmtId="0" fontId="65" fillId="3" borderId="252" xfId="0" applyFont="1" applyFill="1" applyBorder="1" applyAlignment="1">
      <alignment vertical="top" wrapText="1" readingOrder="1"/>
    </xf>
    <xf numFmtId="0" fontId="65" fillId="3" borderId="238" xfId="0" applyFont="1" applyFill="1" applyBorder="1" applyAlignment="1">
      <alignment vertical="top" wrapText="1" readingOrder="1"/>
    </xf>
    <xf numFmtId="0" fontId="58" fillId="3" borderId="92" xfId="0" applyFont="1" applyFill="1" applyBorder="1" applyAlignment="1">
      <alignment horizontal="center" vertical="top" wrapText="1" readingOrder="1"/>
    </xf>
    <xf numFmtId="0" fontId="58" fillId="3" borderId="92" xfId="0" applyFont="1" applyFill="1" applyBorder="1" applyAlignment="1">
      <alignment horizontal="left" vertical="top" wrapText="1" readingOrder="1"/>
    </xf>
    <xf numFmtId="0" fontId="58" fillId="3" borderId="91" xfId="0" applyFont="1" applyFill="1" applyBorder="1" applyAlignment="1">
      <alignment horizontal="center" vertical="top" wrapText="1" readingOrder="1"/>
    </xf>
    <xf numFmtId="167" fontId="72" fillId="3" borderId="251" xfId="0" applyNumberFormat="1" applyFont="1" applyFill="1" applyBorder="1" applyAlignment="1">
      <alignment horizontal="center" vertical="top"/>
    </xf>
    <xf numFmtId="0" fontId="58" fillId="3" borderId="91" xfId="0" applyFont="1" applyFill="1" applyBorder="1" applyAlignment="1" applyProtection="1">
      <alignment horizontal="center" vertical="top"/>
      <protection locked="0"/>
    </xf>
    <xf numFmtId="0" fontId="60" fillId="3" borderId="96" xfId="0" applyFont="1" applyFill="1" applyBorder="1" applyAlignment="1" applyProtection="1">
      <alignment horizontal="center" vertical="top"/>
      <protection locked="0"/>
    </xf>
    <xf numFmtId="0" fontId="60" fillId="3" borderId="97" xfId="0" applyFont="1" applyFill="1" applyBorder="1" applyAlignment="1" applyProtection="1">
      <alignment horizontal="center" vertical="top"/>
      <protection locked="0"/>
    </xf>
    <xf numFmtId="0" fontId="60" fillId="3" borderId="98" xfId="0" applyFont="1" applyFill="1" applyBorder="1" applyAlignment="1" applyProtection="1">
      <alignment horizontal="center" vertical="top"/>
      <protection locked="0"/>
    </xf>
    <xf numFmtId="0" fontId="60" fillId="3" borderId="91" xfId="0" applyFont="1" applyFill="1" applyBorder="1" applyAlignment="1" applyProtection="1">
      <alignment vertical="top" wrapText="1"/>
      <protection locked="0"/>
    </xf>
    <xf numFmtId="0" fontId="60" fillId="3" borderId="92" xfId="0" applyFont="1" applyFill="1" applyBorder="1" applyAlignment="1" applyProtection="1">
      <alignment horizontal="left" vertical="top" wrapText="1"/>
      <protection locked="0"/>
    </xf>
    <xf numFmtId="0" fontId="60" fillId="3" borderId="92" xfId="0" applyFont="1" applyFill="1" applyBorder="1" applyAlignment="1" applyProtection="1">
      <alignment horizontal="center" vertical="top"/>
      <protection locked="0"/>
    </xf>
    <xf numFmtId="0" fontId="60" fillId="3" borderId="93" xfId="0" applyFont="1" applyFill="1" applyBorder="1" applyAlignment="1" applyProtection="1">
      <alignment horizontal="center" vertical="top"/>
      <protection locked="0"/>
    </xf>
    <xf numFmtId="0" fontId="60" fillId="3" borderId="91" xfId="0" applyFont="1" applyFill="1" applyBorder="1" applyAlignment="1" applyProtection="1">
      <alignment vertical="top"/>
      <protection locked="0"/>
    </xf>
    <xf numFmtId="0" fontId="60" fillId="3" borderId="92" xfId="0" applyFont="1" applyFill="1" applyBorder="1" applyAlignment="1" applyProtection="1">
      <alignment vertical="top"/>
      <protection locked="0"/>
    </xf>
    <xf numFmtId="0" fontId="65" fillId="3" borderId="246" xfId="0" applyFont="1" applyFill="1" applyBorder="1" applyAlignment="1">
      <alignment vertical="top" wrapText="1" readingOrder="1"/>
    </xf>
    <xf numFmtId="0" fontId="58" fillId="3" borderId="177" xfId="0" applyFont="1" applyFill="1" applyBorder="1" applyAlignment="1">
      <alignment horizontal="center" vertical="top" wrapText="1" readingOrder="1"/>
    </xf>
    <xf numFmtId="0" fontId="58" fillId="3" borderId="177" xfId="0" applyFont="1" applyFill="1" applyBorder="1" applyAlignment="1">
      <alignment horizontal="left" vertical="top" wrapText="1" readingOrder="1"/>
    </xf>
    <xf numFmtId="0" fontId="58" fillId="3" borderId="176" xfId="0" applyFont="1" applyFill="1" applyBorder="1" applyAlignment="1">
      <alignment horizontal="center" vertical="top" wrapText="1" readingOrder="1"/>
    </xf>
    <xf numFmtId="0" fontId="58" fillId="3" borderId="176" xfId="0" applyFont="1" applyFill="1" applyBorder="1" applyAlignment="1" applyProtection="1">
      <alignment horizontal="center" vertical="top"/>
      <protection locked="0"/>
    </xf>
    <xf numFmtId="0" fontId="60" fillId="3" borderId="190" xfId="0" applyFont="1" applyFill="1" applyBorder="1" applyAlignment="1" applyProtection="1">
      <alignment horizontal="center" vertical="top"/>
      <protection locked="0"/>
    </xf>
    <xf numFmtId="0" fontId="60" fillId="3" borderId="189" xfId="0" applyFont="1" applyFill="1" applyBorder="1" applyAlignment="1" applyProtection="1">
      <alignment horizontal="center" vertical="top"/>
      <protection locked="0"/>
    </xf>
    <xf numFmtId="0" fontId="60" fillId="3" borderId="248" xfId="0" applyFont="1" applyFill="1" applyBorder="1" applyAlignment="1" applyProtection="1">
      <alignment horizontal="center" vertical="top"/>
      <protection locked="0"/>
    </xf>
    <xf numFmtId="0" fontId="60" fillId="3" borderId="176" xfId="0" applyFont="1" applyFill="1" applyBorder="1" applyAlignment="1" applyProtection="1">
      <alignment vertical="top"/>
      <protection locked="0"/>
    </xf>
    <xf numFmtId="0" fontId="60" fillId="3" borderId="177" xfId="0" applyFont="1" applyFill="1" applyBorder="1" applyAlignment="1" applyProtection="1">
      <alignment vertical="top"/>
      <protection locked="0"/>
    </xf>
    <xf numFmtId="0" fontId="60" fillId="3" borderId="177" xfId="0" applyFont="1" applyFill="1" applyBorder="1" applyAlignment="1" applyProtection="1">
      <alignment horizontal="center" vertical="top"/>
      <protection locked="0"/>
    </xf>
    <xf numFmtId="0" fontId="60" fillId="3" borderId="180" xfId="0" applyFont="1" applyFill="1" applyBorder="1" applyAlignment="1" applyProtection="1">
      <alignment horizontal="center" vertical="top"/>
      <protection locked="0"/>
    </xf>
    <xf numFmtId="0" fontId="58" fillId="3" borderId="83" xfId="0" applyFont="1" applyFill="1" applyBorder="1" applyAlignment="1">
      <alignment horizontal="center" vertical="top" wrapText="1" readingOrder="1"/>
    </xf>
    <xf numFmtId="0" fontId="58" fillId="3" borderId="83" xfId="0" applyFont="1" applyFill="1" applyBorder="1" applyAlignment="1">
      <alignment horizontal="left" vertical="top" wrapText="1" readingOrder="1"/>
    </xf>
    <xf numFmtId="0" fontId="58" fillId="3" borderId="82" xfId="0" applyFont="1" applyFill="1" applyBorder="1" applyAlignment="1">
      <alignment horizontal="center" vertical="top" wrapText="1" readingOrder="1"/>
    </xf>
    <xf numFmtId="0" fontId="58" fillId="3" borderId="82" xfId="0" applyFont="1" applyFill="1" applyBorder="1" applyAlignment="1" applyProtection="1">
      <alignment horizontal="center" vertical="top"/>
      <protection locked="0"/>
    </xf>
    <xf numFmtId="0" fontId="60" fillId="3" borderId="87" xfId="0" applyFont="1" applyFill="1" applyBorder="1" applyAlignment="1" applyProtection="1">
      <alignment horizontal="center" vertical="top"/>
      <protection locked="0"/>
    </xf>
    <xf numFmtId="0" fontId="60" fillId="3" borderId="88" xfId="0" applyFont="1" applyFill="1" applyBorder="1" applyAlignment="1" applyProtection="1">
      <alignment horizontal="center" vertical="top"/>
      <protection locked="0"/>
    </xf>
    <xf numFmtId="0" fontId="60" fillId="3" borderId="89" xfId="0" applyFont="1" applyFill="1" applyBorder="1" applyAlignment="1" applyProtection="1">
      <alignment horizontal="center" vertical="top"/>
      <protection locked="0"/>
    </xf>
    <xf numFmtId="0" fontId="60" fillId="3" borderId="82" xfId="0" applyFont="1" applyFill="1" applyBorder="1" applyAlignment="1" applyProtection="1">
      <alignment vertical="top"/>
      <protection locked="0"/>
    </xf>
    <xf numFmtId="0" fontId="60" fillId="3" borderId="83" xfId="0" applyFont="1" applyFill="1" applyBorder="1" applyAlignment="1" applyProtection="1">
      <alignment vertical="top"/>
      <protection locked="0"/>
    </xf>
    <xf numFmtId="0" fontId="60" fillId="3" borderId="83" xfId="0" applyFont="1" applyFill="1" applyBorder="1" applyAlignment="1" applyProtection="1">
      <alignment horizontal="center" vertical="top"/>
      <protection locked="0"/>
    </xf>
    <xf numFmtId="0" fontId="60" fillId="3" borderId="84" xfId="0" applyFont="1" applyFill="1" applyBorder="1" applyAlignment="1" applyProtection="1">
      <alignment horizontal="center" vertical="top"/>
      <protection locked="0"/>
    </xf>
    <xf numFmtId="0" fontId="65" fillId="3" borderId="261" xfId="0" applyFont="1" applyFill="1" applyBorder="1" applyAlignment="1">
      <alignment vertical="top" wrapText="1" readingOrder="1"/>
    </xf>
    <xf numFmtId="0" fontId="65" fillId="3" borderId="242" xfId="0" applyFont="1" applyFill="1" applyBorder="1" applyAlignment="1">
      <alignment vertical="top" wrapText="1" readingOrder="1"/>
    </xf>
    <xf numFmtId="0" fontId="58" fillId="3" borderId="145" xfId="0" applyFont="1" applyFill="1" applyBorder="1" applyAlignment="1">
      <alignment horizontal="center" vertical="top" wrapText="1" readingOrder="1"/>
    </xf>
    <xf numFmtId="0" fontId="58" fillId="3" borderId="145" xfId="0" applyFont="1" applyFill="1" applyBorder="1" applyAlignment="1">
      <alignment horizontal="left" vertical="top" wrapText="1" readingOrder="1"/>
    </xf>
    <xf numFmtId="0" fontId="58" fillId="3" borderId="144" xfId="0" applyFont="1" applyFill="1" applyBorder="1" applyAlignment="1">
      <alignment horizontal="center" vertical="top" wrapText="1" readingOrder="1"/>
    </xf>
    <xf numFmtId="167" fontId="72" fillId="3" borderId="260" xfId="0" applyNumberFormat="1" applyFont="1" applyFill="1" applyBorder="1" applyAlignment="1">
      <alignment horizontal="center" vertical="top"/>
    </xf>
    <xf numFmtId="0" fontId="58" fillId="3" borderId="144" xfId="0" applyFont="1" applyFill="1" applyBorder="1" applyAlignment="1" applyProtection="1">
      <alignment horizontal="center" vertical="top"/>
      <protection locked="0"/>
    </xf>
    <xf numFmtId="0" fontId="60" fillId="3" borderId="192" xfId="0" applyFont="1" applyFill="1" applyBorder="1" applyAlignment="1" applyProtection="1">
      <alignment horizontal="center" vertical="top"/>
      <protection locked="0"/>
    </xf>
    <xf numFmtId="0" fontId="60" fillId="3" borderId="191" xfId="0" applyFont="1" applyFill="1" applyBorder="1" applyAlignment="1" applyProtection="1">
      <alignment horizontal="center" vertical="top"/>
      <protection locked="0"/>
    </xf>
    <xf numFmtId="0" fontId="60" fillId="3" borderId="243" xfId="0" applyFont="1" applyFill="1" applyBorder="1" applyAlignment="1" applyProtection="1">
      <alignment horizontal="center" vertical="top"/>
      <protection locked="0"/>
    </xf>
    <xf numFmtId="0" fontId="60" fillId="3" borderId="144" xfId="0" applyFont="1" applyFill="1" applyBorder="1" applyAlignment="1" applyProtection="1">
      <alignment vertical="top"/>
      <protection locked="0"/>
    </xf>
    <xf numFmtId="0" fontId="60" fillId="3" borderId="145" xfId="0" applyFont="1" applyFill="1" applyBorder="1" applyAlignment="1" applyProtection="1">
      <alignment vertical="top"/>
      <protection locked="0"/>
    </xf>
    <xf numFmtId="0" fontId="60" fillId="3" borderId="145" xfId="0" applyFont="1" applyFill="1" applyBorder="1" applyAlignment="1" applyProtection="1">
      <alignment horizontal="center" vertical="top"/>
      <protection locked="0"/>
    </xf>
    <xf numFmtId="0" fontId="60" fillId="3" borderId="148" xfId="0" applyFont="1" applyFill="1" applyBorder="1" applyAlignment="1" applyProtection="1">
      <alignment horizontal="center" vertical="top"/>
      <protection locked="0"/>
    </xf>
    <xf numFmtId="1" fontId="63" fillId="25" borderId="184" xfId="0" applyNumberFormat="1" applyFont="1" applyFill="1" applyBorder="1" applyAlignment="1" applyProtection="1">
      <alignment horizontal="center" vertical="top" wrapText="1"/>
      <protection locked="0"/>
    </xf>
    <xf numFmtId="1" fontId="63" fillId="25" borderId="185" xfId="0" applyNumberFormat="1" applyFont="1" applyFill="1" applyBorder="1" applyAlignment="1" applyProtection="1">
      <alignment horizontal="center" vertical="top" wrapText="1"/>
      <protection locked="0"/>
    </xf>
    <xf numFmtId="3" fontId="58" fillId="0" borderId="128" xfId="0" applyNumberFormat="1" applyFont="1" applyBorder="1" applyAlignment="1" applyProtection="1">
      <alignment horizontal="center" vertical="top" wrapText="1"/>
      <protection locked="0"/>
    </xf>
    <xf numFmtId="3" fontId="58" fillId="0" borderId="92" xfId="0" applyNumberFormat="1" applyFont="1" applyBorder="1" applyAlignment="1" applyProtection="1">
      <alignment horizontal="center" vertical="top" wrapText="1"/>
      <protection locked="0"/>
    </xf>
    <xf numFmtId="3" fontId="58" fillId="0" borderId="93" xfId="0" applyNumberFormat="1" applyFont="1" applyBorder="1" applyAlignment="1" applyProtection="1">
      <alignment horizontal="center" vertical="top" wrapText="1"/>
      <protection locked="0"/>
    </xf>
    <xf numFmtId="3" fontId="61" fillId="3" borderId="92" xfId="0" applyNumberFormat="1" applyFont="1" applyFill="1" applyBorder="1" applyAlignment="1" applyProtection="1">
      <alignment horizontal="center" vertical="top" wrapText="1"/>
      <protection locked="0"/>
    </xf>
    <xf numFmtId="2" fontId="58" fillId="0" borderId="117" xfId="0" applyNumberFormat="1" applyFont="1" applyBorder="1" applyAlignment="1" applyProtection="1">
      <alignment horizontal="center" vertical="top" wrapText="1"/>
      <protection locked="0"/>
    </xf>
    <xf numFmtId="1" fontId="0" fillId="0" borderId="0" xfId="0" applyNumberFormat="1" applyAlignment="1" applyProtection="1">
      <alignment vertical="center"/>
      <protection locked="0"/>
    </xf>
    <xf numFmtId="0" fontId="130" fillId="3" borderId="1" xfId="0" applyFont="1" applyFill="1" applyBorder="1" applyAlignment="1">
      <alignment horizontal="center" vertical="center" wrapText="1" readingOrder="1"/>
    </xf>
    <xf numFmtId="2" fontId="0" fillId="3" borderId="1" xfId="0" quotePrefix="1" applyNumberFormat="1" applyFill="1" applyBorder="1" applyProtection="1">
      <protection locked="0"/>
    </xf>
    <xf numFmtId="0" fontId="58" fillId="0" borderId="180" xfId="0" quotePrefix="1" applyFont="1" applyBorder="1" applyAlignment="1" applyProtection="1">
      <alignment vertical="top" wrapText="1"/>
      <protection locked="0"/>
    </xf>
    <xf numFmtId="2" fontId="46" fillId="0" borderId="1" xfId="0" applyNumberFormat="1" applyFont="1" applyBorder="1" applyAlignment="1" applyProtection="1">
      <alignment horizontal="center" vertical="center"/>
      <protection locked="0"/>
    </xf>
    <xf numFmtId="1" fontId="58" fillId="3" borderId="99" xfId="0" applyNumberFormat="1" applyFont="1" applyFill="1" applyBorder="1" applyAlignment="1" applyProtection="1">
      <alignment vertical="top"/>
      <protection locked="0"/>
    </xf>
    <xf numFmtId="170" fontId="70" fillId="3" borderId="96" xfId="0" applyNumberFormat="1" applyFont="1" applyFill="1" applyBorder="1" applyAlignment="1" applyProtection="1">
      <alignment horizontal="center" vertical="top" wrapText="1"/>
      <protection locked="0"/>
    </xf>
    <xf numFmtId="2" fontId="82" fillId="3" borderId="200" xfId="0" applyNumberFormat="1" applyFont="1" applyFill="1" applyBorder="1" applyAlignment="1" applyProtection="1">
      <alignment horizontal="left" vertical="top"/>
      <protection locked="0"/>
    </xf>
    <xf numFmtId="0" fontId="162" fillId="0" borderId="128" xfId="0" applyFont="1" applyBorder="1" applyAlignment="1" applyProtection="1">
      <alignment vertical="top" wrapText="1"/>
      <protection locked="0"/>
    </xf>
    <xf numFmtId="0" fontId="90" fillId="0" borderId="93" xfId="0" applyFont="1" applyBorder="1" applyAlignment="1" applyProtection="1">
      <alignment vertical="top" wrapText="1"/>
      <protection locked="0"/>
    </xf>
    <xf numFmtId="0" fontId="161" fillId="21" borderId="313" xfId="0" applyFont="1" applyFill="1" applyBorder="1" applyAlignment="1" applyProtection="1">
      <alignment vertical="top" wrapText="1"/>
      <protection locked="0"/>
    </xf>
    <xf numFmtId="0" fontId="162" fillId="0" borderId="179" xfId="0" quotePrefix="1" applyFont="1" applyBorder="1" applyAlignment="1" applyProtection="1">
      <alignment vertical="top" wrapText="1"/>
      <protection locked="0"/>
    </xf>
    <xf numFmtId="1" fontId="163" fillId="25" borderId="184" xfId="0" applyNumberFormat="1" applyFont="1" applyFill="1" applyBorder="1" applyAlignment="1" applyProtection="1">
      <alignment horizontal="center" vertical="top" wrapText="1"/>
      <protection locked="0"/>
    </xf>
    <xf numFmtId="0" fontId="90" fillId="0" borderId="176" xfId="0" applyFont="1" applyBorder="1" applyAlignment="1" applyProtection="1">
      <alignment vertical="top" wrapText="1"/>
      <protection locked="0"/>
    </xf>
    <xf numFmtId="0" fontId="90" fillId="0" borderId="180" xfId="0" quotePrefix="1" applyFont="1" applyBorder="1" applyAlignment="1" applyProtection="1">
      <alignment vertical="top" wrapText="1"/>
      <protection locked="0"/>
    </xf>
    <xf numFmtId="2" fontId="11" fillId="3" borderId="1" xfId="0" applyNumberFormat="1" applyFont="1" applyFill="1" applyBorder="1" applyAlignment="1" applyProtection="1">
      <alignment horizontal="center" vertical="center"/>
      <protection locked="0"/>
    </xf>
    <xf numFmtId="169" fontId="58" fillId="0" borderId="96" xfId="0" applyNumberFormat="1" applyFont="1" applyBorder="1" applyAlignment="1" applyProtection="1">
      <alignment horizontal="center" vertical="top"/>
      <protection locked="0"/>
    </xf>
    <xf numFmtId="0" fontId="90" fillId="0" borderId="84" xfId="0" applyFont="1" applyBorder="1" applyAlignment="1" applyProtection="1">
      <alignment vertical="top" wrapText="1"/>
      <protection locked="0"/>
    </xf>
    <xf numFmtId="10" fontId="151" fillId="0" borderId="397" xfId="0" applyNumberFormat="1" applyFont="1" applyBorder="1" applyAlignment="1" applyProtection="1">
      <alignment horizontal="center" vertical="top"/>
      <protection locked="0"/>
    </xf>
    <xf numFmtId="0" fontId="90" fillId="0" borderId="82" xfId="0" applyFont="1" applyBorder="1" applyAlignment="1" applyProtection="1">
      <alignment vertical="top" wrapText="1"/>
      <protection locked="0"/>
    </xf>
    <xf numFmtId="2" fontId="82" fillId="3" borderId="96" xfId="0" applyNumberFormat="1" applyFont="1" applyFill="1" applyBorder="1" applyAlignment="1" applyProtection="1">
      <alignment horizontal="left" vertical="top"/>
      <protection locked="0"/>
    </xf>
    <xf numFmtId="170" fontId="70" fillId="0" borderId="0" xfId="0" applyNumberFormat="1" applyFont="1" applyAlignment="1" applyProtection="1">
      <alignment vertical="top"/>
      <protection locked="0"/>
    </xf>
    <xf numFmtId="0" fontId="39" fillId="0" borderId="9" xfId="0" applyFont="1" applyBorder="1" applyAlignment="1" applyProtection="1">
      <alignment horizontal="center" vertical="center"/>
      <protection locked="0"/>
    </xf>
    <xf numFmtId="170" fontId="46" fillId="0" borderId="10" xfId="0" applyNumberFormat="1" applyFont="1" applyBorder="1" applyAlignment="1" applyProtection="1">
      <alignment horizontal="center" vertical="center"/>
      <protection locked="0"/>
    </xf>
    <xf numFmtId="174" fontId="58" fillId="0" borderId="96" xfId="1" applyNumberFormat="1" applyFont="1" applyBorder="1" applyAlignment="1" applyProtection="1">
      <alignment horizontal="right" vertical="top" wrapText="1"/>
      <protection locked="0"/>
    </xf>
    <xf numFmtId="174" fontId="58" fillId="0" borderId="97" xfId="1" applyNumberFormat="1" applyFont="1" applyBorder="1" applyAlignment="1" applyProtection="1">
      <alignment horizontal="right" vertical="top"/>
      <protection locked="0"/>
    </xf>
    <xf numFmtId="175" fontId="90" fillId="0" borderId="96" xfId="1" applyNumberFormat="1" applyFont="1" applyBorder="1" applyAlignment="1" applyProtection="1">
      <alignment horizontal="right" vertical="top"/>
      <protection locked="0"/>
    </xf>
    <xf numFmtId="3" fontId="0" fillId="0" borderId="11" xfId="0" applyNumberFormat="1" applyBorder="1" applyAlignment="1" applyProtection="1">
      <alignment horizontal="center" vertical="center"/>
      <protection locked="0"/>
    </xf>
    <xf numFmtId="3" fontId="0" fillId="0" borderId="12" xfId="0" applyNumberFormat="1" applyBorder="1" applyAlignment="1" applyProtection="1">
      <alignment horizontal="center" vertical="center"/>
      <protection locked="0"/>
    </xf>
    <xf numFmtId="10" fontId="70" fillId="3" borderId="96" xfId="0" applyNumberFormat="1" applyFont="1" applyFill="1" applyBorder="1" applyAlignment="1" applyProtection="1">
      <alignment horizontal="center" vertical="top" wrapText="1"/>
      <protection locked="0"/>
    </xf>
    <xf numFmtId="169" fontId="58" fillId="3" borderId="201" xfId="0" applyNumberFormat="1" applyFont="1" applyFill="1" applyBorder="1" applyAlignment="1" applyProtection="1">
      <alignment horizontal="center" vertical="top"/>
      <protection locked="0"/>
    </xf>
    <xf numFmtId="2" fontId="117" fillId="0" borderId="2" xfId="0" applyNumberFormat="1" applyFont="1" applyBorder="1" applyAlignment="1" applyProtection="1">
      <alignment horizontal="center" vertical="center" wrapText="1"/>
      <protection locked="0"/>
    </xf>
    <xf numFmtId="2" fontId="117" fillId="0" borderId="7" xfId="0" applyNumberFormat="1" applyFont="1" applyBorder="1" applyAlignment="1" applyProtection="1">
      <alignment horizontal="center" vertical="center" wrapText="1"/>
      <protection locked="0"/>
    </xf>
    <xf numFmtId="2" fontId="117" fillId="3" borderId="403" xfId="0" applyNumberFormat="1" applyFont="1" applyFill="1" applyBorder="1" applyProtection="1">
      <protection locked="0"/>
    </xf>
    <xf numFmtId="2" fontId="117" fillId="3" borderId="318" xfId="0" applyNumberFormat="1" applyFont="1" applyFill="1" applyBorder="1" applyProtection="1">
      <protection locked="0"/>
    </xf>
    <xf numFmtId="3" fontId="99" fillId="0" borderId="404" xfId="0" applyNumberFormat="1" applyFont="1" applyBorder="1" applyAlignment="1">
      <alignment horizontal="center" vertical="top" wrapText="1"/>
    </xf>
    <xf numFmtId="3" fontId="99" fillId="0" borderId="405" xfId="0" applyNumberFormat="1" applyFont="1" applyBorder="1" applyAlignment="1">
      <alignment horizontal="center" vertical="top" wrapText="1"/>
    </xf>
    <xf numFmtId="3" fontId="99" fillId="0" borderId="1" xfId="1" applyNumberFormat="1" applyFont="1" applyBorder="1" applyAlignment="1">
      <alignment horizontal="center" vertical="top" wrapText="1"/>
    </xf>
    <xf numFmtId="3" fontId="99" fillId="0" borderId="1" xfId="0" applyNumberFormat="1" applyFont="1" applyBorder="1" applyAlignment="1">
      <alignment horizontal="center" vertical="top" wrapText="1"/>
    </xf>
    <xf numFmtId="9" fontId="117" fillId="0" borderId="1" xfId="2" applyFont="1" applyBorder="1" applyAlignment="1" applyProtection="1">
      <alignment horizontal="center" vertical="center" wrapText="1"/>
      <protection locked="0"/>
    </xf>
    <xf numFmtId="9" fontId="117" fillId="0" borderId="15" xfId="0" applyNumberFormat="1" applyFont="1" applyBorder="1" applyAlignment="1" applyProtection="1">
      <alignment horizontal="right" vertical="center"/>
      <protection locked="0"/>
    </xf>
    <xf numFmtId="9" fontId="117" fillId="0" borderId="14" xfId="0" applyNumberFormat="1" applyFont="1" applyBorder="1" applyAlignment="1" applyProtection="1">
      <alignment horizontal="right" vertical="center"/>
      <protection locked="0"/>
    </xf>
    <xf numFmtId="3" fontId="99" fillId="0" borderId="1" xfId="1" applyNumberFormat="1" applyFont="1" applyBorder="1" applyAlignment="1" applyProtection="1">
      <alignment horizontal="center" vertical="top" wrapText="1"/>
      <protection locked="0"/>
    </xf>
    <xf numFmtId="3" fontId="99" fillId="0" borderId="1" xfId="0" applyNumberFormat="1" applyFont="1" applyBorder="1" applyAlignment="1" applyProtection="1">
      <alignment horizontal="center" vertical="top" wrapText="1"/>
      <protection locked="0"/>
    </xf>
    <xf numFmtId="165" fontId="117" fillId="0" borderId="1" xfId="1" applyFont="1" applyBorder="1" applyAlignment="1" applyProtection="1">
      <alignment vertical="center"/>
      <protection locked="0"/>
    </xf>
    <xf numFmtId="0" fontId="90" fillId="0" borderId="91" xfId="0" applyFont="1" applyBorder="1" applyAlignment="1" applyProtection="1">
      <alignment vertical="top" wrapText="1"/>
      <protection locked="0"/>
    </xf>
    <xf numFmtId="0" fontId="161" fillId="21" borderId="314" xfId="0" applyFont="1" applyFill="1" applyBorder="1" applyAlignment="1" applyProtection="1">
      <alignment vertical="top" wrapText="1"/>
      <protection locked="0"/>
    </xf>
    <xf numFmtId="0" fontId="90" fillId="0" borderId="147" xfId="0" applyFont="1" applyBorder="1" applyAlignment="1" applyProtection="1">
      <alignment vertical="top" wrapText="1"/>
      <protection locked="0"/>
    </xf>
    <xf numFmtId="0" fontId="90" fillId="0" borderId="148" xfId="0" applyFont="1" applyBorder="1" applyAlignment="1" applyProtection="1">
      <alignment vertical="top" wrapText="1"/>
      <protection locked="0"/>
    </xf>
    <xf numFmtId="0" fontId="90" fillId="0" borderId="144" xfId="0" applyFont="1" applyBorder="1" applyAlignment="1" applyProtection="1">
      <alignment vertical="top" wrapText="1"/>
      <protection locked="0"/>
    </xf>
    <xf numFmtId="2" fontId="90" fillId="0" borderId="200" xfId="0" applyNumberFormat="1" applyFont="1" applyBorder="1" applyAlignment="1" applyProtection="1">
      <alignment vertical="top" wrapText="1"/>
      <protection locked="0"/>
    </xf>
    <xf numFmtId="0" fontId="80" fillId="9" borderId="0" xfId="0" applyFont="1" applyFill="1" applyAlignment="1">
      <alignment horizontal="center" vertical="center"/>
    </xf>
    <xf numFmtId="2" fontId="70" fillId="3" borderId="200" xfId="0" applyNumberFormat="1" applyFont="1" applyFill="1" applyBorder="1" applyAlignment="1">
      <alignment horizontal="left" vertical="top" wrapText="1" shrinkToFit="1"/>
    </xf>
    <xf numFmtId="2" fontId="70" fillId="3" borderId="200" xfId="0" applyNumberFormat="1" applyFont="1" applyFill="1" applyBorder="1" applyAlignment="1">
      <alignment horizontal="left" vertical="top" wrapText="1"/>
    </xf>
    <xf numFmtId="2" fontId="70" fillId="3" borderId="213" xfId="0" applyNumberFormat="1" applyFont="1" applyFill="1" applyBorder="1" applyAlignment="1">
      <alignment horizontal="left" vertical="top" wrapText="1" shrinkToFit="1"/>
    </xf>
    <xf numFmtId="2" fontId="70" fillId="3" borderId="204" xfId="0" applyNumberFormat="1" applyFont="1" applyFill="1" applyBorder="1" applyAlignment="1">
      <alignment horizontal="left" vertical="top" wrapText="1" shrinkToFit="1"/>
    </xf>
    <xf numFmtId="2" fontId="70" fillId="3" borderId="213" xfId="0" applyNumberFormat="1" applyFont="1" applyFill="1" applyBorder="1" applyAlignment="1">
      <alignment horizontal="left" vertical="top" wrapText="1"/>
    </xf>
    <xf numFmtId="2" fontId="70" fillId="3" borderId="204" xfId="0" applyNumberFormat="1" applyFont="1" applyFill="1" applyBorder="1" applyAlignment="1" applyProtection="1">
      <alignment horizontal="left" vertical="top" wrapText="1"/>
      <protection locked="0"/>
    </xf>
    <xf numFmtId="2" fontId="70" fillId="3" borderId="213" xfId="0" applyNumberFormat="1" applyFont="1" applyFill="1" applyBorder="1" applyAlignment="1" applyProtection="1">
      <alignment horizontal="left" vertical="top" wrapText="1" shrinkToFit="1"/>
      <protection locked="0"/>
    </xf>
    <xf numFmtId="2" fontId="70" fillId="3" borderId="204" xfId="0" applyNumberFormat="1" applyFont="1" applyFill="1" applyBorder="1" applyAlignment="1" applyProtection="1">
      <alignment horizontal="left" vertical="top" wrapText="1" shrinkToFit="1"/>
      <protection locked="0"/>
    </xf>
    <xf numFmtId="2" fontId="70" fillId="3" borderId="200" xfId="0" applyNumberFormat="1" applyFont="1" applyFill="1" applyBorder="1" applyAlignment="1" applyProtection="1">
      <alignment horizontal="left" vertical="top" wrapText="1"/>
      <protection locked="0"/>
    </xf>
    <xf numFmtId="2" fontId="70" fillId="3" borderId="200" xfId="0" applyNumberFormat="1" applyFont="1" applyFill="1" applyBorder="1" applyAlignment="1" applyProtection="1">
      <alignment horizontal="left" vertical="top"/>
      <protection locked="0"/>
    </xf>
    <xf numFmtId="2" fontId="70" fillId="3" borderId="213" xfId="0" applyNumberFormat="1" applyFont="1" applyFill="1" applyBorder="1" applyAlignment="1" applyProtection="1">
      <alignment horizontal="left" vertical="top" wrapText="1"/>
      <protection locked="0"/>
    </xf>
  </cellXfs>
  <cellStyles count="8">
    <cellStyle name="Comma" xfId="1" builtinId="3"/>
    <cellStyle name="Comma 2" xfId="7" xr:uid="{29F7270B-EA95-42C6-BAC5-74A505E047EC}"/>
    <cellStyle name="Hyperlink" xfId="4" builtinId="8"/>
    <cellStyle name="Normal" xfId="0" builtinId="0"/>
    <cellStyle name="Normal 2" xfId="3" xr:uid="{3A73C503-AEC3-4EDE-B4E9-19465A0F2C72}"/>
    <cellStyle name="Normal 3" xfId="5" xr:uid="{82916370-8F65-4775-A39B-D298E38EDBB3}"/>
    <cellStyle name="Percent" xfId="2" builtinId="5"/>
    <cellStyle name="Percent 2" xfId="6" xr:uid="{534D9F9C-9CCA-460F-B1A0-0AEEB9F5009E}"/>
  </cellStyles>
  <dxfs count="111">
    <dxf>
      <fill>
        <patternFill>
          <bgColor theme="1" tint="0.24994659260841701"/>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1" tint="0.24994659260841701"/>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1" tint="0.24994659260841701"/>
        </patternFill>
      </fill>
    </dxf>
    <dxf>
      <fill>
        <patternFill>
          <bgColor theme="3" tint="0.749961851863155"/>
        </patternFill>
      </fill>
    </dxf>
    <dxf>
      <fill>
        <patternFill>
          <bgColor theme="3" tint="0.749961851863155"/>
        </patternFill>
      </fill>
    </dxf>
    <dxf>
      <fill>
        <patternFill>
          <bgColor theme="1" tint="0.24994659260841701"/>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1" tint="0.24994659260841701"/>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1" tint="0.24994659260841701"/>
        </patternFill>
      </fill>
    </dxf>
    <dxf>
      <fill>
        <patternFill>
          <bgColor theme="1" tint="0.24994659260841701"/>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1" tint="0.24994659260841701"/>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1" tint="0.24994659260841701"/>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3" tint="0.89996032593768116"/>
        </patternFill>
      </fill>
    </dxf>
    <dxf>
      <fill>
        <patternFill>
          <bgColor theme="3" tint="0.749961851863155"/>
        </patternFill>
      </fill>
    </dxf>
    <dxf>
      <fill>
        <patternFill>
          <bgColor theme="3" tint="0.749961851863155"/>
        </patternFill>
      </fill>
    </dxf>
    <dxf>
      <fill>
        <patternFill>
          <bgColor theme="3" tint="0.89996032593768116"/>
        </patternFill>
      </fill>
    </dxf>
    <dxf>
      <fill>
        <patternFill>
          <bgColor theme="1" tint="0.24994659260841701"/>
        </patternFill>
      </fill>
    </dxf>
    <dxf>
      <fill>
        <patternFill>
          <bgColor theme="3" tint="0.749961851863155"/>
        </patternFill>
      </fill>
    </dxf>
    <dxf>
      <alignment horizontal="center" vertical="top" textRotation="0" wrapText="1" indent="0" justifyLastLine="0" shrinkToFit="0" readingOrder="0"/>
      <border diagonalUp="0" diagonalDown="0">
        <left style="thin">
          <color indexed="64"/>
        </left>
        <right style="thin">
          <color indexed="64"/>
        </right>
        <top style="thin">
          <color indexed="64"/>
        </top>
        <bottom/>
      </border>
    </dxf>
    <dxf>
      <font>
        <b val="0"/>
        <strike val="0"/>
        <outline val="0"/>
        <shadow val="0"/>
        <vertAlign val="baseline"/>
        <sz val="11"/>
        <color theme="1" tint="0.14999847407452621"/>
        <name val="Meiryo"/>
        <family val="2"/>
        <scheme val="none"/>
      </font>
      <alignment horizontal="center" vertical="top" textRotation="0" wrapText="1" indent="0" justifyLastLine="0" shrinkToFit="0" readingOrder="0"/>
      <border diagonalUp="0" diagonalDown="0">
        <left style="hair">
          <color theme="0" tint="-0.499984740745262"/>
        </left>
        <right style="thin">
          <color indexed="64"/>
        </right>
        <top style="thin">
          <color indexed="64"/>
        </top>
        <bottom style="thin">
          <color indexed="64"/>
        </bottom>
      </border>
      <protection locked="0" hidden="0"/>
    </dxf>
    <dxf>
      <alignment horizontal="center" vertical="top" textRotation="0" wrapText="1" indent="0" justifyLastLine="0" shrinkToFit="0" readingOrder="0"/>
      <border diagonalUp="0" diagonalDown="0">
        <left style="thin">
          <color indexed="64"/>
        </left>
        <right style="thin">
          <color indexed="64"/>
        </right>
        <top style="thin">
          <color indexed="64"/>
        </top>
        <bottom/>
      </border>
    </dxf>
    <dxf>
      <font>
        <b val="0"/>
        <strike val="0"/>
        <outline val="0"/>
        <shadow val="0"/>
        <vertAlign val="baseline"/>
        <sz val="11"/>
        <color theme="1" tint="0.14999847407452621"/>
        <name val="Meiryo"/>
        <family val="2"/>
        <scheme val="none"/>
      </font>
      <alignment horizontal="center" vertical="top" textRotation="0" wrapText="1" indent="0" justifyLastLine="0" shrinkToFit="0" readingOrder="0"/>
      <border diagonalUp="0" diagonalDown="0">
        <left style="hair">
          <color theme="0" tint="-0.499984740745262"/>
        </left>
        <right style="hair">
          <color theme="0" tint="-0.499984740745262"/>
        </right>
        <top style="thin">
          <color indexed="64"/>
        </top>
        <bottom style="thin">
          <color indexed="64"/>
        </bottom>
      </border>
      <protection locked="0" hidden="0"/>
    </dxf>
    <dxf>
      <alignment horizontal="center" vertical="top" textRotation="0" wrapText="1" indent="0" justifyLastLine="0" shrinkToFit="0" readingOrder="0"/>
      <border diagonalUp="0" diagonalDown="0">
        <left style="thin">
          <color indexed="64"/>
        </left>
        <right style="thin">
          <color indexed="64"/>
        </right>
        <top style="thin">
          <color indexed="64"/>
        </top>
        <bottom/>
      </border>
    </dxf>
    <dxf>
      <font>
        <b val="0"/>
        <strike val="0"/>
        <outline val="0"/>
        <shadow val="0"/>
        <vertAlign val="baseline"/>
        <sz val="11"/>
        <color theme="1" tint="0.14999847407452621"/>
        <name val="Meiryo"/>
        <family val="2"/>
        <scheme val="none"/>
      </font>
      <alignment horizontal="center" vertical="top" textRotation="0" wrapText="1" indent="0" justifyLastLine="0" shrinkToFit="0" readingOrder="0"/>
      <border diagonalUp="0" diagonalDown="0">
        <left style="hair">
          <color theme="0" tint="-0.499984740745262"/>
        </left>
        <right style="hair">
          <color theme="0" tint="-0.499984740745262"/>
        </right>
        <top style="thin">
          <color indexed="64"/>
        </top>
        <bottom style="thin">
          <color indexed="64"/>
        </bottom>
      </border>
      <protection locked="0" hidden="0"/>
    </dxf>
    <dxf>
      <alignment horizontal="center" vertical="top" textRotation="0" wrapText="1" indent="0" justifyLastLine="0" shrinkToFit="0" readingOrder="0"/>
      <border diagonalUp="0" diagonalDown="0">
        <left style="thin">
          <color indexed="64"/>
        </left>
        <right style="thin">
          <color indexed="64"/>
        </right>
        <top style="thin">
          <color indexed="64"/>
        </top>
        <bottom/>
      </border>
    </dxf>
    <dxf>
      <font>
        <b val="0"/>
        <strike val="0"/>
        <outline val="0"/>
        <shadow val="0"/>
        <vertAlign val="baseline"/>
        <sz val="11"/>
        <color theme="1" tint="0.14999847407452621"/>
        <name val="Meiryo"/>
        <family val="2"/>
        <scheme val="none"/>
      </font>
      <numFmt numFmtId="0" formatCode="General"/>
      <alignment horizontal="center" vertical="top" textRotation="0" wrapText="1" indent="0" justifyLastLine="0" shrinkToFit="0" readingOrder="0"/>
      <border diagonalUp="0" diagonalDown="0">
        <left style="thin">
          <color indexed="64"/>
        </left>
        <right style="hair">
          <color theme="0" tint="-0.499984740745262"/>
        </right>
        <top style="thin">
          <color indexed="64"/>
        </top>
        <bottom style="thin">
          <color indexed="64"/>
        </bottom>
      </border>
      <protection locked="0" hidden="0"/>
    </dxf>
    <dxf>
      <fill>
        <patternFill patternType="solid">
          <fgColor indexed="64"/>
          <bgColor theme="1" tint="0.14999847407452621"/>
        </patternFill>
      </fill>
      <border diagonalUp="0" diagonalDown="0" outline="0">
        <left style="thin">
          <color indexed="64"/>
        </left>
        <right/>
        <top style="thin">
          <color indexed="64"/>
        </top>
        <bottom/>
      </border>
    </dxf>
    <dxf>
      <font>
        <b val="0"/>
        <strike val="0"/>
        <outline val="0"/>
        <shadow val="0"/>
        <vertAlign val="baseline"/>
        <sz val="11"/>
        <color theme="1" tint="0.14999847407452621"/>
        <name val="Meiryo"/>
        <family val="2"/>
        <scheme val="none"/>
      </font>
      <numFmt numFmtId="2" formatCode="0.00"/>
      <fill>
        <patternFill patternType="solid">
          <fgColor indexed="64"/>
          <bgColor theme="0"/>
        </patternFill>
      </fill>
      <alignment horizontal="center" vertical="top" textRotation="0" indent="0" justifyLastLine="0" shrinkToFit="0"/>
      <border diagonalUp="0" diagonalDown="0">
        <left style="thin">
          <color indexed="64"/>
        </left>
        <right style="thin">
          <color indexed="64"/>
        </right>
        <top style="thin">
          <color indexed="64"/>
        </top>
        <bottom style="thin">
          <color indexed="64"/>
        </bottom>
      </border>
      <protection locked="0" hidden="0"/>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b val="0"/>
        <strike val="0"/>
        <outline val="0"/>
        <shadow val="0"/>
        <vertAlign val="baseline"/>
        <sz val="11"/>
        <color theme="1" tint="0.14999847407452621"/>
        <name val="Meiryo"/>
        <family val="2"/>
        <scheme val="none"/>
      </font>
      <numFmt numFmtId="1" formatCode="0"/>
      <fill>
        <patternFill patternType="none">
          <fgColor indexed="64"/>
          <bgColor auto="1"/>
        </patternFill>
      </fill>
      <alignment horizontal="center" vertical="top" textRotation="0" wrapText="0" indent="0" justifyLastLine="0" shrinkToFit="0" readingOrder="0"/>
      <border diagonalUp="0" diagonalDown="0">
        <left style="hair">
          <color theme="0" tint="-0.499984740745262"/>
        </left>
        <right style="dashed">
          <color theme="0" tint="-0.499984740745262"/>
        </right>
        <top style="thin">
          <color indexed="64"/>
        </top>
        <bottom style="thin">
          <color indexed="64"/>
        </bottom>
      </border>
      <protection locked="0" hidden="0"/>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font>
        <b val="0"/>
        <strike val="0"/>
        <outline val="0"/>
        <shadow val="0"/>
        <vertAlign val="baseline"/>
        <sz val="11"/>
        <color theme="1" tint="0.14999847407452621"/>
        <name val="Meiryo"/>
        <family val="2"/>
        <scheme val="none"/>
      </font>
      <numFmt numFmtId="1" formatCode="0"/>
      <fill>
        <patternFill patternType="none">
          <fgColor indexed="64"/>
          <bgColor auto="1"/>
        </patternFill>
      </fill>
      <alignment horizontal="center" vertical="top" textRotation="0" wrapText="1" indent="0" justifyLastLine="0" shrinkToFit="0" readingOrder="0"/>
      <border diagonalUp="0" diagonalDown="0">
        <left style="dashed">
          <color theme="0" tint="-0.499984740745262"/>
        </left>
        <right style="hair">
          <color theme="0" tint="-0.499984740745262"/>
        </right>
        <top style="thin">
          <color indexed="64"/>
        </top>
        <bottom style="thin">
          <color indexed="64"/>
        </bottom>
      </border>
      <protection locked="0" hidden="0"/>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font>
        <b val="0"/>
        <strike val="0"/>
        <outline val="0"/>
        <shadow val="0"/>
        <vertAlign val="baseline"/>
        <sz val="11"/>
        <color theme="1" tint="0.14999847407452621"/>
        <name val="Meiryo"/>
        <family val="2"/>
        <scheme val="none"/>
      </font>
      <numFmt numFmtId="2" formatCode="0.00"/>
      <fill>
        <patternFill patternType="none">
          <fgColor indexed="64"/>
          <bgColor auto="1"/>
        </patternFill>
      </fill>
      <alignment horizontal="center" vertical="top" textRotation="0" wrapText="1" indent="0" justifyLastLine="0" shrinkToFit="0" readingOrder="0"/>
      <border diagonalUp="0" diagonalDown="0">
        <left style="hair">
          <color theme="0" tint="-0.499984740745262"/>
        </left>
        <right style="dashed">
          <color theme="0" tint="-0.499984740745262"/>
        </right>
        <top style="thin">
          <color indexed="64"/>
        </top>
        <bottom style="thin">
          <color indexed="64"/>
        </bottom>
      </border>
      <protection locked="0" hidden="0"/>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font>
        <b val="0"/>
        <strike val="0"/>
        <outline val="0"/>
        <shadow val="0"/>
        <u val="none"/>
        <vertAlign val="baseline"/>
        <sz val="11"/>
        <color theme="1" tint="0.249977111117893"/>
        <name val="Meiryo"/>
        <family val="2"/>
        <scheme val="none"/>
      </font>
      <numFmt numFmtId="1" formatCode="0"/>
      <fill>
        <patternFill patternType="none">
          <fgColor indexed="64"/>
          <bgColor auto="1"/>
        </patternFill>
      </fill>
      <alignment horizontal="center" vertical="top" textRotation="0" wrapText="1" indent="0" justifyLastLine="0" shrinkToFit="0" readingOrder="0"/>
      <border diagonalUp="0" diagonalDown="0">
        <left style="thin">
          <color indexed="64"/>
        </left>
        <right style="hair">
          <color theme="0" tint="-0.499984740745262"/>
        </right>
        <top style="thin">
          <color indexed="64"/>
        </top>
        <bottom style="thin">
          <color indexed="64"/>
        </bottom>
      </border>
      <protection locked="0" hidden="0"/>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strike val="0"/>
        <outline val="0"/>
        <shadow val="0"/>
        <vertAlign val="baseline"/>
        <sz val="11"/>
        <color theme="0" tint="-0.14999847407452621"/>
        <name val="Meiryo"/>
        <family val="2"/>
        <scheme val="none"/>
      </font>
      <numFmt numFmtId="167" formatCode="B1mmm\-yy"/>
      <fill>
        <patternFill patternType="solid">
          <fgColor indexed="64"/>
          <bgColor theme="0" tint="-0.14999847407452621"/>
        </patternFill>
      </fill>
      <alignment horizontal="center" vertical="top" textRotation="0" wrapText="0" indent="0" justifyLastLine="0" shrinkToFit="0" readingOrder="0"/>
      <border diagonalUp="0" diagonalDown="0">
        <left style="thin">
          <color indexed="64"/>
        </left>
        <right/>
        <top style="thin">
          <color theme="0"/>
        </top>
        <bottom style="thin">
          <color theme="0"/>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strike val="0"/>
        <outline val="0"/>
        <shadow val="0"/>
        <u val="none"/>
        <vertAlign val="baseline"/>
        <sz val="11"/>
        <color theme="1" tint="0.249977111117893"/>
        <name val="Meiryo"/>
        <family val="2"/>
        <scheme val="none"/>
      </font>
      <numFmt numFmtId="167" formatCode="B1mmm\-yy"/>
      <fill>
        <patternFill patternType="solid">
          <fgColor indexed="64"/>
          <bgColor theme="0" tint="-0.14999847407452621"/>
        </patternFill>
      </fill>
      <alignment horizontal="center" vertical="top" textRotation="0" wrapText="0" indent="0" justifyLastLine="0" shrinkToFit="0" readingOrder="0"/>
      <border diagonalUp="0" diagonalDown="0">
        <left style="thin">
          <color indexed="64"/>
        </left>
        <right style="thin">
          <color indexed="64"/>
        </right>
        <top style="hair">
          <color theme="0" tint="-0.34998626667073579"/>
        </top>
        <bottom style="hair">
          <color theme="0" tint="-0.34998626667073579"/>
        </bottom>
        <vertical/>
        <horizontal/>
      </border>
      <protection locked="0" hidden="0"/>
    </dxf>
    <dxf>
      <font>
        <b val="0"/>
        <i val="0"/>
        <strike val="0"/>
        <condense val="0"/>
        <extend val="0"/>
        <outline val="0"/>
        <shadow val="0"/>
        <u val="none"/>
        <vertAlign val="baseline"/>
        <sz val="9"/>
        <color rgb="FF000000"/>
        <name val="Meiryo"/>
        <family val="2"/>
        <scheme val="none"/>
      </font>
      <alignment horizontal="center" vertical="center" textRotation="0" wrapText="1" indent="0" justifyLastLine="0" shrinkToFit="0" readingOrder="1"/>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tint="0.249977111117893"/>
        <name val="Meiryo"/>
        <family val="2"/>
        <scheme val="none"/>
      </font>
      <fill>
        <patternFill patternType="solid">
          <fgColor indexed="64"/>
          <bgColor theme="0"/>
        </patternFill>
      </fill>
      <alignment horizontal="center" vertical="top" textRotation="0" wrapText="1" indent="0" justifyLastLine="0" shrinkToFit="0" readingOrder="1"/>
      <border diagonalUp="0" diagonalDown="0" outline="0">
        <left style="hair">
          <color theme="0" tint="-0.499984740745262"/>
        </left>
        <right style="thin">
          <color indexed="64"/>
        </right>
        <top style="thin">
          <color indexed="64"/>
        </top>
        <bottom style="thin">
          <color indexed="64"/>
        </bottom>
      </border>
    </dxf>
    <dxf>
      <font>
        <b val="0"/>
        <i val="0"/>
        <strike val="0"/>
        <condense val="0"/>
        <extend val="0"/>
        <outline val="0"/>
        <shadow val="0"/>
        <u val="none"/>
        <vertAlign val="baseline"/>
        <sz val="9"/>
        <color rgb="FF000000"/>
        <name val="Meiryo"/>
        <family val="2"/>
        <scheme val="none"/>
      </font>
      <alignment horizontal="center" vertical="center" textRotation="0" wrapText="1" indent="0" justifyLastLine="0" shrinkToFit="0" readingOrder="1"/>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tint="0.249977111117893"/>
        <name val="Meiryo"/>
        <family val="2"/>
        <scheme val="none"/>
      </font>
      <fill>
        <patternFill patternType="none">
          <fgColor indexed="64"/>
          <bgColor auto="1"/>
        </patternFill>
      </fill>
      <alignment horizontal="center" vertical="top" textRotation="0" wrapText="1" indent="0" justifyLastLine="0" shrinkToFit="0" readingOrder="1"/>
      <border diagonalUp="0" diagonalDown="0" outline="0">
        <left style="thin">
          <color indexed="64"/>
        </left>
        <right style="hair">
          <color theme="0" tint="-0.499984740745262"/>
        </right>
        <top style="thin">
          <color indexed="64"/>
        </top>
        <bottom style="thin">
          <color indexed="64"/>
        </bottom>
      </border>
    </dxf>
    <dxf>
      <font>
        <b/>
        <i val="0"/>
        <strike val="0"/>
        <condense val="0"/>
        <extend val="0"/>
        <outline val="0"/>
        <shadow val="0"/>
        <u val="none"/>
        <vertAlign val="baseline"/>
        <sz val="10"/>
        <color auto="1"/>
        <name val="Meiryo"/>
        <family val="2"/>
        <scheme val="none"/>
      </font>
      <alignment horizontal="center" vertical="center" textRotation="0" wrapText="1" indent="0" justifyLastLine="0" shrinkToFit="0" readingOrder="1"/>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tint="0.249977111117893"/>
        <name val="Meiryo"/>
        <family val="2"/>
        <scheme val="none"/>
      </font>
      <fill>
        <patternFill patternType="none">
          <fgColor indexed="64"/>
          <bgColor auto="1"/>
        </patternFill>
      </fill>
      <alignment horizontal="center" vertical="top" textRotation="0" wrapText="1" indent="0" justifyLastLine="0" shrinkToFit="0" readingOrder="1"/>
      <border diagonalUp="0" diagonalDown="0" outline="0">
        <left style="hair">
          <color theme="0" tint="-0.499984740745262"/>
        </left>
        <right style="thin">
          <color indexed="64"/>
        </right>
        <top style="thin">
          <color indexed="64"/>
        </top>
        <bottom style="thin">
          <color indexed="64"/>
        </bottom>
      </border>
    </dxf>
    <dxf>
      <font>
        <b/>
        <i val="0"/>
        <strike val="0"/>
        <condense val="0"/>
        <extend val="0"/>
        <outline val="0"/>
        <shadow val="0"/>
        <u val="none"/>
        <vertAlign val="baseline"/>
        <sz val="10"/>
        <color auto="1"/>
        <name val="Meiryo"/>
        <family val="2"/>
        <scheme val="none"/>
      </font>
      <alignment horizontal="left" vertical="center" textRotation="0" wrapText="1" indent="0" justifyLastLine="0" shrinkToFit="0" readingOrder="1"/>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tint="0.249977111117893"/>
        <name val="Meiryo"/>
        <family val="2"/>
        <scheme val="none"/>
      </font>
      <fill>
        <patternFill patternType="none">
          <fgColor indexed="64"/>
          <bgColor auto="1"/>
        </patternFill>
      </fill>
      <alignment horizontal="left" vertical="top" textRotation="0" wrapText="1" indent="0" justifyLastLine="0" shrinkToFit="0" readingOrder="1"/>
      <border diagonalUp="0" diagonalDown="0" outline="0">
        <left style="hair">
          <color theme="0" tint="-0.499984740745262"/>
        </left>
        <right style="hair">
          <color theme="0" tint="-0.499984740745262"/>
        </right>
        <top style="thin">
          <color indexed="64"/>
        </top>
        <bottom style="thin">
          <color indexed="64"/>
        </bottom>
      </border>
    </dxf>
    <dxf>
      <font>
        <b/>
        <i val="0"/>
        <strike val="0"/>
        <condense val="0"/>
        <extend val="0"/>
        <outline val="0"/>
        <shadow val="0"/>
        <u val="none"/>
        <vertAlign val="baseline"/>
        <sz val="10"/>
        <color rgb="FF000000"/>
        <name val="Meiryo"/>
        <family val="2"/>
        <scheme val="none"/>
      </font>
      <alignment horizontal="center" vertical="center" textRotation="0" wrapText="1" indent="0" justifyLastLine="0" shrinkToFit="0" readingOrder="1"/>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tint="0.249977111117893"/>
        <name val="Meiryo"/>
        <family val="2"/>
        <scheme val="none"/>
      </font>
      <fill>
        <patternFill patternType="none">
          <fgColor indexed="64"/>
          <bgColor auto="1"/>
        </patternFill>
      </fill>
      <alignment horizontal="center" vertical="top" textRotation="0" wrapText="1" indent="0" justifyLastLine="0" shrinkToFit="0" readingOrder="1"/>
      <border diagonalUp="0" diagonalDown="0" outline="0">
        <left style="hair">
          <color theme="0" tint="-0.499984740745262"/>
        </left>
        <right style="hair">
          <color theme="0" tint="-0.499984740745262"/>
        </right>
        <top style="thin">
          <color indexed="64"/>
        </top>
        <bottom style="thin">
          <color indexed="64"/>
        </bottom>
      </border>
    </dxf>
    <dxf>
      <font>
        <b val="0"/>
        <i val="0"/>
        <strike val="0"/>
        <condense val="0"/>
        <extend val="0"/>
        <outline val="0"/>
        <shadow val="0"/>
        <u val="none"/>
        <vertAlign val="baseline"/>
        <sz val="11"/>
        <color rgb="FF000000"/>
        <name val="Verdana"/>
        <family val="2"/>
        <scheme val="none"/>
      </font>
      <alignment horizontal="general" vertical="center" textRotation="0" wrapText="1" indent="0" justifyLastLine="0" shrinkToFit="0" readingOrder="1"/>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tint="0.249977111117893"/>
        <name val="Meiryo"/>
        <family val="2"/>
        <scheme val="none"/>
      </font>
      <fill>
        <patternFill patternType="none">
          <fgColor indexed="64"/>
          <bgColor auto="1"/>
        </patternFill>
      </fill>
      <alignment horizontal="general" vertical="top" textRotation="0" wrapText="1" indent="0" justifyLastLine="0" shrinkToFit="0" readingOrder="1"/>
      <border diagonalUp="0" diagonalDown="0" outline="0">
        <left style="hair">
          <color theme="0" tint="-0.499984740745262"/>
        </left>
        <right style="hair">
          <color theme="0" tint="-0.499984740745262"/>
        </right>
        <top style="thin">
          <color indexed="64"/>
        </top>
        <bottom style="thin">
          <color indexed="64"/>
        </bottom>
      </border>
    </dxf>
    <dxf>
      <font>
        <b/>
        <i val="0"/>
        <strike val="0"/>
        <condense val="0"/>
        <extend val="0"/>
        <outline val="0"/>
        <shadow val="0"/>
        <u val="none"/>
        <vertAlign val="baseline"/>
        <sz val="12"/>
        <color rgb="FF000000"/>
        <name val="Meiryo"/>
        <family val="2"/>
        <scheme val="none"/>
      </font>
      <alignment horizontal="general" vertical="center" textRotation="0" wrapText="1" indent="0" justifyLastLine="0" shrinkToFit="0" readingOrder="1"/>
      <border diagonalUp="0" diagonalDown="0" outline="0">
        <left/>
        <right style="thin">
          <color indexed="64"/>
        </right>
        <top style="thin">
          <color indexed="64"/>
        </top>
        <bottom/>
      </border>
    </dxf>
    <dxf>
      <font>
        <b val="0"/>
        <i val="0"/>
        <strike val="0"/>
        <condense val="0"/>
        <extend val="0"/>
        <outline val="0"/>
        <shadow val="0"/>
        <u val="none"/>
        <vertAlign val="baseline"/>
        <sz val="11"/>
        <color theme="1" tint="0.14999847407452621"/>
        <name val="Meiryo"/>
        <family val="2"/>
        <scheme val="none"/>
      </font>
      <fill>
        <patternFill patternType="none">
          <fgColor indexed="64"/>
          <bgColor auto="1"/>
        </patternFill>
      </fill>
      <alignment horizontal="general" vertical="top" textRotation="0" wrapText="1" indent="0" justifyLastLine="0" shrinkToFit="0" readingOrder="1"/>
      <border diagonalUp="0" diagonalDown="0" outline="0">
        <left style="thin">
          <color indexed="64"/>
        </left>
        <right style="hair">
          <color theme="0" tint="-0.499984740745262"/>
        </right>
        <top style="thin">
          <color indexed="64"/>
        </top>
        <bottom style="thin">
          <color indexed="64"/>
        </bottom>
      </border>
    </dxf>
    <dxf>
      <border outline="0">
        <top style="thin">
          <color indexed="64"/>
        </top>
      </border>
    </dxf>
    <dxf>
      <font>
        <b val="0"/>
        <strike val="0"/>
        <outline val="0"/>
        <shadow val="0"/>
        <vertAlign val="baseline"/>
        <sz val="11"/>
        <name val="Meiryo"/>
        <family val="2"/>
        <scheme val="none"/>
      </font>
      <alignment vertical="top" textRotation="0" indent="0" justifyLastLine="0" shrinkToFit="0"/>
    </dxf>
    <dxf>
      <border outline="0">
        <left style="thin">
          <color indexed="64"/>
        </left>
        <right style="thin">
          <color indexed="64"/>
        </right>
        <top style="thin">
          <color indexed="64"/>
        </top>
        <bottom style="thin">
          <color indexed="64"/>
        </bottom>
      </border>
    </dxf>
    <dxf>
      <font>
        <b val="0"/>
        <strike val="0"/>
        <outline val="0"/>
        <shadow val="0"/>
        <vertAlign val="baseline"/>
        <sz val="11"/>
        <color theme="1" tint="0.14999847407452621"/>
        <name val="Meiryo"/>
        <family val="2"/>
        <scheme val="none"/>
      </font>
      <alignment horizontal="center" vertical="top" textRotation="0" wrapText="1" indent="0" justifyLastLine="0" shrinkToFit="0" readingOrder="0"/>
    </dxf>
    <dxf>
      <border outline="0">
        <bottom style="thin">
          <color indexed="64"/>
        </bottom>
      </border>
    </dxf>
    <dxf>
      <font>
        <strike val="0"/>
        <outline val="0"/>
        <shadow val="0"/>
        <u val="none"/>
        <vertAlign val="baseline"/>
        <sz val="11"/>
        <color theme="1" tint="0.249977111117893"/>
        <name val="Meiryo"/>
        <family val="2"/>
        <scheme val="none"/>
      </font>
      <alignment horizontal="center" vertical="center" textRotation="0" indent="0" justifyLastLine="0" shrinkToFit="0"/>
    </dxf>
    <dxf>
      <font>
        <strike val="0"/>
        <outline val="0"/>
        <shadow val="0"/>
        <vertAlign val="baseline"/>
        <name val="Meiryo UI"/>
        <family val="2"/>
        <scheme val="none"/>
      </font>
      <fill>
        <patternFill patternType="none">
          <fgColor indexed="64"/>
          <bgColor indexed="65"/>
        </patternFill>
      </fill>
      <alignment horizontal="left" vertical="center" textRotation="0" wrapText="0" indent="0" justifyLastLine="0" shrinkToFit="0" readingOrder="0"/>
      <border diagonalUp="0" diagonalDown="0" outline="0">
        <left style="hair">
          <color indexed="64"/>
        </left>
        <right/>
        <top style="hair">
          <color indexed="64"/>
        </top>
        <bottom style="hair">
          <color indexed="64"/>
        </bottom>
      </border>
    </dxf>
    <dxf>
      <font>
        <strike val="0"/>
        <outline val="0"/>
        <shadow val="0"/>
        <vertAlign val="baseline"/>
        <name val="Meiryo UI"/>
        <family val="2"/>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hair">
          <color indexed="64"/>
        </right>
        <top style="hair">
          <color indexed="64"/>
        </top>
        <bottom style="hair">
          <color indexed="64"/>
        </bottom>
      </border>
    </dxf>
    <dxf>
      <font>
        <strike val="0"/>
        <outline val="0"/>
        <shadow val="0"/>
        <vertAlign val="baseline"/>
        <name val="Meiryo UI"/>
        <family val="2"/>
        <scheme val="none"/>
      </font>
      <fill>
        <patternFill patternType="none">
          <fgColor indexed="64"/>
          <bgColor indexed="65"/>
        </patternFill>
      </fill>
      <alignment horizontal="left" vertical="center" textRotation="0" wrapText="0" indent="0" justifyLastLine="0" shrinkToFit="0" readingOrder="0"/>
      <border diagonalUp="0" diagonalDown="0" outline="0">
        <left/>
        <right style="thin">
          <color indexed="64"/>
        </right>
        <top style="hair">
          <color indexed="64"/>
        </top>
        <bottom style="hair">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name val="Meiryo UI"/>
        <family val="2"/>
        <scheme val="none"/>
      </font>
    </dxf>
    <dxf>
      <border outline="0">
        <bottom style="thin">
          <color indexed="64"/>
        </bottom>
      </border>
    </dxf>
    <dxf>
      <font>
        <strike val="0"/>
        <outline val="0"/>
        <shadow val="0"/>
        <vertAlign val="baseline"/>
        <name val="Meiryo UI"/>
        <family val="2"/>
        <scheme val="none"/>
      </font>
      <fill>
        <patternFill patternType="solid">
          <fgColor indexed="64"/>
          <bgColor rgb="FF000066"/>
        </patternFill>
      </fill>
    </dxf>
  </dxfs>
  <tableStyles count="1" defaultTableStyle="TableStyleMedium2" defaultPivotStyle="PivotStyleLight16">
    <tableStyle name="Invisible" pivot="0" table="0" count="0" xr9:uid="{F4F8B2C5-7E84-42F5-B871-14CE57C92E31}"/>
  </tableStyles>
  <colors>
    <mruColors>
      <color rgb="FFFFFFCC"/>
      <color rgb="FF0000FF"/>
      <color rgb="FFFFCCCC"/>
      <color rgb="FFCCFFFF"/>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Priority shipment line  &gt; 3hrs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th-TH"/>
        </a:p>
      </c:txPr>
    </c:title>
    <c:autoTitleDeleted val="0"/>
    <c:plotArea>
      <c:layout>
        <c:manualLayout>
          <c:layoutTarget val="inner"/>
          <c:xMode val="edge"/>
          <c:yMode val="edge"/>
          <c:x val="7.7390677205222178E-2"/>
          <c:y val="0.13522853522090869"/>
          <c:w val="0.90302650549040797"/>
          <c:h val="0.77161824557397751"/>
        </c:manualLayout>
      </c:layout>
      <c:lineChart>
        <c:grouping val="standard"/>
        <c:varyColors val="0"/>
        <c:ser>
          <c:idx val="0"/>
          <c:order val="0"/>
          <c:spPr>
            <a:ln w="28575" cap="rnd">
              <a:solidFill>
                <a:schemeClr val="accent1"/>
              </a:solidFill>
              <a:round/>
            </a:ln>
            <a:effectLst/>
          </c:spPr>
          <c:marker>
            <c:symbol val="none"/>
          </c:marker>
          <c:cat>
            <c:numRef>
              <c:f>Delivery!$I$2:$I$42</c:f>
              <c:numCache>
                <c:formatCode>B1mmm\-yy</c:formatCode>
                <c:ptCount val="41"/>
                <c:pt idx="0">
                  <c:v>45748</c:v>
                </c:pt>
                <c:pt idx="1">
                  <c:v>45748</c:v>
                </c:pt>
                <c:pt idx="2">
                  <c:v>45748</c:v>
                </c:pt>
                <c:pt idx="3">
                  <c:v>45748</c:v>
                </c:pt>
                <c:pt idx="4">
                  <c:v>45748</c:v>
                </c:pt>
                <c:pt idx="5">
                  <c:v>45778</c:v>
                </c:pt>
                <c:pt idx="6">
                  <c:v>45778</c:v>
                </c:pt>
                <c:pt idx="7">
                  <c:v>45778</c:v>
                </c:pt>
                <c:pt idx="8">
                  <c:v>45778</c:v>
                </c:pt>
                <c:pt idx="9">
                  <c:v>45778</c:v>
                </c:pt>
                <c:pt idx="10">
                  <c:v>45809</c:v>
                </c:pt>
                <c:pt idx="11">
                  <c:v>45809</c:v>
                </c:pt>
                <c:pt idx="12">
                  <c:v>45809</c:v>
                </c:pt>
                <c:pt idx="13">
                  <c:v>45809</c:v>
                </c:pt>
                <c:pt idx="14">
                  <c:v>45809</c:v>
                </c:pt>
                <c:pt idx="15">
                  <c:v>45839</c:v>
                </c:pt>
                <c:pt idx="16">
                  <c:v>45839</c:v>
                </c:pt>
                <c:pt idx="17">
                  <c:v>45839</c:v>
                </c:pt>
                <c:pt idx="18">
                  <c:v>45839</c:v>
                </c:pt>
                <c:pt idx="19">
                  <c:v>45839</c:v>
                </c:pt>
                <c:pt idx="20">
                  <c:v>45870</c:v>
                </c:pt>
                <c:pt idx="21">
                  <c:v>45870</c:v>
                </c:pt>
                <c:pt idx="22">
                  <c:v>45870</c:v>
                </c:pt>
                <c:pt idx="23">
                  <c:v>45870</c:v>
                </c:pt>
                <c:pt idx="24">
                  <c:v>45870</c:v>
                </c:pt>
                <c:pt idx="25">
                  <c:v>45901</c:v>
                </c:pt>
                <c:pt idx="26">
                  <c:v>45901</c:v>
                </c:pt>
                <c:pt idx="27">
                  <c:v>45901</c:v>
                </c:pt>
                <c:pt idx="28">
                  <c:v>45901</c:v>
                </c:pt>
                <c:pt idx="29">
                  <c:v>45901</c:v>
                </c:pt>
                <c:pt idx="30">
                  <c:v>45931</c:v>
                </c:pt>
                <c:pt idx="31">
                  <c:v>45931</c:v>
                </c:pt>
                <c:pt idx="32">
                  <c:v>45931</c:v>
                </c:pt>
                <c:pt idx="33">
                  <c:v>45931</c:v>
                </c:pt>
                <c:pt idx="34">
                  <c:v>45931</c:v>
                </c:pt>
                <c:pt idx="35">
                  <c:v>45962</c:v>
                </c:pt>
                <c:pt idx="36">
                  <c:v>45962</c:v>
                </c:pt>
                <c:pt idx="37">
                  <c:v>45962</c:v>
                </c:pt>
                <c:pt idx="38">
                  <c:v>45962</c:v>
                </c:pt>
                <c:pt idx="39">
                  <c:v>45962</c:v>
                </c:pt>
                <c:pt idx="40">
                  <c:v>45992</c:v>
                </c:pt>
              </c:numCache>
            </c:numRef>
          </c:cat>
          <c:val>
            <c:numRef>
              <c:f>Delivery!$J$2:$J$42</c:f>
              <c:numCache>
                <c:formatCode>_-* #,##0_-;\-* #,##0_-;_-* "-"??_-;_-@_-</c:formatCode>
                <c:ptCount val="41"/>
                <c:pt idx="0">
                  <c:v>27</c:v>
                </c:pt>
                <c:pt idx="1">
                  <c:v>4</c:v>
                </c:pt>
                <c:pt idx="2" formatCode="0%">
                  <c:v>1</c:v>
                </c:pt>
                <c:pt idx="3" formatCode="0">
                  <c:v>0</c:v>
                </c:pt>
                <c:pt idx="4" formatCode="0.0">
                  <c:v>0.63750000000000007</c:v>
                </c:pt>
                <c:pt idx="5">
                  <c:v>27</c:v>
                </c:pt>
                <c:pt idx="6">
                  <c:v>4</c:v>
                </c:pt>
                <c:pt idx="7" formatCode="0%">
                  <c:v>1</c:v>
                </c:pt>
                <c:pt idx="8" formatCode="0">
                  <c:v>0</c:v>
                </c:pt>
                <c:pt idx="9" formatCode="0.0">
                  <c:v>0.63750000000000007</c:v>
                </c:pt>
                <c:pt idx="10">
                  <c:v>27</c:v>
                </c:pt>
                <c:pt idx="11">
                  <c:v>4</c:v>
                </c:pt>
                <c:pt idx="12" formatCode="0%">
                  <c:v>1</c:v>
                </c:pt>
                <c:pt idx="13" formatCode="0">
                  <c:v>0</c:v>
                </c:pt>
                <c:pt idx="14" formatCode="0.0">
                  <c:v>0.63750000000000007</c:v>
                </c:pt>
                <c:pt idx="15">
                  <c:v>27</c:v>
                </c:pt>
                <c:pt idx="16">
                  <c:v>4</c:v>
                </c:pt>
                <c:pt idx="17" formatCode="0%">
                  <c:v>1</c:v>
                </c:pt>
                <c:pt idx="18" formatCode="0">
                  <c:v>0</c:v>
                </c:pt>
                <c:pt idx="19" formatCode="0.0">
                  <c:v>0.63750000000000007</c:v>
                </c:pt>
                <c:pt idx="20">
                  <c:v>27</c:v>
                </c:pt>
                <c:pt idx="21">
                  <c:v>3</c:v>
                </c:pt>
                <c:pt idx="22" formatCode="0%">
                  <c:v>1</c:v>
                </c:pt>
                <c:pt idx="23" formatCode="0">
                  <c:v>0</c:v>
                </c:pt>
                <c:pt idx="24" formatCode="0.0">
                  <c:v>0.63750000000000007</c:v>
                </c:pt>
                <c:pt idx="25">
                  <c:v>27</c:v>
                </c:pt>
                <c:pt idx="26">
                  <c:v>3</c:v>
                </c:pt>
                <c:pt idx="27" formatCode="0%">
                  <c:v>1</c:v>
                </c:pt>
                <c:pt idx="28" formatCode="0">
                  <c:v>0</c:v>
                </c:pt>
                <c:pt idx="29" formatCode="0.0">
                  <c:v>0.63750000000000007</c:v>
                </c:pt>
                <c:pt idx="30">
                  <c:v>27</c:v>
                </c:pt>
                <c:pt idx="31">
                  <c:v>2</c:v>
                </c:pt>
                <c:pt idx="32" formatCode="0%">
                  <c:v>1</c:v>
                </c:pt>
                <c:pt idx="33" formatCode="0">
                  <c:v>0</c:v>
                </c:pt>
                <c:pt idx="34" formatCode="0.0">
                  <c:v>0.63750000000000007</c:v>
                </c:pt>
                <c:pt idx="35">
                  <c:v>27</c:v>
                </c:pt>
                <c:pt idx="36">
                  <c:v>2</c:v>
                </c:pt>
                <c:pt idx="37" formatCode="0%">
                  <c:v>1</c:v>
                </c:pt>
                <c:pt idx="38" formatCode="0">
                  <c:v>0</c:v>
                </c:pt>
                <c:pt idx="39" formatCode="0.0">
                  <c:v>0.63750000000000007</c:v>
                </c:pt>
                <c:pt idx="40">
                  <c:v>27</c:v>
                </c:pt>
              </c:numCache>
            </c:numRef>
          </c:val>
          <c:smooth val="0"/>
          <c:extLst>
            <c:ext xmlns:c16="http://schemas.microsoft.com/office/drawing/2014/chart" uri="{C3380CC4-5D6E-409C-BE32-E72D297353CC}">
              <c16:uniqueId val="{00000000-7804-4B70-8696-54CD1D7B52D1}"/>
            </c:ext>
          </c:extLst>
        </c:ser>
        <c:ser>
          <c:idx val="1"/>
          <c:order val="1"/>
          <c:spPr>
            <a:ln w="28575" cap="rnd">
              <a:solidFill>
                <a:schemeClr val="accent2"/>
              </a:solidFill>
              <a:round/>
            </a:ln>
            <a:effectLst/>
          </c:spPr>
          <c:marker>
            <c:symbol val="none"/>
          </c:marker>
          <c:cat>
            <c:numRef>
              <c:f>Delivery!$I$2:$I$42</c:f>
              <c:numCache>
                <c:formatCode>B1mmm\-yy</c:formatCode>
                <c:ptCount val="41"/>
                <c:pt idx="0">
                  <c:v>45748</c:v>
                </c:pt>
                <c:pt idx="1">
                  <c:v>45748</c:v>
                </c:pt>
                <c:pt idx="2">
                  <c:v>45748</c:v>
                </c:pt>
                <c:pt idx="3">
                  <c:v>45748</c:v>
                </c:pt>
                <c:pt idx="4">
                  <c:v>45748</c:v>
                </c:pt>
                <c:pt idx="5">
                  <c:v>45778</c:v>
                </c:pt>
                <c:pt idx="6">
                  <c:v>45778</c:v>
                </c:pt>
                <c:pt idx="7">
                  <c:v>45778</c:v>
                </c:pt>
                <c:pt idx="8">
                  <c:v>45778</c:v>
                </c:pt>
                <c:pt idx="9">
                  <c:v>45778</c:v>
                </c:pt>
                <c:pt idx="10">
                  <c:v>45809</c:v>
                </c:pt>
                <c:pt idx="11">
                  <c:v>45809</c:v>
                </c:pt>
                <c:pt idx="12">
                  <c:v>45809</c:v>
                </c:pt>
                <c:pt idx="13">
                  <c:v>45809</c:v>
                </c:pt>
                <c:pt idx="14">
                  <c:v>45809</c:v>
                </c:pt>
                <c:pt idx="15">
                  <c:v>45839</c:v>
                </c:pt>
                <c:pt idx="16">
                  <c:v>45839</c:v>
                </c:pt>
                <c:pt idx="17">
                  <c:v>45839</c:v>
                </c:pt>
                <c:pt idx="18">
                  <c:v>45839</c:v>
                </c:pt>
                <c:pt idx="19">
                  <c:v>45839</c:v>
                </c:pt>
                <c:pt idx="20">
                  <c:v>45870</c:v>
                </c:pt>
                <c:pt idx="21">
                  <c:v>45870</c:v>
                </c:pt>
                <c:pt idx="22">
                  <c:v>45870</c:v>
                </c:pt>
                <c:pt idx="23">
                  <c:v>45870</c:v>
                </c:pt>
                <c:pt idx="24">
                  <c:v>45870</c:v>
                </c:pt>
                <c:pt idx="25">
                  <c:v>45901</c:v>
                </c:pt>
                <c:pt idx="26">
                  <c:v>45901</c:v>
                </c:pt>
                <c:pt idx="27">
                  <c:v>45901</c:v>
                </c:pt>
                <c:pt idx="28">
                  <c:v>45901</c:v>
                </c:pt>
                <c:pt idx="29">
                  <c:v>45901</c:v>
                </c:pt>
                <c:pt idx="30">
                  <c:v>45931</c:v>
                </c:pt>
                <c:pt idx="31">
                  <c:v>45931</c:v>
                </c:pt>
                <c:pt idx="32">
                  <c:v>45931</c:v>
                </c:pt>
                <c:pt idx="33">
                  <c:v>45931</c:v>
                </c:pt>
                <c:pt idx="34">
                  <c:v>45931</c:v>
                </c:pt>
                <c:pt idx="35">
                  <c:v>45962</c:v>
                </c:pt>
                <c:pt idx="36">
                  <c:v>45962</c:v>
                </c:pt>
                <c:pt idx="37">
                  <c:v>45962</c:v>
                </c:pt>
                <c:pt idx="38">
                  <c:v>45962</c:v>
                </c:pt>
                <c:pt idx="39">
                  <c:v>45962</c:v>
                </c:pt>
                <c:pt idx="40">
                  <c:v>45992</c:v>
                </c:pt>
              </c:numCache>
            </c:numRef>
          </c:cat>
          <c:val>
            <c:numRef>
              <c:f>Delivery!$K$2:$K$42</c:f>
              <c:numCache>
                <c:formatCode>_-* #,##0_-;\-* #,##0_-;_-* "-"??_-;_-@_-</c:formatCode>
                <c:ptCount val="41"/>
                <c:pt idx="0">
                  <c:v>10</c:v>
                </c:pt>
                <c:pt idx="1">
                  <c:v>1</c:v>
                </c:pt>
                <c:pt idx="2" formatCode="0%">
                  <c:v>1</c:v>
                </c:pt>
                <c:pt idx="3" formatCode="0">
                  <c:v>0</c:v>
                </c:pt>
                <c:pt idx="4" formatCode="0.0">
                  <c:v>0.52</c:v>
                </c:pt>
                <c:pt idx="5">
                  <c:v>15</c:v>
                </c:pt>
                <c:pt idx="6">
                  <c:v>4</c:v>
                </c:pt>
                <c:pt idx="7" formatCode="0%">
                  <c:v>1</c:v>
                </c:pt>
                <c:pt idx="8" formatCode="0">
                  <c:v>0</c:v>
                </c:pt>
                <c:pt idx="9" formatCode="0.0">
                  <c:v>0</c:v>
                </c:pt>
                <c:pt idx="10">
                  <c:v>19</c:v>
                </c:pt>
                <c:pt idx="11">
                  <c:v>2</c:v>
                </c:pt>
                <c:pt idx="12" formatCode="0%">
                  <c:v>1</c:v>
                </c:pt>
                <c:pt idx="13" formatCode="0.00">
                  <c:v>0</c:v>
                </c:pt>
                <c:pt idx="14" formatCode="0.0">
                  <c:v>0.43</c:v>
                </c:pt>
                <c:pt idx="15">
                  <c:v>8</c:v>
                </c:pt>
                <c:pt idx="16">
                  <c:v>2</c:v>
                </c:pt>
                <c:pt idx="17" formatCode="0%">
                  <c:v>1</c:v>
                </c:pt>
                <c:pt idx="18" formatCode="0">
                  <c:v>0</c:v>
                </c:pt>
                <c:pt idx="19" formatCode="0.0">
                  <c:v>0.63</c:v>
                </c:pt>
                <c:pt idx="20">
                  <c:v>18</c:v>
                </c:pt>
                <c:pt idx="21">
                  <c:v>3</c:v>
                </c:pt>
                <c:pt idx="22" formatCode="0%">
                  <c:v>1</c:v>
                </c:pt>
                <c:pt idx="23" formatCode="0">
                  <c:v>0</c:v>
                </c:pt>
                <c:pt idx="24" formatCode="0.0">
                  <c:v>0.51</c:v>
                </c:pt>
                <c:pt idx="25">
                  <c:v>13</c:v>
                </c:pt>
                <c:pt idx="26">
                  <c:v>3</c:v>
                </c:pt>
                <c:pt idx="27" formatCode="0%">
                  <c:v>1</c:v>
                </c:pt>
                <c:pt idx="28" formatCode="0">
                  <c:v>0</c:v>
                </c:pt>
                <c:pt idx="29" formatCode="0.0">
                  <c:v>0.16</c:v>
                </c:pt>
                <c:pt idx="30">
                  <c:v>11</c:v>
                </c:pt>
                <c:pt idx="31">
                  <c:v>2</c:v>
                </c:pt>
                <c:pt idx="32" formatCode="0%">
                  <c:v>1</c:v>
                </c:pt>
                <c:pt idx="33" formatCode="0">
                  <c:v>0</c:v>
                </c:pt>
                <c:pt idx="34" formatCode="0.0">
                  <c:v>0.09</c:v>
                </c:pt>
                <c:pt idx="35">
                  <c:v>8</c:v>
                </c:pt>
                <c:pt idx="36">
                  <c:v>2</c:v>
                </c:pt>
                <c:pt idx="37" formatCode="0%">
                  <c:v>1</c:v>
                </c:pt>
                <c:pt idx="38" formatCode="0">
                  <c:v>0</c:v>
                </c:pt>
                <c:pt idx="39" formatCode="0.0">
                  <c:v>0.06</c:v>
                </c:pt>
                <c:pt idx="40">
                  <c:v>4</c:v>
                </c:pt>
              </c:numCache>
            </c:numRef>
          </c:val>
          <c:smooth val="0"/>
          <c:extLst>
            <c:ext xmlns:c16="http://schemas.microsoft.com/office/drawing/2014/chart" uri="{C3380CC4-5D6E-409C-BE32-E72D297353CC}">
              <c16:uniqueId val="{00000001-7804-4B70-8696-54CD1D7B52D1}"/>
            </c:ext>
          </c:extLst>
        </c:ser>
        <c:dLbls>
          <c:showLegendKey val="0"/>
          <c:showVal val="0"/>
          <c:showCatName val="0"/>
          <c:showSerName val="0"/>
          <c:showPercent val="0"/>
          <c:showBubbleSize val="0"/>
        </c:dLbls>
        <c:smooth val="0"/>
        <c:axId val="770060496"/>
        <c:axId val="770051376"/>
      </c:lineChart>
      <c:dateAx>
        <c:axId val="770060496"/>
        <c:scaling>
          <c:orientation val="minMax"/>
        </c:scaling>
        <c:delete val="0"/>
        <c:axPos val="b"/>
        <c:numFmt formatCode="B1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th-TH"/>
          </a:p>
        </c:txPr>
        <c:crossAx val="770051376"/>
        <c:crosses val="autoZero"/>
        <c:auto val="1"/>
        <c:lblOffset val="100"/>
        <c:baseTimeUnit val="days"/>
      </c:dateAx>
      <c:valAx>
        <c:axId val="770051376"/>
        <c:scaling>
          <c:orientation val="minMax"/>
        </c:scaling>
        <c:delete val="0"/>
        <c:axPos val="l"/>
        <c:majorGridlines>
          <c:spPr>
            <a:ln w="9525" cap="flat" cmpd="sng" algn="ctr">
              <a:no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th-TH"/>
          </a:p>
        </c:txPr>
        <c:crossAx val="770060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1.xml"/><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1" Type="http://schemas.openxmlformats.org/officeDocument/2006/relationships/hyperlink" Target="#Menu!A1"/></Relationships>
</file>

<file path=xl/drawings/_rels/drawing11.xml.rels><?xml version="1.0" encoding="UTF-8" standalone="yes"?>
<Relationships xmlns="http://schemas.openxmlformats.org/package/2006/relationships"><Relationship Id="rId1" Type="http://schemas.openxmlformats.org/officeDocument/2006/relationships/hyperlink" Target="#Menu!A1"/></Relationships>
</file>

<file path=xl/drawings/_rels/drawing12.xml.rels><?xml version="1.0" encoding="UTF-8" standalone="yes"?>
<Relationships xmlns="http://schemas.openxmlformats.org/package/2006/relationships"><Relationship Id="rId1" Type="http://schemas.openxmlformats.org/officeDocument/2006/relationships/hyperlink" Target="#Menu!A1"/></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hyperlink" Target="#Menu!A1"/><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hyperlink" Target="#Menu!A1"/></Relationships>
</file>

<file path=xl/drawings/_rels/drawing15.xml.rels><?xml version="1.0" encoding="UTF-8" standalone="yes"?>
<Relationships xmlns="http://schemas.openxmlformats.org/package/2006/relationships"><Relationship Id="rId1" Type="http://schemas.openxmlformats.org/officeDocument/2006/relationships/hyperlink" Target="#Menu!A1"/></Relationships>
</file>

<file path=xl/drawings/_rels/drawing16.xml.rels><?xml version="1.0" encoding="UTF-8" standalone="yes"?>
<Relationships xmlns="http://schemas.openxmlformats.org/package/2006/relationships"><Relationship Id="rId1" Type="http://schemas.openxmlformats.org/officeDocument/2006/relationships/hyperlink" Target="#Menu!A1"/></Relationships>
</file>

<file path=xl/drawings/_rels/drawing17.xml.rels><?xml version="1.0" encoding="UTF-8" standalone="yes"?>
<Relationships xmlns="http://schemas.openxmlformats.org/package/2006/relationships"><Relationship Id="rId1" Type="http://schemas.openxmlformats.org/officeDocument/2006/relationships/hyperlink" Target="#Menu!A1"/></Relationships>
</file>

<file path=xl/drawings/_rels/drawing18.xml.rels><?xml version="1.0" encoding="UTF-8" standalone="yes"?>
<Relationships xmlns="http://schemas.openxmlformats.org/package/2006/relationships"><Relationship Id="rId1" Type="http://schemas.openxmlformats.org/officeDocument/2006/relationships/hyperlink" Target="#Menu!A1"/></Relationships>
</file>

<file path=xl/drawings/drawing1.xml><?xml version="1.0" encoding="utf-8"?>
<xdr:wsDr xmlns:xdr="http://schemas.openxmlformats.org/drawingml/2006/spreadsheetDrawing" xmlns:a="http://schemas.openxmlformats.org/drawingml/2006/main">
  <xdr:twoCellAnchor>
    <xdr:from>
      <xdr:col>1</xdr:col>
      <xdr:colOff>15240</xdr:colOff>
      <xdr:row>12</xdr:row>
      <xdr:rowOff>22860</xdr:rowOff>
    </xdr:from>
    <xdr:to>
      <xdr:col>8</xdr:col>
      <xdr:colOff>304800</xdr:colOff>
      <xdr:row>18</xdr:row>
      <xdr:rowOff>148592</xdr:rowOff>
    </xdr:to>
    <xdr:sp macro="" textlink="">
      <xdr:nvSpPr>
        <xdr:cNvPr id="522" name="TextBox 3">
          <a:extLst>
            <a:ext uri="{FF2B5EF4-FFF2-40B4-BE49-F238E27FC236}">
              <a16:creationId xmlns:a16="http://schemas.microsoft.com/office/drawing/2014/main" id="{879515A4-2A95-4E7B-B2CF-DB718B4BCCDA}"/>
            </a:ext>
          </a:extLst>
        </xdr:cNvPr>
        <xdr:cNvSpPr txBox="1"/>
      </xdr:nvSpPr>
      <xdr:spPr>
        <a:xfrm>
          <a:off x="190500" y="4015740"/>
          <a:ext cx="7688580" cy="2228852"/>
        </a:xfrm>
        <a:prstGeom prst="rect">
          <a:avLst/>
        </a:prstGeom>
        <a:solidFill>
          <a:srgbClr val="FFCCCC"/>
        </a:solidFill>
        <a:ln w="9525" cmpd="sng">
          <a:solidFill>
            <a:srgbClr val="FF000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FF0000"/>
              </a:solidFill>
              <a:latin typeface="Yu Gothic UI" panose="020B0500000000000000" pitchFamily="34" charset="-128"/>
              <a:ea typeface="Yu Gothic UI" panose="020B0500000000000000" pitchFamily="34" charset="-128"/>
            </a:rPr>
            <a:t>2026-02-12</a:t>
          </a:r>
        </a:p>
        <a:p>
          <a:r>
            <a:rPr lang="en-US" sz="1400">
              <a:solidFill>
                <a:srgbClr val="FF0000"/>
              </a:solidFill>
              <a:latin typeface="Yu Gothic UI" panose="020B0500000000000000" pitchFamily="34" charset="-128"/>
              <a:ea typeface="Yu Gothic UI" panose="020B0500000000000000" pitchFamily="34" charset="-128"/>
            </a:rPr>
            <a:t>   Due</a:t>
          </a:r>
          <a:r>
            <a:rPr lang="en-US" sz="1400" baseline="0">
              <a:solidFill>
                <a:srgbClr val="FF0000"/>
              </a:solidFill>
              <a:latin typeface="Yu Gothic UI" panose="020B0500000000000000" pitchFamily="34" charset="-128"/>
              <a:ea typeface="Yu Gothic UI" panose="020B0500000000000000" pitchFamily="34" charset="-128"/>
            </a:rPr>
            <a:t> to FY25 will close within 1.5M and during consider FY26 Policy - Activity.</a:t>
          </a:r>
        </a:p>
        <a:p>
          <a:endParaRPr lang="en-US" sz="600" baseline="0">
            <a:solidFill>
              <a:srgbClr val="FF0000"/>
            </a:solidFill>
            <a:latin typeface="Yu Gothic UI" panose="020B0500000000000000" pitchFamily="34" charset="-128"/>
            <a:ea typeface="Yu Gothic UI" panose="020B0500000000000000" pitchFamily="34" charset="-128"/>
          </a:endParaRPr>
        </a:p>
        <a:p>
          <a:r>
            <a:rPr lang="en-US" sz="1400" baseline="0">
              <a:solidFill>
                <a:srgbClr val="FF0000"/>
              </a:solidFill>
              <a:latin typeface="Yu Gothic UI" panose="020B0500000000000000" pitchFamily="34" charset="-128"/>
              <a:ea typeface="Yu Gothic UI" panose="020B0500000000000000" pitchFamily="34" charset="-128"/>
            </a:rPr>
            <a:t>We should to </a:t>
          </a:r>
        </a:p>
        <a:p>
          <a:r>
            <a:rPr lang="en-US" sz="1400" baseline="0">
              <a:solidFill>
                <a:srgbClr val="FF0000"/>
              </a:solidFill>
              <a:latin typeface="Yu Gothic UI" panose="020B0500000000000000" pitchFamily="34" charset="-128"/>
              <a:ea typeface="Yu Gothic UI" panose="020B0500000000000000" pitchFamily="34" charset="-128"/>
            </a:rPr>
            <a:t>   0) Analyze FY25 actual and define the kadai</a:t>
          </a:r>
        </a:p>
        <a:p>
          <a:r>
            <a:rPr lang="en-US" sz="1400" baseline="0">
              <a:solidFill>
                <a:srgbClr val="FF0000"/>
              </a:solidFill>
              <a:latin typeface="Yu Gothic UI" panose="020B0500000000000000" pitchFamily="34" charset="-128"/>
              <a:ea typeface="Yu Gothic UI" panose="020B0500000000000000" pitchFamily="34" charset="-128"/>
            </a:rPr>
            <a:t>   1) Stop bleeding: How to take immediate action</a:t>
          </a:r>
        </a:p>
        <a:p>
          <a:r>
            <a:rPr lang="en-US" sz="1400" baseline="0">
              <a:solidFill>
                <a:srgbClr val="FF0000"/>
              </a:solidFill>
              <a:latin typeface="Yu Gothic UI" panose="020B0500000000000000" pitchFamily="34" charset="-128"/>
              <a:ea typeface="Yu Gothic UI" panose="020B0500000000000000" pitchFamily="34" charset="-128"/>
            </a:rPr>
            <a:t>   2) Early set important action for Corrective / Preventive and feedback in FY26 action plan</a:t>
          </a:r>
          <a:endParaRPr lang="en-US" sz="1400">
            <a:solidFill>
              <a:srgbClr val="FF0000"/>
            </a:solidFill>
            <a:latin typeface="Yu Gothic UI" panose="020B0500000000000000" pitchFamily="34" charset="-128"/>
            <a:ea typeface="Yu Gothic UI" panose="020B0500000000000000" pitchFamily="34"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367889</xdr:colOff>
      <xdr:row>0</xdr:row>
      <xdr:rowOff>55248</xdr:rowOff>
    </xdr:from>
    <xdr:to>
      <xdr:col>2</xdr:col>
      <xdr:colOff>1282</xdr:colOff>
      <xdr:row>0</xdr:row>
      <xdr:rowOff>448236</xdr:rowOff>
    </xdr:to>
    <xdr:sp macro="" textlink="">
      <xdr:nvSpPr>
        <xdr:cNvPr id="3" name="Arrow: Striped Right 1">
          <a:hlinkClick xmlns:r="http://schemas.openxmlformats.org/officeDocument/2006/relationships" r:id="rId1"/>
          <a:extLst>
            <a:ext uri="{FF2B5EF4-FFF2-40B4-BE49-F238E27FC236}">
              <a16:creationId xmlns:a16="http://schemas.microsoft.com/office/drawing/2014/main" id="{B130B462-73A0-8EF6-A05D-6F39AB500530}"/>
            </a:ext>
          </a:extLst>
        </xdr:cNvPr>
        <xdr:cNvSpPr/>
      </xdr:nvSpPr>
      <xdr:spPr>
        <a:xfrm flipH="1">
          <a:off x="1107477" y="55248"/>
          <a:ext cx="518658" cy="392988"/>
        </a:xfrm>
        <a:prstGeom prst="stripedRightArrow">
          <a:avLst>
            <a:gd name="adj1" fmla="val 57692"/>
            <a:gd name="adj2" fmla="val 50000"/>
          </a:avLst>
        </a:prstGeom>
        <a:solidFill>
          <a:schemeClr val="accent6">
            <a:lumMod val="50000"/>
          </a:schemeClr>
        </a:solidFill>
        <a:ln w="6350">
          <a:solidFill>
            <a:schemeClr val="tx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l"/>
          <a:r>
            <a:rPr lang="en-US" sz="1000" b="1"/>
            <a:t>Back</a:t>
          </a:r>
          <a:endParaRPr lang="th-TH" sz="7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451418</xdr:colOff>
      <xdr:row>0</xdr:row>
      <xdr:rowOff>69272</xdr:rowOff>
    </xdr:from>
    <xdr:to>
      <xdr:col>1</xdr:col>
      <xdr:colOff>1108252</xdr:colOff>
      <xdr:row>1</xdr:row>
      <xdr:rowOff>31337</xdr:rowOff>
    </xdr:to>
    <xdr:sp macro="" textlink="">
      <xdr:nvSpPr>
        <xdr:cNvPr id="2" name="Arrow: Striped Right 1">
          <a:hlinkClick xmlns:r="http://schemas.openxmlformats.org/officeDocument/2006/relationships" r:id="rId1"/>
          <a:extLst>
            <a:ext uri="{FF2B5EF4-FFF2-40B4-BE49-F238E27FC236}">
              <a16:creationId xmlns:a16="http://schemas.microsoft.com/office/drawing/2014/main" id="{CE6964D0-5B22-49F8-825E-3731A3D4533A}"/>
            </a:ext>
          </a:extLst>
        </xdr:cNvPr>
        <xdr:cNvSpPr/>
      </xdr:nvSpPr>
      <xdr:spPr>
        <a:xfrm flipH="1">
          <a:off x="1958100" y="190499"/>
          <a:ext cx="656834" cy="498929"/>
        </a:xfrm>
        <a:prstGeom prst="stripedRightArrow">
          <a:avLst>
            <a:gd name="adj1" fmla="val 57692"/>
            <a:gd name="adj2" fmla="val 50000"/>
          </a:avLst>
        </a:prstGeom>
        <a:solidFill>
          <a:schemeClr val="accent6">
            <a:lumMod val="50000"/>
          </a:schemeClr>
        </a:solidFill>
        <a:ln w="12700">
          <a:solidFill>
            <a:schemeClr val="tx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00" b="1"/>
            <a:t>Back</a:t>
          </a:r>
          <a:endParaRPr lang="th-TH" sz="7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121647</xdr:colOff>
      <xdr:row>0</xdr:row>
      <xdr:rowOff>0</xdr:rowOff>
    </xdr:from>
    <xdr:to>
      <xdr:col>1</xdr:col>
      <xdr:colOff>588818</xdr:colOff>
      <xdr:row>0</xdr:row>
      <xdr:rowOff>474072</xdr:rowOff>
    </xdr:to>
    <xdr:sp macro="" textlink="">
      <xdr:nvSpPr>
        <xdr:cNvPr id="2" name="Arrow: Striped Right 1">
          <a:hlinkClick xmlns:r="http://schemas.openxmlformats.org/officeDocument/2006/relationships" r:id="rId1"/>
          <a:extLst>
            <a:ext uri="{FF2B5EF4-FFF2-40B4-BE49-F238E27FC236}">
              <a16:creationId xmlns:a16="http://schemas.microsoft.com/office/drawing/2014/main" id="{01DF8C61-0392-4C26-AA38-F7410101331F}"/>
            </a:ext>
          </a:extLst>
        </xdr:cNvPr>
        <xdr:cNvSpPr/>
      </xdr:nvSpPr>
      <xdr:spPr>
        <a:xfrm flipH="1">
          <a:off x="727783" y="0"/>
          <a:ext cx="467171" cy="474072"/>
        </a:xfrm>
        <a:prstGeom prst="stripedRightArrow">
          <a:avLst>
            <a:gd name="adj1" fmla="val 57692"/>
            <a:gd name="adj2" fmla="val 50000"/>
          </a:avLst>
        </a:prstGeom>
        <a:solidFill>
          <a:schemeClr val="accent6">
            <a:lumMod val="50000"/>
          </a:schemeClr>
        </a:solidFill>
        <a:ln w="6350">
          <a:solidFill>
            <a:schemeClr val="tx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200" b="1"/>
            <a:t>Back</a:t>
          </a:r>
          <a:endParaRPr lang="th-TH" sz="12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123265</xdr:colOff>
      <xdr:row>0</xdr:row>
      <xdr:rowOff>256055</xdr:rowOff>
    </xdr:from>
    <xdr:to>
      <xdr:col>1</xdr:col>
      <xdr:colOff>485438</xdr:colOff>
      <xdr:row>0</xdr:row>
      <xdr:rowOff>560993</xdr:rowOff>
    </xdr:to>
    <xdr:sp macro="" textlink="">
      <xdr:nvSpPr>
        <xdr:cNvPr id="2" name="Arrow: Striped Right 1">
          <a:hlinkClick xmlns:r="http://schemas.openxmlformats.org/officeDocument/2006/relationships" r:id="rId1"/>
          <a:extLst>
            <a:ext uri="{FF2B5EF4-FFF2-40B4-BE49-F238E27FC236}">
              <a16:creationId xmlns:a16="http://schemas.microsoft.com/office/drawing/2014/main" id="{2D1F9834-4119-49AC-80F9-95FFC40EFB69}"/>
            </a:ext>
          </a:extLst>
        </xdr:cNvPr>
        <xdr:cNvSpPr/>
      </xdr:nvSpPr>
      <xdr:spPr>
        <a:xfrm flipH="1">
          <a:off x="1703294" y="356908"/>
          <a:ext cx="362173" cy="304938"/>
        </a:xfrm>
        <a:prstGeom prst="stripedRightArrow">
          <a:avLst>
            <a:gd name="adj1" fmla="val 57692"/>
            <a:gd name="adj2" fmla="val 50000"/>
          </a:avLst>
        </a:prstGeom>
        <a:solidFill>
          <a:schemeClr val="accent6">
            <a:lumMod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00" b="1"/>
            <a:t>Back</a:t>
          </a:r>
          <a:endParaRPr lang="th-TH" sz="10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276560</xdr:colOff>
      <xdr:row>0</xdr:row>
      <xdr:rowOff>61745</xdr:rowOff>
    </xdr:from>
    <xdr:to>
      <xdr:col>1</xdr:col>
      <xdr:colOff>1017466</xdr:colOff>
      <xdr:row>0</xdr:row>
      <xdr:rowOff>569596</xdr:rowOff>
    </xdr:to>
    <xdr:sp macro="" textlink="">
      <xdr:nvSpPr>
        <xdr:cNvPr id="2" name="Arrow: Striped Right 1">
          <a:hlinkClick xmlns:r="http://schemas.openxmlformats.org/officeDocument/2006/relationships" r:id="rId1"/>
          <a:extLst>
            <a:ext uri="{FF2B5EF4-FFF2-40B4-BE49-F238E27FC236}">
              <a16:creationId xmlns:a16="http://schemas.microsoft.com/office/drawing/2014/main" id="{0614F8FA-B3CB-460B-A13B-9DF74B56C8C0}"/>
            </a:ext>
          </a:extLst>
        </xdr:cNvPr>
        <xdr:cNvSpPr/>
      </xdr:nvSpPr>
      <xdr:spPr>
        <a:xfrm flipH="1">
          <a:off x="1341119" y="128980"/>
          <a:ext cx="740906" cy="507851"/>
        </a:xfrm>
        <a:prstGeom prst="stripedRightArrow">
          <a:avLst>
            <a:gd name="adj1" fmla="val 57692"/>
            <a:gd name="adj2" fmla="val 50000"/>
          </a:avLst>
        </a:prstGeom>
        <a:solidFill>
          <a:schemeClr val="accent6">
            <a:lumMod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l"/>
          <a:r>
            <a:rPr lang="en-US" sz="1050" b="1"/>
            <a:t>Back</a:t>
          </a:r>
          <a:endParaRPr lang="th-TH" sz="800" b="1"/>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1623215</xdr:colOff>
      <xdr:row>0</xdr:row>
      <xdr:rowOff>207818</xdr:rowOff>
    </xdr:from>
    <xdr:to>
      <xdr:col>1</xdr:col>
      <xdr:colOff>2506501</xdr:colOff>
      <xdr:row>0</xdr:row>
      <xdr:rowOff>851889</xdr:rowOff>
    </xdr:to>
    <xdr:sp macro="" textlink="">
      <xdr:nvSpPr>
        <xdr:cNvPr id="2" name="Arrow: Striped Right 1">
          <a:hlinkClick xmlns:r="http://schemas.openxmlformats.org/officeDocument/2006/relationships" r:id="rId1"/>
          <a:extLst>
            <a:ext uri="{FF2B5EF4-FFF2-40B4-BE49-F238E27FC236}">
              <a16:creationId xmlns:a16="http://schemas.microsoft.com/office/drawing/2014/main" id="{B41DC076-235B-48F6-869B-1B2B4E84421E}"/>
            </a:ext>
          </a:extLst>
        </xdr:cNvPr>
        <xdr:cNvSpPr/>
      </xdr:nvSpPr>
      <xdr:spPr>
        <a:xfrm flipH="1">
          <a:off x="3597488" y="346363"/>
          <a:ext cx="883286" cy="644071"/>
        </a:xfrm>
        <a:prstGeom prst="stripedRightArrow">
          <a:avLst>
            <a:gd name="adj1" fmla="val 57692"/>
            <a:gd name="adj2" fmla="val 50000"/>
          </a:avLst>
        </a:prstGeom>
        <a:solidFill>
          <a:schemeClr val="accent6">
            <a:lumMod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t>Back</a:t>
          </a:r>
          <a:endParaRPr lang="th-TH" sz="1100" b="1"/>
        </a:p>
      </xdr:txBody>
    </xdr:sp>
    <xdr:clientData/>
  </xdr:twoCellAnchor>
  <xdr:twoCellAnchor>
    <xdr:from>
      <xdr:col>5</xdr:col>
      <xdr:colOff>450272</xdr:colOff>
      <xdr:row>62</xdr:row>
      <xdr:rowOff>97154</xdr:rowOff>
    </xdr:from>
    <xdr:to>
      <xdr:col>14</xdr:col>
      <xdr:colOff>678452</xdr:colOff>
      <xdr:row>72</xdr:row>
      <xdr:rowOff>85453</xdr:rowOff>
    </xdr:to>
    <xdr:graphicFrame macro="">
      <xdr:nvGraphicFramePr>
        <xdr:cNvPr id="3" name="Chart 2">
          <a:extLst>
            <a:ext uri="{FF2B5EF4-FFF2-40B4-BE49-F238E27FC236}">
              <a16:creationId xmlns:a16="http://schemas.microsoft.com/office/drawing/2014/main" id="{38E74FF6-7579-B4B9-1A2F-F06C353A3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444952</xdr:colOff>
      <xdr:row>63</xdr:row>
      <xdr:rowOff>173084</xdr:rowOff>
    </xdr:from>
    <xdr:to>
      <xdr:col>14</xdr:col>
      <xdr:colOff>487949</xdr:colOff>
      <xdr:row>64</xdr:row>
      <xdr:rowOff>306978</xdr:rowOff>
    </xdr:to>
    <xdr:sp macro="" textlink="">
      <xdr:nvSpPr>
        <xdr:cNvPr id="142" name="TextBox 3">
          <a:extLst>
            <a:ext uri="{FF2B5EF4-FFF2-40B4-BE49-F238E27FC236}">
              <a16:creationId xmlns:a16="http://schemas.microsoft.com/office/drawing/2014/main" id="{68DB4087-1CC8-4E3F-A626-B06143361231}"/>
            </a:ext>
          </a:extLst>
        </xdr:cNvPr>
        <xdr:cNvSpPr txBox="1"/>
      </xdr:nvSpPr>
      <xdr:spPr>
        <a:xfrm>
          <a:off x="15562488" y="5629548"/>
          <a:ext cx="736961" cy="56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1">
              <a:solidFill>
                <a:schemeClr val="tx1">
                  <a:lumMod val="75000"/>
                  <a:lumOff val="25000"/>
                </a:schemeClr>
              </a:solidFill>
            </a:rPr>
            <a:t>///</a:t>
          </a:r>
          <a:endParaRPr lang="th-TH" sz="2800" b="0" i="1">
            <a:solidFill>
              <a:schemeClr val="tx1">
                <a:lumMod val="75000"/>
                <a:lumOff val="25000"/>
              </a:schemeClr>
            </a:solidFill>
          </a:endParaRPr>
        </a:p>
      </xdr:txBody>
    </xdr:sp>
    <xdr:clientData/>
  </xdr:twoCellAnchor>
  <xdr:twoCellAnchor>
    <xdr:from>
      <xdr:col>13</xdr:col>
      <xdr:colOff>130745</xdr:colOff>
      <xdr:row>64</xdr:row>
      <xdr:rowOff>117585</xdr:rowOff>
    </xdr:from>
    <xdr:to>
      <xdr:col>13</xdr:col>
      <xdr:colOff>130745</xdr:colOff>
      <xdr:row>69</xdr:row>
      <xdr:rowOff>200218</xdr:rowOff>
    </xdr:to>
    <xdr:cxnSp macro="">
      <xdr:nvCxnSpPr>
        <xdr:cNvPr id="310" name="Straight Arrow Connector 5">
          <a:extLst>
            <a:ext uri="{FF2B5EF4-FFF2-40B4-BE49-F238E27FC236}">
              <a16:creationId xmlns:a16="http://schemas.microsoft.com/office/drawing/2014/main" id="{337DB6ED-321C-E907-40DD-32D5E717C6EA}"/>
            </a:ext>
          </a:extLst>
        </xdr:cNvPr>
        <xdr:cNvCxnSpPr/>
      </xdr:nvCxnSpPr>
      <xdr:spPr>
        <a:xfrm>
          <a:off x="15229941" y="6056215"/>
          <a:ext cx="0" cy="2277525"/>
        </a:xfrm>
        <a:prstGeom prst="straightConnector1">
          <a:avLst/>
        </a:prstGeom>
        <a:ln>
          <a:solidFill>
            <a:srgbClr val="FF0000"/>
          </a:solidFill>
          <a:prstDash val="dash"/>
          <a:headEnd type="triangle" w="med" len="med"/>
          <a:tailEnd type="triangle"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523876</xdr:colOff>
      <xdr:row>62</xdr:row>
      <xdr:rowOff>118654</xdr:rowOff>
    </xdr:from>
    <xdr:to>
      <xdr:col>7</xdr:col>
      <xdr:colOff>15513</xdr:colOff>
      <xdr:row>63</xdr:row>
      <xdr:rowOff>244929</xdr:rowOff>
    </xdr:to>
    <xdr:sp macro="" textlink="">
      <xdr:nvSpPr>
        <xdr:cNvPr id="178" name="TextBox 6">
          <a:extLst>
            <a:ext uri="{FF2B5EF4-FFF2-40B4-BE49-F238E27FC236}">
              <a16:creationId xmlns:a16="http://schemas.microsoft.com/office/drawing/2014/main" id="{8A017237-6F3F-9FB1-52E7-B8E4823564D0}"/>
            </a:ext>
          </a:extLst>
        </xdr:cNvPr>
        <xdr:cNvSpPr txBox="1"/>
      </xdr:nvSpPr>
      <xdr:spPr>
        <a:xfrm>
          <a:off x="7893845" y="24728873"/>
          <a:ext cx="956106" cy="554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a:solidFill>
                <a:schemeClr val="tx1">
                  <a:lumMod val="65000"/>
                  <a:lumOff val="35000"/>
                </a:schemeClr>
              </a:solidFill>
            </a:rPr>
            <a:t>case</a:t>
          </a:r>
          <a:endParaRPr lang="th-TH" sz="1800" b="0" i="0">
            <a:solidFill>
              <a:schemeClr val="tx1">
                <a:lumMod val="65000"/>
                <a:lumOff val="35000"/>
              </a:schemeClr>
            </a:solidFill>
          </a:endParaRPr>
        </a:p>
      </xdr:txBody>
    </xdr:sp>
    <xdr:clientData/>
  </xdr:twoCellAnchor>
  <xdr:twoCellAnchor>
    <xdr:from>
      <xdr:col>12</xdr:col>
      <xdr:colOff>16032</xdr:colOff>
      <xdr:row>64</xdr:row>
      <xdr:rowOff>125868</xdr:rowOff>
    </xdr:from>
    <xdr:to>
      <xdr:col>12</xdr:col>
      <xdr:colOff>16032</xdr:colOff>
      <xdr:row>68</xdr:row>
      <xdr:rowOff>65765</xdr:rowOff>
    </xdr:to>
    <xdr:cxnSp macro="">
      <xdr:nvCxnSpPr>
        <xdr:cNvPr id="309" name="Straight Arrow Connector 7">
          <a:extLst>
            <a:ext uri="{FF2B5EF4-FFF2-40B4-BE49-F238E27FC236}">
              <a16:creationId xmlns:a16="http://schemas.microsoft.com/office/drawing/2014/main" id="{1F6BF905-E05D-BF25-C10C-430358F5C3A2}"/>
            </a:ext>
          </a:extLst>
        </xdr:cNvPr>
        <xdr:cNvCxnSpPr/>
      </xdr:nvCxnSpPr>
      <xdr:spPr>
        <a:xfrm>
          <a:off x="14494032" y="6064498"/>
          <a:ext cx="0" cy="1695810"/>
        </a:xfrm>
        <a:prstGeom prst="straightConnector1">
          <a:avLst/>
        </a:prstGeom>
        <a:ln>
          <a:solidFill>
            <a:srgbClr val="FF0000"/>
          </a:solidFill>
          <a:prstDash val="dash"/>
          <a:headEnd type="triangle" w="med" len="med"/>
          <a:tailEnd type="triangle"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663981</xdr:colOff>
      <xdr:row>64</xdr:row>
      <xdr:rowOff>129678</xdr:rowOff>
    </xdr:from>
    <xdr:to>
      <xdr:col>10</xdr:col>
      <xdr:colOff>663981</xdr:colOff>
      <xdr:row>67</xdr:row>
      <xdr:rowOff>288743</xdr:rowOff>
    </xdr:to>
    <xdr:cxnSp macro="">
      <xdr:nvCxnSpPr>
        <xdr:cNvPr id="308" name="Straight Arrow Connector 8">
          <a:extLst>
            <a:ext uri="{FF2B5EF4-FFF2-40B4-BE49-F238E27FC236}">
              <a16:creationId xmlns:a16="http://schemas.microsoft.com/office/drawing/2014/main" id="{8CA2DD55-BFC5-A66D-3728-78BF240886CB}"/>
            </a:ext>
          </a:extLst>
        </xdr:cNvPr>
        <xdr:cNvCxnSpPr/>
      </xdr:nvCxnSpPr>
      <xdr:spPr>
        <a:xfrm>
          <a:off x="13758785" y="6068308"/>
          <a:ext cx="0" cy="1476000"/>
        </a:xfrm>
        <a:prstGeom prst="straightConnector1">
          <a:avLst/>
        </a:prstGeom>
        <a:ln>
          <a:solidFill>
            <a:srgbClr val="FF0000"/>
          </a:solidFill>
          <a:prstDash val="dash"/>
          <a:headEnd type="triangle" w="med" len="med"/>
          <a:tailEnd type="triangle"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705973</xdr:colOff>
      <xdr:row>64</xdr:row>
      <xdr:rowOff>121395</xdr:rowOff>
    </xdr:from>
    <xdr:to>
      <xdr:col>9</xdr:col>
      <xdr:colOff>705973</xdr:colOff>
      <xdr:row>66</xdr:row>
      <xdr:rowOff>183248</xdr:rowOff>
    </xdr:to>
    <xdr:cxnSp macro="">
      <xdr:nvCxnSpPr>
        <xdr:cNvPr id="307" name="Straight Arrow Connector 9">
          <a:extLst>
            <a:ext uri="{FF2B5EF4-FFF2-40B4-BE49-F238E27FC236}">
              <a16:creationId xmlns:a16="http://schemas.microsoft.com/office/drawing/2014/main" id="{FA43F9FE-83F2-F794-E9C8-101BCB1D4599}"/>
            </a:ext>
          </a:extLst>
        </xdr:cNvPr>
        <xdr:cNvCxnSpPr/>
      </xdr:nvCxnSpPr>
      <xdr:spPr>
        <a:xfrm>
          <a:off x="13030495" y="6060025"/>
          <a:ext cx="0" cy="939810"/>
        </a:xfrm>
        <a:prstGeom prst="straightConnector1">
          <a:avLst/>
        </a:prstGeom>
        <a:ln>
          <a:solidFill>
            <a:srgbClr val="FF0000"/>
          </a:solidFill>
          <a:prstDash val="dash"/>
          <a:headEnd type="triangle" w="med" len="med"/>
          <a:tailEnd type="triangle"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64</xdr:row>
      <xdr:rowOff>129673</xdr:rowOff>
    </xdr:from>
    <xdr:to>
      <xdr:col>0</xdr:col>
      <xdr:colOff>0</xdr:colOff>
      <xdr:row>69</xdr:row>
      <xdr:rowOff>116</xdr:rowOff>
    </xdr:to>
    <xdr:cxnSp macro="">
      <xdr:nvCxnSpPr>
        <xdr:cNvPr id="306" name="Straight Arrow Connector 10">
          <a:extLst>
            <a:ext uri="{FF2B5EF4-FFF2-40B4-BE49-F238E27FC236}">
              <a16:creationId xmlns:a16="http://schemas.microsoft.com/office/drawing/2014/main" id="{047B7590-1DAB-24E7-3DF3-A94A2176E4A8}"/>
            </a:ext>
          </a:extLst>
        </xdr:cNvPr>
        <xdr:cNvCxnSpPr/>
      </xdr:nvCxnSpPr>
      <xdr:spPr>
        <a:xfrm>
          <a:off x="12274957" y="6068303"/>
          <a:ext cx="0" cy="2065335"/>
        </a:xfrm>
        <a:prstGeom prst="straightConnector1">
          <a:avLst/>
        </a:prstGeom>
        <a:ln>
          <a:solidFill>
            <a:srgbClr val="FF0000"/>
          </a:solidFill>
          <a:prstDash val="dash"/>
          <a:headEnd type="triangle" w="med" len="med"/>
          <a:tailEnd type="triangle"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172740</xdr:colOff>
      <xdr:row>64</xdr:row>
      <xdr:rowOff>133483</xdr:rowOff>
    </xdr:from>
    <xdr:to>
      <xdr:col>8</xdr:col>
      <xdr:colOff>172740</xdr:colOff>
      <xdr:row>66</xdr:row>
      <xdr:rowOff>47526</xdr:rowOff>
    </xdr:to>
    <xdr:cxnSp macro="">
      <xdr:nvCxnSpPr>
        <xdr:cNvPr id="305" name="Straight Arrow Connector 11">
          <a:extLst>
            <a:ext uri="{FF2B5EF4-FFF2-40B4-BE49-F238E27FC236}">
              <a16:creationId xmlns:a16="http://schemas.microsoft.com/office/drawing/2014/main" id="{3CB31224-2971-FCF8-B29F-3724696BF7C0}"/>
            </a:ext>
          </a:extLst>
        </xdr:cNvPr>
        <xdr:cNvCxnSpPr/>
      </xdr:nvCxnSpPr>
      <xdr:spPr>
        <a:xfrm>
          <a:off x="11569610" y="6072113"/>
          <a:ext cx="0" cy="792000"/>
        </a:xfrm>
        <a:prstGeom prst="straightConnector1">
          <a:avLst/>
        </a:prstGeom>
        <a:ln>
          <a:solidFill>
            <a:srgbClr val="FF0000"/>
          </a:solidFill>
          <a:prstDash val="dash"/>
          <a:headEnd type="triangle" w="med" len="med"/>
          <a:tailEnd type="triangle"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504623</xdr:colOff>
      <xdr:row>64</xdr:row>
      <xdr:rowOff>130920</xdr:rowOff>
    </xdr:from>
    <xdr:to>
      <xdr:col>7</xdr:col>
      <xdr:colOff>504623</xdr:colOff>
      <xdr:row>67</xdr:row>
      <xdr:rowOff>73985</xdr:rowOff>
    </xdr:to>
    <xdr:cxnSp macro="">
      <xdr:nvCxnSpPr>
        <xdr:cNvPr id="304" name="Straight Arrow Connector 12">
          <a:extLst>
            <a:ext uri="{FF2B5EF4-FFF2-40B4-BE49-F238E27FC236}">
              <a16:creationId xmlns:a16="http://schemas.microsoft.com/office/drawing/2014/main" id="{51BE5EF8-35ED-711C-08B1-AF2268388B7E}"/>
            </a:ext>
          </a:extLst>
        </xdr:cNvPr>
        <xdr:cNvCxnSpPr/>
      </xdr:nvCxnSpPr>
      <xdr:spPr>
        <a:xfrm>
          <a:off x="10824753" y="6069550"/>
          <a:ext cx="0" cy="1260000"/>
        </a:xfrm>
        <a:prstGeom prst="straightConnector1">
          <a:avLst/>
        </a:prstGeom>
        <a:ln>
          <a:solidFill>
            <a:srgbClr val="FF0000"/>
          </a:solidFill>
          <a:prstDash val="dash"/>
          <a:headEnd type="triangle" w="med" len="med"/>
          <a:tailEnd type="triangle"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1467397</xdr:colOff>
      <xdr:row>64</xdr:row>
      <xdr:rowOff>133483</xdr:rowOff>
    </xdr:from>
    <xdr:to>
      <xdr:col>6</xdr:col>
      <xdr:colOff>1467397</xdr:colOff>
      <xdr:row>68</xdr:row>
      <xdr:rowOff>177570</xdr:rowOff>
    </xdr:to>
    <xdr:cxnSp macro="">
      <xdr:nvCxnSpPr>
        <xdr:cNvPr id="303" name="Straight Arrow Connector 13">
          <a:extLst>
            <a:ext uri="{FF2B5EF4-FFF2-40B4-BE49-F238E27FC236}">
              <a16:creationId xmlns:a16="http://schemas.microsoft.com/office/drawing/2014/main" id="{971E187E-82BC-5341-92F4-943332E1AF2E}"/>
            </a:ext>
          </a:extLst>
        </xdr:cNvPr>
        <xdr:cNvCxnSpPr/>
      </xdr:nvCxnSpPr>
      <xdr:spPr>
        <a:xfrm>
          <a:off x="10097875" y="6072113"/>
          <a:ext cx="0" cy="1800000"/>
        </a:xfrm>
        <a:prstGeom prst="straightConnector1">
          <a:avLst/>
        </a:prstGeom>
        <a:ln>
          <a:solidFill>
            <a:srgbClr val="FF0000"/>
          </a:solidFill>
          <a:prstDash val="dash"/>
          <a:headEnd type="triangle" w="med" len="med"/>
          <a:tailEnd type="triangle"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705970</xdr:colOff>
      <xdr:row>63</xdr:row>
      <xdr:rowOff>403412</xdr:rowOff>
    </xdr:from>
    <xdr:to>
      <xdr:col>16</xdr:col>
      <xdr:colOff>554083</xdr:colOff>
      <xdr:row>70</xdr:row>
      <xdr:rowOff>312964</xdr:rowOff>
    </xdr:to>
    <xdr:sp macro="" textlink="">
      <xdr:nvSpPr>
        <xdr:cNvPr id="4" name="Speech Bubble: Rectangle with Corners Rounded 14">
          <a:extLst>
            <a:ext uri="{FF2B5EF4-FFF2-40B4-BE49-F238E27FC236}">
              <a16:creationId xmlns:a16="http://schemas.microsoft.com/office/drawing/2014/main" id="{14A5A298-76D1-4E26-DCAE-2BE6419971EB}"/>
            </a:ext>
          </a:extLst>
        </xdr:cNvPr>
        <xdr:cNvSpPr/>
      </xdr:nvSpPr>
      <xdr:spPr>
        <a:xfrm>
          <a:off x="16803220" y="5220341"/>
          <a:ext cx="3685327" cy="2957552"/>
        </a:xfrm>
        <a:prstGeom prst="wedgeRoundRectCallout">
          <a:avLst>
            <a:gd name="adj1" fmla="val -81814"/>
            <a:gd name="adj2" fmla="val 2355"/>
            <a:gd name="adj3" fmla="val 16667"/>
          </a:avLst>
        </a:prstGeom>
        <a:solidFill>
          <a:srgbClr val="FFFF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rgbClr val="FF0000"/>
              </a:solidFill>
              <a:latin typeface="Yu Gothic UI" panose="020B0500000000000000" pitchFamily="34" charset="-128"/>
              <a:ea typeface="Yu Gothic UI" panose="020B0500000000000000" pitchFamily="34" charset="-128"/>
            </a:rPr>
            <a:t>Comment: </a:t>
          </a:r>
        </a:p>
        <a:p>
          <a:pPr algn="l"/>
          <a:r>
            <a:rPr lang="en-US" sz="1400" b="1" u="sng">
              <a:solidFill>
                <a:srgbClr val="FF0000"/>
              </a:solidFill>
              <a:latin typeface="Yu Gothic UI" panose="020B0500000000000000" pitchFamily="34" charset="-128"/>
              <a:ea typeface="Yu Gothic UI" panose="020B0500000000000000" pitchFamily="34" charset="-128"/>
            </a:rPr>
            <a:t>Apr'25~:  </a:t>
          </a:r>
          <a:r>
            <a:rPr lang="en-US" sz="1400">
              <a:solidFill>
                <a:srgbClr val="FF0000"/>
              </a:solidFill>
              <a:latin typeface="Yu Gothic UI" panose="020B0500000000000000" pitchFamily="34" charset="-128"/>
              <a:ea typeface="Yu Gothic UI" panose="020B0500000000000000" pitchFamily="34" charset="-128"/>
            </a:rPr>
            <a:t>Huge</a:t>
          </a:r>
          <a:r>
            <a:rPr lang="en-US" sz="1400" baseline="0">
              <a:solidFill>
                <a:srgbClr val="FF0000"/>
              </a:solidFill>
              <a:latin typeface="Yu Gothic UI" panose="020B0500000000000000" pitchFamily="34" charset="-128"/>
              <a:ea typeface="Yu Gothic UI" panose="020B0500000000000000" pitchFamily="34" charset="-128"/>
            </a:rPr>
            <a:t> GAP (Plan - Act 1/2 )</a:t>
          </a:r>
        </a:p>
        <a:p>
          <a:pPr algn="l"/>
          <a:r>
            <a:rPr lang="en-US" sz="1400" baseline="0">
              <a:solidFill>
                <a:srgbClr val="FF0000"/>
              </a:solidFill>
              <a:latin typeface="Yu Gothic UI" panose="020B0500000000000000" pitchFamily="34" charset="-128"/>
              <a:ea typeface="Yu Gothic UI" panose="020B0500000000000000" pitchFamily="34" charset="-128"/>
            </a:rPr>
            <a:t>&lt;Cause&gt;</a:t>
          </a:r>
        </a:p>
        <a:p>
          <a:pPr algn="l"/>
          <a:r>
            <a:rPr lang="en-US" sz="1400" baseline="0">
              <a:solidFill>
                <a:srgbClr val="FF0000"/>
              </a:solidFill>
              <a:latin typeface="Yu Gothic UI" panose="020B0500000000000000" pitchFamily="34" charset="-128"/>
              <a:ea typeface="Yu Gothic UI" panose="020B0500000000000000" pitchFamily="34" charset="-128"/>
            </a:rPr>
            <a:t>* Is plan too large no. (27/M) ?</a:t>
          </a:r>
        </a:p>
        <a:p>
          <a:pPr algn="l"/>
          <a:r>
            <a:rPr lang="en-US" sz="1400" baseline="0">
              <a:solidFill>
                <a:srgbClr val="FF0000"/>
              </a:solidFill>
              <a:latin typeface="Yu Gothic UI" panose="020B0500000000000000" pitchFamily="34" charset="-128"/>
              <a:ea typeface="Yu Gothic UI" panose="020B0500000000000000" pitchFamily="34" charset="-128"/>
            </a:rPr>
            <a:t>*  Is actual too small no.?</a:t>
          </a:r>
        </a:p>
        <a:p>
          <a:pPr algn="l"/>
          <a:r>
            <a:rPr lang="en-US" sz="1400" baseline="0">
              <a:solidFill>
                <a:srgbClr val="FF0000"/>
              </a:solidFill>
              <a:latin typeface="Yu Gothic UI" panose="020B0500000000000000" pitchFamily="34" charset="-128"/>
              <a:ea typeface="Yu Gothic UI" panose="020B0500000000000000" pitchFamily="34" charset="-128"/>
            </a:rPr>
            <a:t>        --&gt; Need to confirm the detail both Plan setting , Actual recording</a:t>
          </a:r>
          <a:endParaRPr lang="th-TH" sz="1400">
            <a:solidFill>
              <a:srgbClr val="FF0000"/>
            </a:solidFill>
            <a:latin typeface="Yu Gothic UI" panose="020B0500000000000000" pitchFamily="34" charset="-128"/>
            <a:ea typeface="Yu Gothic UI" panose="020B0500000000000000" pitchFamily="34" charset="-128"/>
          </a:endParaRPr>
        </a:p>
      </xdr:txBody>
    </xdr:sp>
    <xdr:clientData/>
  </xdr:twoCellAnchor>
  <xdr:twoCellAnchor editAs="oneCell">
    <xdr:from>
      <xdr:col>18</xdr:col>
      <xdr:colOff>179887</xdr:colOff>
      <xdr:row>51</xdr:row>
      <xdr:rowOff>94117</xdr:rowOff>
    </xdr:from>
    <xdr:to>
      <xdr:col>33</xdr:col>
      <xdr:colOff>535802</xdr:colOff>
      <xdr:row>52</xdr:row>
      <xdr:rowOff>3477886</xdr:rowOff>
    </xdr:to>
    <xdr:pic>
      <xdr:nvPicPr>
        <xdr:cNvPr id="34" name="Picture 4">
          <a:extLst>
            <a:ext uri="{FF2B5EF4-FFF2-40B4-BE49-F238E27FC236}">
              <a16:creationId xmlns:a16="http://schemas.microsoft.com/office/drawing/2014/main" id="{A31E9E9A-DF31-B462-2426-DAD1CE00F81D}"/>
            </a:ext>
          </a:extLst>
        </xdr:cNvPr>
        <xdr:cNvPicPr>
          <a:picLocks noChangeAspect="1"/>
        </xdr:cNvPicPr>
      </xdr:nvPicPr>
      <xdr:blipFill rotWithShape="1">
        <a:blip xmlns:r="http://schemas.openxmlformats.org/officeDocument/2006/relationships" r:embed="rId3"/>
        <a:srcRect t="668"/>
        <a:stretch/>
      </xdr:blipFill>
      <xdr:spPr>
        <a:xfrm>
          <a:off x="22365200" y="2245180"/>
          <a:ext cx="9642790" cy="362189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1246908</xdr:colOff>
      <xdr:row>0</xdr:row>
      <xdr:rowOff>0</xdr:rowOff>
    </xdr:from>
    <xdr:to>
      <xdr:col>1</xdr:col>
      <xdr:colOff>1990451</xdr:colOff>
      <xdr:row>0</xdr:row>
      <xdr:rowOff>607784</xdr:rowOff>
    </xdr:to>
    <xdr:sp macro="" textlink="">
      <xdr:nvSpPr>
        <xdr:cNvPr id="2" name="Arrow: Striped Right 1">
          <a:hlinkClick xmlns:r="http://schemas.openxmlformats.org/officeDocument/2006/relationships" r:id="rId1"/>
          <a:extLst>
            <a:ext uri="{FF2B5EF4-FFF2-40B4-BE49-F238E27FC236}">
              <a16:creationId xmlns:a16="http://schemas.microsoft.com/office/drawing/2014/main" id="{03210DB7-D8C0-47E8-B74C-BA4EB05F3037}"/>
            </a:ext>
          </a:extLst>
        </xdr:cNvPr>
        <xdr:cNvSpPr/>
      </xdr:nvSpPr>
      <xdr:spPr>
        <a:xfrm flipH="1">
          <a:off x="2961408" y="103909"/>
          <a:ext cx="743543" cy="607784"/>
        </a:xfrm>
        <a:prstGeom prst="stripedRightArrow">
          <a:avLst>
            <a:gd name="adj1" fmla="val 57692"/>
            <a:gd name="adj2" fmla="val 50000"/>
          </a:avLst>
        </a:prstGeom>
        <a:solidFill>
          <a:schemeClr val="accent6">
            <a:lumMod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00" b="1"/>
            <a:t>Back</a:t>
          </a:r>
          <a:endParaRPr lang="th-TH" sz="900" b="1"/>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958272</xdr:colOff>
      <xdr:row>0</xdr:row>
      <xdr:rowOff>1</xdr:rowOff>
    </xdr:from>
    <xdr:to>
      <xdr:col>1</xdr:col>
      <xdr:colOff>1504950</xdr:colOff>
      <xdr:row>0</xdr:row>
      <xdr:rowOff>419101</xdr:rowOff>
    </xdr:to>
    <xdr:sp macro="" textlink="">
      <xdr:nvSpPr>
        <xdr:cNvPr id="3" name="Arrow: Striped Right 2">
          <a:hlinkClick xmlns:r="http://schemas.openxmlformats.org/officeDocument/2006/relationships" r:id="rId1"/>
          <a:extLst>
            <a:ext uri="{FF2B5EF4-FFF2-40B4-BE49-F238E27FC236}">
              <a16:creationId xmlns:a16="http://schemas.microsoft.com/office/drawing/2014/main" id="{114B0C77-2866-4F6E-ABDC-0122C009C0AA}"/>
            </a:ext>
          </a:extLst>
        </xdr:cNvPr>
        <xdr:cNvSpPr/>
      </xdr:nvSpPr>
      <xdr:spPr>
        <a:xfrm flipH="1">
          <a:off x="3406197" y="133351"/>
          <a:ext cx="546678" cy="419100"/>
        </a:xfrm>
        <a:prstGeom prst="stripedRightArrow">
          <a:avLst>
            <a:gd name="adj1" fmla="val 57692"/>
            <a:gd name="adj2" fmla="val 50000"/>
          </a:avLst>
        </a:prstGeom>
        <a:solidFill>
          <a:schemeClr val="accent6">
            <a:lumMod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00" b="1"/>
            <a:t>Back</a:t>
          </a:r>
          <a:endParaRPr lang="th-TH" sz="1100" b="1"/>
        </a:p>
      </xdr:txBody>
    </xdr:sp>
    <xdr:clientData/>
  </xdr:twoCellAnchor>
  <xdr:twoCellAnchor>
    <xdr:from>
      <xdr:col>1</xdr:col>
      <xdr:colOff>1623215</xdr:colOff>
      <xdr:row>0</xdr:row>
      <xdr:rowOff>207818</xdr:rowOff>
    </xdr:from>
    <xdr:to>
      <xdr:col>1</xdr:col>
      <xdr:colOff>2506501</xdr:colOff>
      <xdr:row>0</xdr:row>
      <xdr:rowOff>851889</xdr:rowOff>
    </xdr:to>
    <xdr:sp macro="" textlink="">
      <xdr:nvSpPr>
        <xdr:cNvPr id="2" name="Arrow: Striped Right 1">
          <a:hlinkClick xmlns:r="http://schemas.openxmlformats.org/officeDocument/2006/relationships" r:id="rId1"/>
          <a:extLst>
            <a:ext uri="{FF2B5EF4-FFF2-40B4-BE49-F238E27FC236}">
              <a16:creationId xmlns:a16="http://schemas.microsoft.com/office/drawing/2014/main" id="{6BB0BB65-C99C-4FF4-A307-9E5E52D47DD3}"/>
            </a:ext>
          </a:extLst>
        </xdr:cNvPr>
        <xdr:cNvSpPr/>
      </xdr:nvSpPr>
      <xdr:spPr>
        <a:xfrm flipH="1">
          <a:off x="2505865" y="207818"/>
          <a:ext cx="883286" cy="644071"/>
        </a:xfrm>
        <a:prstGeom prst="stripedRightArrow">
          <a:avLst>
            <a:gd name="adj1" fmla="val 57692"/>
            <a:gd name="adj2" fmla="val 50000"/>
          </a:avLst>
        </a:prstGeom>
        <a:solidFill>
          <a:schemeClr val="accent6">
            <a:lumMod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t>Back</a:t>
          </a:r>
          <a:endParaRPr lang="th-TH" sz="1100" b="1"/>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1242783</xdr:colOff>
      <xdr:row>0</xdr:row>
      <xdr:rowOff>108858</xdr:rowOff>
    </xdr:from>
    <xdr:to>
      <xdr:col>1</xdr:col>
      <xdr:colOff>2285999</xdr:colOff>
      <xdr:row>0</xdr:row>
      <xdr:rowOff>671286</xdr:rowOff>
    </xdr:to>
    <xdr:sp macro="" textlink="">
      <xdr:nvSpPr>
        <xdr:cNvPr id="2" name="Arrow: Striped Right 1">
          <a:hlinkClick xmlns:r="http://schemas.openxmlformats.org/officeDocument/2006/relationships" r:id="rId1"/>
          <a:extLst>
            <a:ext uri="{FF2B5EF4-FFF2-40B4-BE49-F238E27FC236}">
              <a16:creationId xmlns:a16="http://schemas.microsoft.com/office/drawing/2014/main" id="{DFB1183D-FFD2-4043-9702-CE8F9E5F902A}"/>
            </a:ext>
          </a:extLst>
        </xdr:cNvPr>
        <xdr:cNvSpPr/>
      </xdr:nvSpPr>
      <xdr:spPr>
        <a:xfrm flipH="1">
          <a:off x="2676069" y="108858"/>
          <a:ext cx="1043216" cy="562428"/>
        </a:xfrm>
        <a:prstGeom prst="stripedRightArrow">
          <a:avLst>
            <a:gd name="adj1" fmla="val 57692"/>
            <a:gd name="adj2" fmla="val 50000"/>
          </a:avLst>
        </a:prstGeom>
        <a:solidFill>
          <a:schemeClr val="accent6">
            <a:lumMod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t>Back</a:t>
          </a:r>
          <a:endParaRPr lang="th-TH" sz="1100" b="1"/>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1392113</xdr:colOff>
      <xdr:row>0</xdr:row>
      <xdr:rowOff>0</xdr:rowOff>
    </xdr:from>
    <xdr:to>
      <xdr:col>1</xdr:col>
      <xdr:colOff>2044211</xdr:colOff>
      <xdr:row>0</xdr:row>
      <xdr:rowOff>498231</xdr:rowOff>
    </xdr:to>
    <xdr:sp macro="" textlink="">
      <xdr:nvSpPr>
        <xdr:cNvPr id="22" name="Arrow: Striped Right 1">
          <a:hlinkClick xmlns:r="http://schemas.openxmlformats.org/officeDocument/2006/relationships" r:id="rId1"/>
          <a:extLst>
            <a:ext uri="{FF2B5EF4-FFF2-40B4-BE49-F238E27FC236}">
              <a16:creationId xmlns:a16="http://schemas.microsoft.com/office/drawing/2014/main" id="{9501A2D7-A7C3-44CC-9BE0-DCFF6A48E49B}"/>
            </a:ext>
          </a:extLst>
        </xdr:cNvPr>
        <xdr:cNvSpPr/>
      </xdr:nvSpPr>
      <xdr:spPr>
        <a:xfrm flipH="1">
          <a:off x="1802421" y="0"/>
          <a:ext cx="652098" cy="498231"/>
        </a:xfrm>
        <a:prstGeom prst="stripedRightArrow">
          <a:avLst>
            <a:gd name="adj1" fmla="val 57692"/>
            <a:gd name="adj2" fmla="val 50000"/>
          </a:avLst>
        </a:prstGeom>
        <a:solidFill>
          <a:schemeClr val="accent6">
            <a:lumMod val="50000"/>
          </a:schemeClr>
        </a:solidFill>
        <a:ln w="3175">
          <a:solidFill>
            <a:schemeClr val="tx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200" b="0"/>
            <a:t>Back</a:t>
          </a:r>
          <a:endParaRPr lang="th-TH" sz="1000" b="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1215571</xdr:colOff>
      <xdr:row>0</xdr:row>
      <xdr:rowOff>0</xdr:rowOff>
    </xdr:from>
    <xdr:to>
      <xdr:col>1</xdr:col>
      <xdr:colOff>2104572</xdr:colOff>
      <xdr:row>0</xdr:row>
      <xdr:rowOff>544286</xdr:rowOff>
    </xdr:to>
    <xdr:sp macro="" textlink="">
      <xdr:nvSpPr>
        <xdr:cNvPr id="2" name="Arrow: Striped Right 1">
          <a:hlinkClick xmlns:r="http://schemas.openxmlformats.org/officeDocument/2006/relationships" r:id="rId1"/>
          <a:extLst>
            <a:ext uri="{FF2B5EF4-FFF2-40B4-BE49-F238E27FC236}">
              <a16:creationId xmlns:a16="http://schemas.microsoft.com/office/drawing/2014/main" id="{FDFAB055-F3A4-4B5D-8BCB-415C11504B6B}"/>
            </a:ext>
          </a:extLst>
        </xdr:cNvPr>
        <xdr:cNvSpPr/>
      </xdr:nvSpPr>
      <xdr:spPr>
        <a:xfrm flipH="1">
          <a:off x="2286000" y="0"/>
          <a:ext cx="889001" cy="544286"/>
        </a:xfrm>
        <a:prstGeom prst="stripedRightArrow">
          <a:avLst>
            <a:gd name="adj1" fmla="val 57692"/>
            <a:gd name="adj2" fmla="val 50000"/>
          </a:avLst>
        </a:prstGeom>
        <a:solidFill>
          <a:schemeClr val="accent6">
            <a:lumMod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t>Back</a:t>
          </a:r>
          <a:endParaRPr lang="th-TH" sz="1100" b="1"/>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1067070</xdr:colOff>
      <xdr:row>0</xdr:row>
      <xdr:rowOff>1</xdr:rowOff>
    </xdr:from>
    <xdr:to>
      <xdr:col>1</xdr:col>
      <xdr:colOff>1799496</xdr:colOff>
      <xdr:row>0</xdr:row>
      <xdr:rowOff>472441</xdr:rowOff>
    </xdr:to>
    <xdr:sp macro="" textlink="">
      <xdr:nvSpPr>
        <xdr:cNvPr id="18" name="Arrow: Striped Right 1">
          <a:hlinkClick xmlns:r="http://schemas.openxmlformats.org/officeDocument/2006/relationships" r:id="rId1"/>
          <a:extLst>
            <a:ext uri="{FF2B5EF4-FFF2-40B4-BE49-F238E27FC236}">
              <a16:creationId xmlns:a16="http://schemas.microsoft.com/office/drawing/2014/main" id="{D54F0486-4072-4DAE-8424-BC957B4A085A}"/>
            </a:ext>
          </a:extLst>
        </xdr:cNvPr>
        <xdr:cNvSpPr/>
      </xdr:nvSpPr>
      <xdr:spPr>
        <a:xfrm flipH="1">
          <a:off x="2033177" y="1"/>
          <a:ext cx="732426" cy="472440"/>
        </a:xfrm>
        <a:prstGeom prst="stripedRightArrow">
          <a:avLst>
            <a:gd name="adj1" fmla="val 57692"/>
            <a:gd name="adj2" fmla="val 50000"/>
          </a:avLst>
        </a:prstGeom>
        <a:solidFill>
          <a:schemeClr val="accent6">
            <a:lumMod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400" b="0"/>
            <a:t>Back</a:t>
          </a:r>
          <a:endParaRPr lang="th-TH" sz="1050" b="0"/>
        </a:p>
      </xdr:txBody>
    </xdr:sp>
    <xdr:clientData/>
  </xdr:twoCellAnchor>
  <xdr:twoCellAnchor editAs="oneCell">
    <xdr:from>
      <xdr:col>14</xdr:col>
      <xdr:colOff>107674</xdr:colOff>
      <xdr:row>19</xdr:row>
      <xdr:rowOff>927650</xdr:rowOff>
    </xdr:from>
    <xdr:to>
      <xdr:col>14</xdr:col>
      <xdr:colOff>1666074</xdr:colOff>
      <xdr:row>20</xdr:row>
      <xdr:rowOff>1171078</xdr:rowOff>
    </xdr:to>
    <xdr:pic>
      <xdr:nvPicPr>
        <xdr:cNvPr id="23" name="Picture 2" descr="A wall with papers on it&#10;&#10;AI-generated content may be incorrect.">
          <a:extLst>
            <a:ext uri="{FF2B5EF4-FFF2-40B4-BE49-F238E27FC236}">
              <a16:creationId xmlns:a16="http://schemas.microsoft.com/office/drawing/2014/main" id="{DF81980D-98CE-2436-6B13-2F803FCA26E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16813696" y="22205672"/>
          <a:ext cx="1557130" cy="1176129"/>
        </a:xfrm>
        <a:prstGeom prst="roundRect">
          <a:avLst>
            <a:gd name="adj" fmla="val 8594"/>
          </a:avLst>
        </a:prstGeom>
        <a:solidFill>
          <a:srgbClr val="FFFFFF">
            <a:shade val="85000"/>
          </a:srgbClr>
        </a:solidFill>
        <a:ln>
          <a:noFill/>
        </a:ln>
        <a:effectLst/>
      </xdr:spPr>
    </xdr:pic>
    <xdr:clientData/>
  </xdr:twoCellAnchor>
  <xdr:twoCellAnchor editAs="oneCell">
    <xdr:from>
      <xdr:col>15</xdr:col>
      <xdr:colOff>143812</xdr:colOff>
      <xdr:row>19</xdr:row>
      <xdr:rowOff>911086</xdr:rowOff>
    </xdr:from>
    <xdr:to>
      <xdr:col>15</xdr:col>
      <xdr:colOff>1474968</xdr:colOff>
      <xdr:row>20</xdr:row>
      <xdr:rowOff>1208601</xdr:rowOff>
    </xdr:to>
    <xdr:pic>
      <xdr:nvPicPr>
        <xdr:cNvPr id="28" name="Picture 3">
          <a:extLst>
            <a:ext uri="{FF2B5EF4-FFF2-40B4-BE49-F238E27FC236}">
              <a16:creationId xmlns:a16="http://schemas.microsoft.com/office/drawing/2014/main" id="{23C5E9FA-4860-927C-7953-F800ABB10911}"/>
            </a:ext>
          </a:extLst>
        </xdr:cNvPr>
        <xdr:cNvPicPr>
          <a:picLocks noChangeAspect="1"/>
        </xdr:cNvPicPr>
      </xdr:nvPicPr>
      <xdr:blipFill>
        <a:blip xmlns:r="http://schemas.openxmlformats.org/officeDocument/2006/relationships" r:embed="rId3"/>
        <a:stretch>
          <a:fillRect/>
        </a:stretch>
      </xdr:blipFill>
      <xdr:spPr>
        <a:xfrm>
          <a:off x="20262269" y="22189108"/>
          <a:ext cx="1320361" cy="1209261"/>
        </a:xfrm>
        <a:prstGeom prst="rect">
          <a:avLst/>
        </a:prstGeom>
      </xdr:spPr>
    </xdr:pic>
    <xdr:clientData/>
  </xdr:twoCellAnchor>
  <xdr:twoCellAnchor editAs="oneCell">
    <xdr:from>
      <xdr:col>14</xdr:col>
      <xdr:colOff>1830456</xdr:colOff>
      <xdr:row>19</xdr:row>
      <xdr:rowOff>803413</xdr:rowOff>
    </xdr:from>
    <xdr:to>
      <xdr:col>14</xdr:col>
      <xdr:colOff>3400976</xdr:colOff>
      <xdr:row>20</xdr:row>
      <xdr:rowOff>1399687</xdr:rowOff>
    </xdr:to>
    <xdr:pic>
      <xdr:nvPicPr>
        <xdr:cNvPr id="30" name="Picture 4">
          <a:extLst>
            <a:ext uri="{FF2B5EF4-FFF2-40B4-BE49-F238E27FC236}">
              <a16:creationId xmlns:a16="http://schemas.microsoft.com/office/drawing/2014/main" id="{B4E9B543-CE3D-18D8-531A-4819D3309004}"/>
            </a:ext>
          </a:extLst>
        </xdr:cNvPr>
        <xdr:cNvPicPr>
          <a:picLocks noChangeAspect="1"/>
        </xdr:cNvPicPr>
      </xdr:nvPicPr>
      <xdr:blipFill rotWithShape="1">
        <a:blip xmlns:r="http://schemas.openxmlformats.org/officeDocument/2006/relationships" r:embed="rId4"/>
        <a:srcRect b="12730"/>
        <a:stretch/>
      </xdr:blipFill>
      <xdr:spPr>
        <a:xfrm>
          <a:off x="18536478" y="22081435"/>
          <a:ext cx="1573695" cy="1401340"/>
        </a:xfrm>
        <a:prstGeom prst="rect">
          <a:avLst/>
        </a:prstGeom>
      </xdr:spPr>
    </xdr:pic>
    <xdr:clientData/>
  </xdr:twoCellAnchor>
  <xdr:oneCellAnchor>
    <xdr:from>
      <xdr:col>14</xdr:col>
      <xdr:colOff>262758</xdr:colOff>
      <xdr:row>19</xdr:row>
      <xdr:rowOff>2089788</xdr:rowOff>
    </xdr:from>
    <xdr:ext cx="1086964" cy="264560"/>
    <xdr:sp macro="" textlink="">
      <xdr:nvSpPr>
        <xdr:cNvPr id="34" name="TextBox 5">
          <a:extLst>
            <a:ext uri="{FF2B5EF4-FFF2-40B4-BE49-F238E27FC236}">
              <a16:creationId xmlns:a16="http://schemas.microsoft.com/office/drawing/2014/main" id="{5B714F5A-C85C-3BBB-5DE1-5A22F3107D98}"/>
            </a:ext>
          </a:extLst>
        </xdr:cNvPr>
        <xdr:cNvSpPr txBox="1"/>
      </xdr:nvSpPr>
      <xdr:spPr>
        <a:xfrm>
          <a:off x="16968780" y="23367810"/>
          <a:ext cx="108696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Original working</a:t>
          </a:r>
        </a:p>
      </xdr:txBody>
    </xdr:sp>
    <xdr:clientData/>
  </xdr:oneCellAnchor>
  <xdr:oneCellAnchor>
    <xdr:from>
      <xdr:col>14</xdr:col>
      <xdr:colOff>1806851</xdr:colOff>
      <xdr:row>19</xdr:row>
      <xdr:rowOff>2098070</xdr:rowOff>
    </xdr:from>
    <xdr:ext cx="1440715" cy="264560"/>
    <xdr:sp macro="" textlink="">
      <xdr:nvSpPr>
        <xdr:cNvPr id="32" name="TextBox 6">
          <a:extLst>
            <a:ext uri="{FF2B5EF4-FFF2-40B4-BE49-F238E27FC236}">
              <a16:creationId xmlns:a16="http://schemas.microsoft.com/office/drawing/2014/main" id="{82B0D128-8341-49AA-2AC2-0068F66C4B17}"/>
            </a:ext>
          </a:extLst>
        </xdr:cNvPr>
        <xdr:cNvSpPr txBox="1"/>
      </xdr:nvSpPr>
      <xdr:spPr>
        <a:xfrm>
          <a:off x="18512873" y="23376092"/>
          <a:ext cx="14407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1st Version dashboard</a:t>
          </a:r>
        </a:p>
      </xdr:txBody>
    </xdr:sp>
    <xdr:clientData/>
  </xdr:oneCellAnchor>
  <xdr:oneCellAnchor>
    <xdr:from>
      <xdr:col>15</xdr:col>
      <xdr:colOff>65689</xdr:colOff>
      <xdr:row>19</xdr:row>
      <xdr:rowOff>2122918</xdr:rowOff>
    </xdr:from>
    <xdr:ext cx="1506823" cy="264560"/>
    <xdr:sp macro="" textlink="">
      <xdr:nvSpPr>
        <xdr:cNvPr id="31" name="TextBox 7">
          <a:extLst>
            <a:ext uri="{FF2B5EF4-FFF2-40B4-BE49-F238E27FC236}">
              <a16:creationId xmlns:a16="http://schemas.microsoft.com/office/drawing/2014/main" id="{651DE3D4-3E1A-3FAE-F3C5-AA044B9AC883}"/>
            </a:ext>
          </a:extLst>
        </xdr:cNvPr>
        <xdr:cNvSpPr txBox="1"/>
      </xdr:nvSpPr>
      <xdr:spPr>
        <a:xfrm>
          <a:off x="20184146" y="23400940"/>
          <a:ext cx="15068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2nd Version dashboard</a:t>
          </a:r>
        </a:p>
      </xdr:txBody>
    </xdr:sp>
    <xdr:clientData/>
  </xdr:oneCellAnchor>
  <xdr:twoCellAnchor>
    <xdr:from>
      <xdr:col>15</xdr:col>
      <xdr:colOff>1433748</xdr:colOff>
      <xdr:row>19</xdr:row>
      <xdr:rowOff>1289515</xdr:rowOff>
    </xdr:from>
    <xdr:to>
      <xdr:col>16</xdr:col>
      <xdr:colOff>225058</xdr:colOff>
      <xdr:row>19</xdr:row>
      <xdr:rowOff>1804464</xdr:rowOff>
    </xdr:to>
    <xdr:sp macro="" textlink="">
      <xdr:nvSpPr>
        <xdr:cNvPr id="27" name="TextBox 1066">
          <a:extLst>
            <a:ext uri="{FF2B5EF4-FFF2-40B4-BE49-F238E27FC236}">
              <a16:creationId xmlns:a16="http://schemas.microsoft.com/office/drawing/2014/main" id="{078E2DD6-243F-9295-E474-08ECE23FC2BF}"/>
            </a:ext>
          </a:extLst>
        </xdr:cNvPr>
        <xdr:cNvSpPr txBox="1"/>
      </xdr:nvSpPr>
      <xdr:spPr>
        <a:xfrm>
          <a:off x="21552205" y="22567537"/>
          <a:ext cx="1226396" cy="51494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900" b="0">
              <a:solidFill>
                <a:schemeClr val="bg1"/>
              </a:solidFill>
              <a:effectLst>
                <a:glow rad="114300">
                  <a:srgbClr val="0000FF"/>
                </a:glow>
              </a:effectLst>
              <a:latin typeface="Aptos" panose="02110004020202020204"/>
            </a:rPr>
            <a:t>PD require trial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900" b="0">
              <a:solidFill>
                <a:schemeClr val="bg1"/>
              </a:solidFill>
              <a:effectLst>
                <a:glow rad="114300">
                  <a:srgbClr val="0000FF"/>
                </a:glow>
              </a:effectLst>
              <a:latin typeface="Aptos" panose="02110004020202020204"/>
            </a:rPr>
            <a:t>Dashboard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900" b="0">
              <a:solidFill>
                <a:schemeClr val="bg1"/>
              </a:solidFill>
              <a:effectLst>
                <a:glow rad="114300">
                  <a:srgbClr val="0000FF"/>
                </a:glow>
              </a:effectLst>
              <a:latin typeface="Aptos" panose="02110004020202020204"/>
            </a:rPr>
            <a:t>compare 2 Week</a:t>
          </a:r>
          <a:endParaRPr kumimoji="1" lang="en-US" sz="900" b="0" i="0" strike="noStrike" kern="1200" cap="none" spc="0" normalizeH="0" baseline="0">
            <a:ln>
              <a:noFill/>
            </a:ln>
            <a:solidFill>
              <a:schemeClr val="bg1"/>
            </a:solidFill>
            <a:effectLst>
              <a:glow rad="114300">
                <a:srgbClr val="0000FF"/>
              </a:glow>
            </a:effectLst>
            <a:uLnTx/>
            <a:uFillTx/>
            <a:latin typeface="Aptos" panose="02110004020202020204"/>
            <a:ea typeface="+mn-ea"/>
            <a:cs typeface="+mn-cs"/>
          </a:endParaRPr>
        </a:p>
      </xdr:txBody>
    </xdr:sp>
    <xdr:clientData/>
  </xdr:twoCellAnchor>
  <xdr:twoCellAnchor editAs="oneCell">
    <xdr:from>
      <xdr:col>14</xdr:col>
      <xdr:colOff>476508</xdr:colOff>
      <xdr:row>23</xdr:row>
      <xdr:rowOff>3204141</xdr:rowOff>
    </xdr:from>
    <xdr:to>
      <xdr:col>14</xdr:col>
      <xdr:colOff>2199002</xdr:colOff>
      <xdr:row>23</xdr:row>
      <xdr:rowOff>4116012</xdr:rowOff>
    </xdr:to>
    <xdr:pic>
      <xdr:nvPicPr>
        <xdr:cNvPr id="29" name="Picture 3">
          <a:extLst>
            <a:ext uri="{FF2B5EF4-FFF2-40B4-BE49-F238E27FC236}">
              <a16:creationId xmlns:a16="http://schemas.microsoft.com/office/drawing/2014/main" id="{552E4335-41C5-E782-A5D5-8704FBADD3BD}"/>
            </a:ext>
          </a:extLst>
        </xdr:cNvPr>
        <xdr:cNvPicPr>
          <a:picLocks noChangeAspect="1"/>
        </xdr:cNvPicPr>
      </xdr:nvPicPr>
      <xdr:blipFill>
        <a:blip xmlns:r="http://schemas.openxmlformats.org/officeDocument/2006/relationships" r:embed="rId5"/>
        <a:stretch>
          <a:fillRect/>
        </a:stretch>
      </xdr:blipFill>
      <xdr:spPr>
        <a:xfrm>
          <a:off x="19503417" y="30809323"/>
          <a:ext cx="1721224" cy="911871"/>
        </a:xfrm>
        <a:prstGeom prst="rect">
          <a:avLst/>
        </a:prstGeom>
      </xdr:spPr>
    </xdr:pic>
    <xdr:clientData/>
  </xdr:twoCellAnchor>
  <xdr:twoCellAnchor editAs="oneCell">
    <xdr:from>
      <xdr:col>14</xdr:col>
      <xdr:colOff>382107</xdr:colOff>
      <xdr:row>23</xdr:row>
      <xdr:rowOff>1317594</xdr:rowOff>
    </xdr:from>
    <xdr:to>
      <xdr:col>14</xdr:col>
      <xdr:colOff>2961614</xdr:colOff>
      <xdr:row>23</xdr:row>
      <xdr:rowOff>2809159</xdr:rowOff>
    </xdr:to>
    <xdr:pic>
      <xdr:nvPicPr>
        <xdr:cNvPr id="26" name="Picture 4">
          <a:extLst>
            <a:ext uri="{FF2B5EF4-FFF2-40B4-BE49-F238E27FC236}">
              <a16:creationId xmlns:a16="http://schemas.microsoft.com/office/drawing/2014/main" id="{37D93D3D-9EC1-1BE9-C35F-5449113E12D8}"/>
            </a:ext>
          </a:extLst>
        </xdr:cNvPr>
        <xdr:cNvPicPr>
          <a:picLocks noChangeAspect="1"/>
        </xdr:cNvPicPr>
      </xdr:nvPicPr>
      <xdr:blipFill>
        <a:blip xmlns:r="http://schemas.openxmlformats.org/officeDocument/2006/relationships" r:embed="rId6"/>
        <a:stretch>
          <a:fillRect/>
        </a:stretch>
      </xdr:blipFill>
      <xdr:spPr>
        <a:xfrm>
          <a:off x="19409016" y="28922776"/>
          <a:ext cx="2570617" cy="1482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841736</xdr:colOff>
      <xdr:row>0</xdr:row>
      <xdr:rowOff>114119</xdr:rowOff>
    </xdr:from>
    <xdr:to>
      <xdr:col>1</xdr:col>
      <xdr:colOff>1734547</xdr:colOff>
      <xdr:row>0</xdr:row>
      <xdr:rowOff>685619</xdr:rowOff>
    </xdr:to>
    <xdr:sp macro="" textlink="">
      <xdr:nvSpPr>
        <xdr:cNvPr id="16" name="Arrow: Striped Right 1">
          <a:hlinkClick xmlns:r="http://schemas.openxmlformats.org/officeDocument/2006/relationships" r:id="rId1"/>
          <a:extLst>
            <a:ext uri="{FF2B5EF4-FFF2-40B4-BE49-F238E27FC236}">
              <a16:creationId xmlns:a16="http://schemas.microsoft.com/office/drawing/2014/main" id="{803A58DF-D0A5-4845-B6DC-9DC88F5C081B}"/>
            </a:ext>
          </a:extLst>
        </xdr:cNvPr>
        <xdr:cNvSpPr/>
      </xdr:nvSpPr>
      <xdr:spPr>
        <a:xfrm flipH="1">
          <a:off x="1848665" y="114119"/>
          <a:ext cx="892811" cy="571500"/>
        </a:xfrm>
        <a:prstGeom prst="stripedRightArrow">
          <a:avLst>
            <a:gd name="adj1" fmla="val 57692"/>
            <a:gd name="adj2" fmla="val 50000"/>
          </a:avLst>
        </a:prstGeom>
        <a:solidFill>
          <a:schemeClr val="accent6">
            <a:lumMod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200" b="1"/>
            <a:t>Back</a:t>
          </a:r>
          <a:endParaRPr lang="th-TH" sz="1000" b="1"/>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15668</xdr:colOff>
      <xdr:row>0</xdr:row>
      <xdr:rowOff>0</xdr:rowOff>
    </xdr:from>
    <xdr:to>
      <xdr:col>1</xdr:col>
      <xdr:colOff>908479</xdr:colOff>
      <xdr:row>0</xdr:row>
      <xdr:rowOff>546191</xdr:rowOff>
    </xdr:to>
    <xdr:sp macro="" textlink="">
      <xdr:nvSpPr>
        <xdr:cNvPr id="3" name="Arrow: Striped Right 1">
          <a:hlinkClick xmlns:r="http://schemas.openxmlformats.org/officeDocument/2006/relationships" r:id="rId1"/>
          <a:extLst>
            <a:ext uri="{FF2B5EF4-FFF2-40B4-BE49-F238E27FC236}">
              <a16:creationId xmlns:a16="http://schemas.microsoft.com/office/drawing/2014/main" id="{CC5F9E00-3F34-4458-9D20-00C53C626FA4}"/>
            </a:ext>
          </a:extLst>
        </xdr:cNvPr>
        <xdr:cNvSpPr/>
      </xdr:nvSpPr>
      <xdr:spPr>
        <a:xfrm flipH="1">
          <a:off x="1401123" y="0"/>
          <a:ext cx="892811" cy="546191"/>
        </a:xfrm>
        <a:prstGeom prst="stripedRightArrow">
          <a:avLst>
            <a:gd name="adj1" fmla="val 57692"/>
            <a:gd name="adj2" fmla="val 50000"/>
          </a:avLst>
        </a:prstGeom>
        <a:solidFill>
          <a:schemeClr val="accent6">
            <a:lumMod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t>Back</a:t>
          </a:r>
          <a:endParaRPr lang="th-TH" sz="1100" b="1"/>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1170214</xdr:colOff>
      <xdr:row>0</xdr:row>
      <xdr:rowOff>0</xdr:rowOff>
    </xdr:from>
    <xdr:to>
      <xdr:col>1</xdr:col>
      <xdr:colOff>2059215</xdr:colOff>
      <xdr:row>0</xdr:row>
      <xdr:rowOff>544286</xdr:rowOff>
    </xdr:to>
    <xdr:sp macro="" textlink="">
      <xdr:nvSpPr>
        <xdr:cNvPr id="2" name="Arrow: Striped Right 1">
          <a:hlinkClick xmlns:r="http://schemas.openxmlformats.org/officeDocument/2006/relationships" r:id="rId1"/>
          <a:extLst>
            <a:ext uri="{FF2B5EF4-FFF2-40B4-BE49-F238E27FC236}">
              <a16:creationId xmlns:a16="http://schemas.microsoft.com/office/drawing/2014/main" id="{2D63A3EA-F2DF-4F05-9C32-54C42158BA54}"/>
            </a:ext>
          </a:extLst>
        </xdr:cNvPr>
        <xdr:cNvSpPr/>
      </xdr:nvSpPr>
      <xdr:spPr>
        <a:xfrm flipH="1">
          <a:off x="2603500" y="0"/>
          <a:ext cx="889001" cy="544286"/>
        </a:xfrm>
        <a:prstGeom prst="stripedRightArrow">
          <a:avLst>
            <a:gd name="adj1" fmla="val 57692"/>
            <a:gd name="adj2" fmla="val 50000"/>
          </a:avLst>
        </a:prstGeom>
        <a:solidFill>
          <a:schemeClr val="accent6">
            <a:lumMod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t>Back</a:t>
          </a:r>
          <a:endParaRPr lang="th-TH" sz="1100" b="1"/>
        </a:p>
      </xdr:txBody>
    </xdr:sp>
    <xdr:clientData/>
  </xdr:twoCellAnchor>
  <xdr:twoCellAnchor>
    <xdr:from>
      <xdr:col>42</xdr:col>
      <xdr:colOff>172592</xdr:colOff>
      <xdr:row>0</xdr:row>
      <xdr:rowOff>597848</xdr:rowOff>
    </xdr:from>
    <xdr:to>
      <xdr:col>44</xdr:col>
      <xdr:colOff>1498600</xdr:colOff>
      <xdr:row>2</xdr:row>
      <xdr:rowOff>66675</xdr:rowOff>
    </xdr:to>
    <xdr:sp macro="" textlink="">
      <xdr:nvSpPr>
        <xdr:cNvPr id="4" name="Speech Bubble: Rectangle 2">
          <a:extLst>
            <a:ext uri="{FF2B5EF4-FFF2-40B4-BE49-F238E27FC236}">
              <a16:creationId xmlns:a16="http://schemas.microsoft.com/office/drawing/2014/main" id="{49D7D090-B31D-FC9A-D4DB-B4F7ADE77F4D}"/>
            </a:ext>
            <a:ext uri="{147F2762-F138-4A5C-976F-8EAC2B608ADB}">
              <a16:predDERef xmlns:a16="http://schemas.microsoft.com/office/drawing/2014/main" pred="{2D63A3EA-F2DF-4F05-9C32-54C42158BA54}"/>
            </a:ext>
          </a:extLst>
        </xdr:cNvPr>
        <xdr:cNvSpPr/>
      </xdr:nvSpPr>
      <xdr:spPr>
        <a:xfrm>
          <a:off x="33176717" y="597848"/>
          <a:ext cx="2564258" cy="564202"/>
        </a:xfrm>
        <a:prstGeom prst="wedgeRectCallout">
          <a:avLst>
            <a:gd name="adj1" fmla="val -63031"/>
            <a:gd name="adj2" fmla="val -8169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Move</a:t>
          </a:r>
          <a:r>
            <a:rPr lang="en-US" sz="1100" baseline="0"/>
            <a:t> to by product --&gt; Start record NG scrap waste by product since May.25</a:t>
          </a:r>
          <a:endParaRPr lang="th-TH"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1170214</xdr:colOff>
      <xdr:row>0</xdr:row>
      <xdr:rowOff>0</xdr:rowOff>
    </xdr:from>
    <xdr:to>
      <xdr:col>1</xdr:col>
      <xdr:colOff>2059215</xdr:colOff>
      <xdr:row>0</xdr:row>
      <xdr:rowOff>544286</xdr:rowOff>
    </xdr:to>
    <xdr:sp macro="" textlink="">
      <xdr:nvSpPr>
        <xdr:cNvPr id="2" name="Arrow: Striped Right 1">
          <a:hlinkClick xmlns:r="http://schemas.openxmlformats.org/officeDocument/2006/relationships" r:id="rId1"/>
          <a:extLst>
            <a:ext uri="{FF2B5EF4-FFF2-40B4-BE49-F238E27FC236}">
              <a16:creationId xmlns:a16="http://schemas.microsoft.com/office/drawing/2014/main" id="{EEA41C0E-116A-4414-9D37-C455A158CE0F}"/>
            </a:ext>
          </a:extLst>
        </xdr:cNvPr>
        <xdr:cNvSpPr/>
      </xdr:nvSpPr>
      <xdr:spPr>
        <a:xfrm flipH="1">
          <a:off x="2605314" y="0"/>
          <a:ext cx="889001" cy="544286"/>
        </a:xfrm>
        <a:prstGeom prst="stripedRightArrow">
          <a:avLst>
            <a:gd name="adj1" fmla="val 57692"/>
            <a:gd name="adj2" fmla="val 50000"/>
          </a:avLst>
        </a:prstGeom>
        <a:solidFill>
          <a:schemeClr val="accent6">
            <a:lumMod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t>Back</a:t>
          </a:r>
          <a:endParaRPr lang="th-TH" sz="1100" b="1"/>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948871</xdr:colOff>
      <xdr:row>0</xdr:row>
      <xdr:rowOff>63500</xdr:rowOff>
    </xdr:from>
    <xdr:to>
      <xdr:col>1</xdr:col>
      <xdr:colOff>1822632</xdr:colOff>
      <xdr:row>0</xdr:row>
      <xdr:rowOff>607786</xdr:rowOff>
    </xdr:to>
    <xdr:sp macro="" textlink="">
      <xdr:nvSpPr>
        <xdr:cNvPr id="4" name="Arrow: Striped Right 2">
          <a:hlinkClick xmlns:r="http://schemas.openxmlformats.org/officeDocument/2006/relationships" r:id="rId1"/>
          <a:extLst>
            <a:ext uri="{FF2B5EF4-FFF2-40B4-BE49-F238E27FC236}">
              <a16:creationId xmlns:a16="http://schemas.microsoft.com/office/drawing/2014/main" id="{3DFFA226-9D56-4620-9E28-F98A2DBF64DE}"/>
            </a:ext>
          </a:extLst>
        </xdr:cNvPr>
        <xdr:cNvSpPr/>
      </xdr:nvSpPr>
      <xdr:spPr>
        <a:xfrm flipH="1">
          <a:off x="1774371" y="63500"/>
          <a:ext cx="873761" cy="544286"/>
        </a:xfrm>
        <a:prstGeom prst="stripedRightArrow">
          <a:avLst>
            <a:gd name="adj1" fmla="val 57692"/>
            <a:gd name="adj2" fmla="val 50000"/>
          </a:avLst>
        </a:prstGeom>
        <a:solidFill>
          <a:schemeClr val="accent6">
            <a:lumMod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t>Back</a:t>
          </a:r>
          <a:endParaRPr lang="th-TH" sz="1100" b="1"/>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globaldenso.sharepoint.com/sites/AP000076/SDMSKDMeeting/Company%20KPI/0.%20SKD_FY25%20Company%20KPI%20Monthly%20report.xlsx" TargetMode="External"/><Relationship Id="rId1" Type="http://schemas.openxmlformats.org/officeDocument/2006/relationships/externalLinkPath" Target="https://globaldenso.sharepoint.com/sites/AP_000045/EF-ATTRACTIVE/Shared%20Documents/KPI%20Center%20Test/0.%20SKD_FY25%20Company%20KPI%20Monthly%20repor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xts06\User_Data\SDM4\PMS\1.Production%20FY2025\3.Meeting%20Report\PAM\Data%20PAM%20submit%20to%20BP\SDM%20Labor%20cost-New.xlsx" TargetMode="External"/><Relationship Id="rId1" Type="http://schemas.openxmlformats.org/officeDocument/2006/relationships/externalLinkPath" Target="file:///\\xts06\User_Data\SDM4\PMS\1.Production%20FY2025\3.Meeting%20Report\PAM\Data%20PAM%20submit%20to%20BP\SDM%20Labor%20cost-New.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xts06\User_Data\SDM\ACC\BUSINESS%20PLANNING\MONTHLY%20REPORT\FY2025\25%203rd%20OCT-DEC\7.%20Oct'25\2%20SDM%20Profit%20Analysis%20Oct'25.xlsx" TargetMode="External"/><Relationship Id="rId1" Type="http://schemas.openxmlformats.org/officeDocument/2006/relationships/externalLinkPath" Target="file:///\\xts06\User_Data\SDM\ACC\BUSINESS%20PLANNING\MONTHLY%20REPORT\FY2025\25%203rd%20OCT-DEC\7.%20Oct'25\2%20SDM%20Profit%20Analysis%20Oct'2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xts06\User_Data\SDM\ACC\BUSINESS%20PLANNING\MONTHLY%20REPORT\FY2025\25%203rd%20OCT-DEC\9.%20Dec'25\2%20SDM%20Profit%20Analysis%20Dec'2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xts06\User_Data\SDM\ACC\BUSINESS%20PLANNING\MONTHLY%20REPORT\FY2025\25%204th%20JAN-MAR\10.%20Jan'26\2%20SDM%20Profit%20Analysis%20Jan'2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xts06\User_Data\SDM\ACC\BUSINESS%20PLANNING\MONTHLY%20REPORT\FY2025\25%204th%20JAN-MAR\11.%20Feb'26\2%20SDM%20Profit%20Analysis%20Feb'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nu"/>
      <sheetName val="Quality"/>
      <sheetName val="Compliance"/>
      <sheetName val="Cost"/>
      <sheetName val="Sheet1"/>
    </sheetNames>
    <sheetDataSet>
      <sheetData sheetId="0"/>
      <sheetData sheetId="1"/>
      <sheetData sheetId="2">
        <row r="339">
          <cell r="N339">
            <v>3.548</v>
          </cell>
        </row>
      </sheetData>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orking hour"/>
      <sheetName val="Labor"/>
      <sheetName val="Headcount"/>
      <sheetName val="Overtime"/>
      <sheetName val="Exclusion time"/>
      <sheetName val="DIR OPT Ratio_Act"/>
      <sheetName val="DIR OPT Ratio_PAM"/>
    </sheetNames>
    <sheetDataSet>
      <sheetData sheetId="0"/>
      <sheetData sheetId="1">
        <row r="158">
          <cell r="G158">
            <v>68169434.146549508</v>
          </cell>
          <cell r="M158">
            <v>64890382.813125096</v>
          </cell>
          <cell r="R158">
            <v>82015342.88254261</v>
          </cell>
          <cell r="X158">
            <v>87072982.887455598</v>
          </cell>
          <cell r="AN158">
            <v>76930473.732301652</v>
          </cell>
          <cell r="AT158">
            <v>79172603.46263063</v>
          </cell>
          <cell r="AY158">
            <v>77494846.762487203</v>
          </cell>
          <cell r="BE158">
            <v>78433837.704217225</v>
          </cell>
          <cell r="BJ158">
            <v>79230781.532760248</v>
          </cell>
          <cell r="BP158">
            <v>81589801.008795828</v>
          </cell>
          <cell r="BU158">
            <v>74439049.657079682</v>
          </cell>
          <cell r="CA158">
            <v>75174545.208400026</v>
          </cell>
        </row>
      </sheetData>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forecast 2H"/>
      <sheetName val="NOTE"/>
      <sheetName val="SUMMARY"/>
      <sheetName val="DIR OPT Ratio "/>
      <sheetName val="SDM"/>
      <sheetName val="AA"/>
      <sheetName val="GEN3"/>
      <sheetName val="HP3"/>
      <sheetName val="G2&amp;G3"/>
      <sheetName val="RC-2"/>
      <sheetName val="GEN4"/>
      <sheetName val="HP5"/>
      <sheetName val="HP5E"/>
      <sheetName val="G4"/>
      <sheetName val="RC-4"/>
      <sheetName val="AD"/>
      <sheetName val="UC"/>
      <sheetName val="GDP"/>
      <sheetName val="FZ"/>
      <sheetName val="MISC"/>
      <sheetName val="BALANCE"/>
    </sheetNames>
    <sheetDataSet>
      <sheetData sheetId="0"/>
      <sheetData sheetId="1"/>
      <sheetData sheetId="2"/>
      <sheetData sheetId="3"/>
      <sheetData sheetId="4">
        <row r="10">
          <cell r="AD10">
            <v>2709437.5260482058</v>
          </cell>
          <cell r="AE10">
            <v>2707196.7769599995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forecast 2H"/>
      <sheetName val="NOTE"/>
      <sheetName val="SUMMARY"/>
      <sheetName val="DIR OPT Ratio "/>
      <sheetName val="SDM"/>
      <sheetName val="AA"/>
      <sheetName val="GEN3"/>
      <sheetName val="HP3"/>
      <sheetName val="G2&amp;G3"/>
      <sheetName val="RC-2"/>
      <sheetName val="GEN4"/>
      <sheetName val="HP5"/>
      <sheetName val="HP5E"/>
      <sheetName val="G4"/>
      <sheetName val="RC-4"/>
      <sheetName val="AD"/>
      <sheetName val="UC"/>
      <sheetName val="GDP"/>
      <sheetName val="FZ"/>
      <sheetName val="MISC"/>
      <sheetName val="BALANCE"/>
    </sheetNames>
    <sheetDataSet>
      <sheetData sheetId="0"/>
      <sheetData sheetId="1"/>
      <sheetData sheetId="2"/>
      <sheetData sheetId="3"/>
      <sheetData sheetId="4">
        <row r="10">
          <cell r="AJ10">
            <v>2527466.2605848666</v>
          </cell>
          <cell r="AK10">
            <v>2839202.5971899992</v>
          </cell>
        </row>
        <row r="29">
          <cell r="AJ29">
            <v>301544.67241548141</v>
          </cell>
          <cell r="AK29">
            <v>457727.64834999898</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forecast 2H"/>
      <sheetName val="NOTE"/>
      <sheetName val="SUMMARY"/>
      <sheetName val="DIR OPT Ratio "/>
      <sheetName val="SDM"/>
      <sheetName val="AA"/>
      <sheetName val="GEN3"/>
      <sheetName val="HP3"/>
      <sheetName val="G2&amp;G3"/>
      <sheetName val="RC-2"/>
      <sheetName val="GEN4"/>
      <sheetName val="HP5"/>
      <sheetName val="HP5E"/>
      <sheetName val="G4"/>
      <sheetName val="RC-4"/>
      <sheetName val="AD"/>
      <sheetName val="UC"/>
      <sheetName val="GDP"/>
      <sheetName val="FZ"/>
      <sheetName val="MISC"/>
      <sheetName val="BALANCE"/>
    </sheetNames>
    <sheetDataSet>
      <sheetData sheetId="0"/>
      <sheetData sheetId="1"/>
      <sheetData sheetId="2"/>
      <sheetData sheetId="3"/>
      <sheetData sheetId="4">
        <row r="10">
          <cell r="AM10">
            <v>2526070.3324255357</v>
          </cell>
          <cell r="AN10">
            <v>2959192.6079699984</v>
          </cell>
        </row>
        <row r="29">
          <cell r="AM29">
            <v>303205.51791559096</v>
          </cell>
          <cell r="AN29">
            <v>578643.45220999769</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forecast 2H"/>
      <sheetName val="NOTE"/>
      <sheetName val="SUMMARY"/>
      <sheetName val="DIR OPT Ratio "/>
      <sheetName val="SDM"/>
      <sheetName val="AA"/>
      <sheetName val="GEN3"/>
      <sheetName val="HP3"/>
      <sheetName val="G2&amp;G3"/>
      <sheetName val="RC-2"/>
      <sheetName val="GEN4"/>
      <sheetName val="HP5"/>
      <sheetName val="HP5E"/>
      <sheetName val="G4"/>
      <sheetName val="RC-4"/>
      <sheetName val="AD"/>
      <sheetName val="UC"/>
      <sheetName val="GDP"/>
      <sheetName val="FZ"/>
      <sheetName val="MISC"/>
      <sheetName val="BALANCE"/>
    </sheetNames>
    <sheetDataSet>
      <sheetData sheetId="0"/>
      <sheetData sheetId="1"/>
      <sheetData sheetId="2"/>
      <sheetData sheetId="3"/>
      <sheetData sheetId="4">
        <row r="10">
          <cell r="AP10">
            <v>2478998.6339554028</v>
          </cell>
          <cell r="AQ10">
            <v>2682994.6330600008</v>
          </cell>
        </row>
        <row r="29">
          <cell r="AP29">
            <v>279085.1466909172</v>
          </cell>
          <cell r="AQ29">
            <v>350753.64641000144</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573F903-4A3F-48DC-B745-58258497AEB8}">
    <nsvFilter filterId="{C175ED8F-DA9F-46F6-9A5B-2EC514B6EAF7}" ref="A1:N133" tableId="0"/>
  </namedSheetView>
</namedSheetViews>
</file>

<file path=xl/persons/person.xml><?xml version="1.0" encoding="utf-8"?>
<personList xmlns="http://schemas.microsoft.com/office/spreadsheetml/2018/threadedcomments" xmlns:x="http://schemas.openxmlformats.org/spreadsheetml/2006/main">
  <person displayName="Nattha Pokasombut (SDM)" id="{475276F0-A97E-42A8-BDA0-A4F4264AC003}" userId="S::nattha.pokasombut.a6s@ap.denso.com::e55db14a-1097-45ec-aaeb-65b2a0ff5594" providerId="AD"/>
  <person displayName="Sirirath Muangnongwa (SDM)" id="{EFF6A5B9-D8EB-429D-8CE1-6DA91DFF2A3B}" userId="S::sirirath.muangnongwa.a2k@ap.denso.com::94f5f78f-a13e-4c84-a8ea-a1e19c6eb89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657CED-6690-485F-B5BC-8904D15AE758}" name="Table2" displayName="Table2" ref="B3:D11" totalsRowShown="0" headerRowDxfId="110" dataDxfId="108" headerRowBorderDxfId="109" tableBorderDxfId="107" totalsRowBorderDxfId="106">
  <autoFilter ref="B3:D11" xr:uid="{4D657CED-6690-485F-B5BC-8904D15AE758}"/>
  <tableColumns count="3">
    <tableColumn id="1" xr3:uid="{7BAF2E10-1B9C-4625-8E10-8097EE0941C3}" name="Category" dataDxfId="105"/>
    <tableColumn id="2" xr3:uid="{5DE8C187-7D92-4A3C-802D-B9AF92EDE24A}" name="Overall" dataDxfId="104" dataCellStyle="Hyperlink"/>
    <tableColumn id="3" xr3:uid="{2AC18FFC-8289-4B41-8DC1-7D1699A5FAB5}" name="Product/Dept" dataDxfId="103" dataCellStyle="Hyperlin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7E47A1-9D48-4366-8DA1-12F8D439BDCB}" name="Table1" displayName="Table1" ref="A1:R109" headerRowDxfId="102" dataDxfId="100" totalsRowDxfId="98" headerRowBorderDxfId="101" tableBorderDxfId="99" totalsRowBorderDxfId="97">
  <autoFilter ref="A1:R109" xr:uid="{6C7E47A1-9D48-4366-8DA1-12F8D439BDCB}">
    <filterColumn colId="3">
      <filters>
        <filter val="8-High risk audit (New)"/>
      </filters>
    </filterColumn>
  </autoFilter>
  <tableColumns count="18">
    <tableColumn id="1" xr3:uid="{8279D214-2A67-42BE-B0BA-2C966086EF51}" name="Category" totalsRowLabel="Total" dataDxfId="96" totalsRowDxfId="95"/>
    <tableColumn id="2" xr3:uid="{7F232852-DC29-4714-B524-DB5F2ACCA800}" name="Sub " dataDxfId="94" totalsRowDxfId="93"/>
    <tableColumn id="3" xr3:uid="{749E45C3-8E7F-4C33-8F5D-7EB908F14C90}" name="No" dataDxfId="92" totalsRowDxfId="91"/>
    <tableColumn id="4" xr3:uid="{30F7301B-B75C-4A69-85BE-5603AC816BE9}" name="measurment" dataDxfId="90" totalsRowDxfId="89"/>
    <tableColumn id="5" xr3:uid="{39ED4080-E22F-43C8-913D-86252BD97801}" name="Unit" dataDxfId="88" totalsRowDxfId="87"/>
    <tableColumn id="6" xr3:uid="{EF2C4C3B-27C5-4E94-9896-9884F12719DB}" name="Main" dataDxfId="86" totalsRowDxfId="85"/>
    <tableColumn id="7" xr3:uid="{04364503-C526-43E1-B225-8179338C3F9B}" name="Main relate" dataDxfId="84" totalsRowDxfId="83"/>
    <tableColumn id="8" xr3:uid="{AC7797B4-1477-49C3-9AD4-E9EF9271C8C2}" name="FY25 Target" dataDxfId="82" totalsRowDxfId="81"/>
    <tableColumn id="9" xr3:uid="{F807AFE9-F303-44AB-93C2-0F8EC8AD06D6}" name="Month" dataDxfId="80" totalsRowDxfId="79"/>
    <tableColumn id="10" xr3:uid="{6117C490-A2F8-4A6D-96C6-8943136568BA}" name="Target" dataDxfId="78" totalsRowDxfId="77">
      <calculatedColumnFormula>IF(H2=0,0,IF(H2="-","-",ROUND(H2/12,2)))</calculatedColumnFormula>
    </tableColumn>
    <tableColumn id="11" xr3:uid="{B952BF2D-6A82-48DA-B9F8-806CB5CF103B}" name="Result" dataDxfId="76" totalsRowDxfId="75"/>
    <tableColumn id="12" xr3:uid="{7616D285-3FAF-4DCA-92C9-86068F6A9190}" name="Accu. Target" dataDxfId="74" totalsRowDxfId="73">
      <calculatedColumnFormula>IF(J2=0,0,IF(J2="-","-",ROUND(J2/12,2)))</calculatedColumnFormula>
    </tableColumn>
    <tableColumn id="13" xr3:uid="{01593BA9-8775-420C-B7C9-45F54001E2CB}" name="Accu. result" dataDxfId="72" totalsRowDxfId="71">
      <calculatedColumnFormula>K2</calculatedColumnFormula>
    </tableColumn>
    <tableColumn id="14" xr3:uid="{934700FB-CB3F-42FB-A9A8-99E517E99636}" name="Forecast" totalsRowFunction="count" dataDxfId="70" totalsRowDxfId="69"/>
    <tableColumn id="15" xr3:uid="{F841B17B-B0EE-4317-9809-8F76BE45B20E}" name="Reason" dataDxfId="68" totalsRowDxfId="67"/>
    <tableColumn id="16" xr3:uid="{793DB452-42D8-4108-8037-DC3FFA54C4A9}" name="Recover activity" dataDxfId="66" totalsRowDxfId="65"/>
    <tableColumn id="17" xr3:uid="{728E39FF-14EE-422E-8C28-66E15F4424D6}" name=" Forecast  result (Total)" dataDxfId="64" totalsRowDxfId="63"/>
    <tableColumn id="18" xr3:uid="{13D8D28C-A26A-46A3-8F6E-630FF6652A3F}" name="Recovery month" dataDxfId="62" totalsRowDxfId="61"/>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O320" dT="2025-11-12T03:48:02.31" personId="{EFF6A5B9-D8EB-429D-8CE1-6DA91DFF2A3B}" id="{19E7D83B-A305-4B99-AA67-12F2AF903DBA}">
    <text>1. รายการที่ Over revised plan ที่ไม่ได้ตามเป้าหมาย 2. มีรายใหม่เกินมาเพิ่ม ให้ใส่ส่วนงาน ยอดและรายละเอียดของสิ้นทรัพย์ที่ปัญหา</text>
  </threadedComment>
</ThreadedComments>
</file>

<file path=xl/threadedComments/threadedComment2.xml><?xml version="1.0" encoding="utf-8"?>
<ThreadedComments xmlns="http://schemas.microsoft.com/office/spreadsheetml/2018/threadedcomments" xmlns:x="http://schemas.openxmlformats.org/spreadsheetml/2006/main">
  <threadedComment ref="W4" dT="2025-06-18T12:45:23.47" personId="{475276F0-A97E-42A8-BDA0-A4F4264AC003}" id="{1E76BCCB-897A-414A-9D1E-CEDAE472090B}">
    <text xml:space="preserve">Camera detection for counting part at Auto packing M/C </text>
  </threadedComment>
  <threadedComment ref="AA4" dT="2025-06-18T12:45:37.30" personId="{475276F0-A97E-42A8-BDA0-A4F4264AC003}" id="{82065D71-E73E-43E2-BD68-DDAEE5C75BE4}">
    <text xml:space="preserve">-Application 5S Shopping Mall  
-Improvement Recruitment Process by Power Apps &amp; Power Automate
</text>
  </threadedComment>
  <threadedComment ref="AF4" dT="2025-06-18T12:45:13.76" personId="{475276F0-A97E-42A8-BDA0-A4F4264AC003}" id="{9545DB7A-0DA0-4663-929D-74CAE0BEBE9B}">
    <text xml:space="preserve">Industrial Hygiene and Safety </text>
  </threadedComment>
  <threadedComment ref="AB7" dT="2025-06-18T12:46:27.04" personId="{475276F0-A97E-42A8-BDA0-A4F4264AC003}" id="{6C4ABB3C-285F-415F-B7CD-F0CE2B5C4F84}">
    <text xml:space="preserve">Low cost &amp; Flexible robot arm (OVR) </text>
  </threadedComment>
  <threadedComment ref="AD7" dT="2025-06-18T12:47:08.14" personId="{475276F0-A97E-42A8-BDA0-A4F4264AC003}" id="{1D1AE0AB-ECF9-4379-BAE6-25E8C73646BA}">
    <text xml:space="preserve">-INCREASING CAPACITY EFFICIENCY OF FG AREA
-Study and Analyze Process of Packaging Boxes for Increasing Efficiency
-Application Element Auto Packing
-Low cost &amp; Flexible robot arm (OVR)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E43EE3C-1131-4EFE-9631-8F24618E2BFB}">
  <we:reference id="db18cc72-1a17-45df-b60e-7ffb655e8af5" version="1.0.0.4" store="EXCatalog" storeType="EXCatalog"/>
  <we:alternateReferences>
    <we:reference id="WA104381701" version="1.0.0.4"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9.xml"/><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4.xml"/><Relationship Id="rId4" Type="http://schemas.microsoft.com/office/2017/10/relationships/threadedComment" Target="../threadedComments/threadedComment2.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5.xml"/><Relationship Id="rId4" Type="http://schemas.microsoft.com/office/2019/04/relationships/namedSheetView" Target="../namedSheetViews/namedSheetView1.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72165-DD4E-4587-8632-8A3950A7D373}">
  <sheetPr codeName="Sheet1"/>
  <dimension ref="B1:D11"/>
  <sheetViews>
    <sheetView showGridLines="0" tabSelected="1" zoomScaleNormal="100" workbookViewId="0">
      <selection activeCell="H7" sqref="H7"/>
    </sheetView>
  </sheetViews>
  <sheetFormatPr defaultColWidth="8.109375" defaultRowHeight="27.6" customHeight="1"/>
  <cols>
    <col min="1" max="1" width="2.33203125" style="630" customWidth="1"/>
    <col min="2" max="2" width="18" style="630" customWidth="1"/>
    <col min="3" max="3" width="21.109375" style="630" customWidth="1"/>
    <col min="4" max="4" width="31.6640625" style="630" customWidth="1"/>
    <col min="5" max="5" width="2.109375" style="630" customWidth="1"/>
    <col min="6" max="16384" width="8.109375" style="630"/>
  </cols>
  <sheetData>
    <row r="1" spans="2:4" ht="11.1" customHeight="1"/>
    <row r="2" spans="2:4" ht="27.6" customHeight="1">
      <c r="B2" s="2583" t="s">
        <v>0</v>
      </c>
      <c r="C2" s="2583"/>
      <c r="D2" s="2583"/>
    </row>
    <row r="3" spans="2:4" ht="27.6" customHeight="1">
      <c r="B3" s="631" t="s">
        <v>1</v>
      </c>
      <c r="C3" s="632" t="s">
        <v>2</v>
      </c>
      <c r="D3" s="633" t="s">
        <v>3</v>
      </c>
    </row>
    <row r="4" spans="2:4" ht="27.6" customHeight="1">
      <c r="B4" s="634" t="s">
        <v>4</v>
      </c>
      <c r="C4" s="635" t="s">
        <v>4</v>
      </c>
      <c r="D4" s="636" t="s">
        <v>5</v>
      </c>
    </row>
    <row r="5" spans="2:4" ht="27.6" customHeight="1">
      <c r="B5" s="637" t="s">
        <v>6</v>
      </c>
      <c r="C5" s="638" t="s">
        <v>6</v>
      </c>
      <c r="D5" s="639" t="s">
        <v>7</v>
      </c>
    </row>
    <row r="6" spans="2:4" ht="27.6" customHeight="1">
      <c r="B6" s="637" t="s">
        <v>8</v>
      </c>
      <c r="C6" s="638" t="s">
        <v>8</v>
      </c>
      <c r="D6" s="639" t="s">
        <v>9</v>
      </c>
    </row>
    <row r="7" spans="2:4" ht="27.6" customHeight="1">
      <c r="B7" s="637" t="s">
        <v>10</v>
      </c>
      <c r="C7" s="638" t="s">
        <v>10</v>
      </c>
      <c r="D7" s="639" t="s">
        <v>11</v>
      </c>
    </row>
    <row r="8" spans="2:4" ht="27.6" customHeight="1">
      <c r="B8" s="637" t="s">
        <v>12</v>
      </c>
      <c r="C8" s="640" t="s">
        <v>12</v>
      </c>
      <c r="D8" s="641" t="s">
        <v>13</v>
      </c>
    </row>
    <row r="9" spans="2:4" ht="27.6" customHeight="1">
      <c r="B9" s="637" t="s">
        <v>14</v>
      </c>
      <c r="C9" s="640" t="s">
        <v>14</v>
      </c>
      <c r="D9" s="641" t="s">
        <v>15</v>
      </c>
    </row>
    <row r="10" spans="2:4" ht="27.6" customHeight="1">
      <c r="B10" s="637" t="s">
        <v>16</v>
      </c>
      <c r="C10" s="640" t="s">
        <v>16</v>
      </c>
      <c r="D10" s="641" t="s">
        <v>17</v>
      </c>
    </row>
    <row r="11" spans="2:4" ht="27.6" customHeight="1">
      <c r="B11" s="642" t="s">
        <v>18</v>
      </c>
      <c r="C11" s="643" t="s">
        <v>18</v>
      </c>
      <c r="D11" s="644"/>
    </row>
  </sheetData>
  <mergeCells count="1">
    <mergeCell ref="B2:D2"/>
  </mergeCells>
  <hyperlinks>
    <hyperlink ref="C4" location="Safety!A1" display="Safety" xr:uid="{C071A853-7383-4625-922F-768B6FB371CF}"/>
    <hyperlink ref="C5" location="Quality!A1" display="Quality" xr:uid="{92E363A1-6CB0-4D52-BDD1-2CAF09A3C8E5}"/>
    <hyperlink ref="C6" location="Delivery!A1" display="Delivery" xr:uid="{000425AE-637C-4C0E-819E-6E89BB4121E5}"/>
    <hyperlink ref="C7" location="Compliance!A1" display="Compliance" xr:uid="{F5AB7059-664B-4A27-8976-8976526B6684}"/>
    <hyperlink ref="C8" location="Compliance!A1" display="HR" xr:uid="{EA38B44E-2EAF-4ACA-9576-D9C08249C79E}"/>
    <hyperlink ref="C9" location="Attractive!A1" display="Acttractive" xr:uid="{DFBE3699-DD39-4C6B-AF4A-93EEC29F5CAB}"/>
    <hyperlink ref="C10" location="Environment!A1" display="Environment" xr:uid="{CFFAAA2D-44BD-4F3C-80A0-14368CE00AD6}"/>
    <hyperlink ref="C11" location="Cost!A1" display="Cost" xr:uid="{592954CD-17C4-4C50-919E-2A8041251976}"/>
    <hyperlink ref="D4" location="'Safety (by Dept)'!A1" display="Safety (By Dept)" xr:uid="{DBF8807B-5099-4528-A64F-C3FB826C9C5E}"/>
    <hyperlink ref="D5" location="'Quality (By Product)'!A1" display="Quality (By Product)" xr:uid="{F9390615-9746-4C4B-A6DB-8143EF01883A}"/>
    <hyperlink ref="D6" location="'Delivery (by Product)'!A1" display="Delivery (By Dept)" xr:uid="{8D7F5333-81C6-406A-9338-26EF1B8A3F4B}"/>
    <hyperlink ref="D7" location="'Compliance (by Dept)'!A1" display="Compliance (By Dept)" xr:uid="{E14C1930-CF4C-4F17-9CEA-C42FF5CEC60F}"/>
    <hyperlink ref="D8" location="'HR (By Dept)'!A1" display="HR (By Dept)" xr:uid="{3536455D-8BA7-44EA-A5B9-658B79DC45E9}"/>
    <hyperlink ref="D9" location="'Attractive(by Dept)'!A1" display="Acttractive" xr:uid="{8D792A34-196B-4EE8-A539-FCAF26246BFA}"/>
    <hyperlink ref="D10" location="'Environment (By Dept)'!A1" display="Environment" xr:uid="{A300585E-2FBA-41EC-98AF-EA5DBB5DC63C}"/>
  </hyperlink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2C25D-FEF5-4045-A1E9-9E6046052B04}">
  <sheetPr codeName="Sheet2"/>
  <dimension ref="A1:Z111"/>
  <sheetViews>
    <sheetView showGridLines="0" zoomScale="70" zoomScaleNormal="70" workbookViewId="0">
      <pane xSplit="1" ySplit="1" topLeftCell="G2" activePane="bottomRight" state="frozen"/>
      <selection pane="topRight" activeCell="D69" sqref="D69"/>
      <selection pane="bottomLeft" activeCell="D69" sqref="D69"/>
      <selection pane="bottomRight" activeCell="U14" sqref="U14"/>
    </sheetView>
  </sheetViews>
  <sheetFormatPr defaultColWidth="8.109375" defaultRowHeight="17.399999999999999"/>
  <cols>
    <col min="1" max="1" width="9.88671875" customWidth="1"/>
    <col min="2" max="2" width="11.6640625" style="103" customWidth="1"/>
    <col min="3" max="3" width="5.6640625" style="108" customWidth="1"/>
    <col min="4" max="4" width="22.33203125" style="103" customWidth="1"/>
    <col min="5" max="5" width="8.88671875" style="104" customWidth="1"/>
    <col min="6" max="6" width="8.6640625" style="105" customWidth="1"/>
    <col min="7" max="7" width="8.109375" style="103" customWidth="1"/>
    <col min="12" max="12" width="9.109375" style="103" customWidth="1"/>
    <col min="14" max="14" width="9.33203125" customWidth="1"/>
    <col min="15" max="15" width="30.6640625" style="103" customWidth="1"/>
    <col min="16" max="16" width="31.6640625" style="742" customWidth="1"/>
    <col min="17" max="17" width="11.33203125" style="743" customWidth="1"/>
    <col min="18" max="18" width="9.33203125" style="744" customWidth="1"/>
    <col min="19" max="19" width="9.33203125" style="742" customWidth="1"/>
    <col min="20" max="20" width="9.33203125" style="744" customWidth="1"/>
    <col min="21" max="21" width="39.44140625" style="742" customWidth="1"/>
    <col min="22" max="22" width="39.6640625" style="745" customWidth="1"/>
    <col min="23" max="23" width="36.109375" style="746" customWidth="1"/>
    <col min="24" max="24" width="16.6640625" style="746" customWidth="1"/>
    <col min="25" max="25" width="16.6640625" style="106" customWidth="1"/>
    <col min="26" max="26" width="13.109375" style="106" customWidth="1"/>
    <col min="27" max="16384" width="8.109375" style="103"/>
  </cols>
  <sheetData>
    <row r="1" spans="1:19" s="169" customFormat="1" ht="52.2">
      <c r="A1" s="165" t="s">
        <v>1</v>
      </c>
      <c r="B1" s="166" t="s">
        <v>19</v>
      </c>
      <c r="C1" s="167" t="s">
        <v>20</v>
      </c>
      <c r="D1" s="167" t="s">
        <v>21</v>
      </c>
      <c r="E1" s="168" t="s">
        <v>22</v>
      </c>
      <c r="F1" s="165" t="s">
        <v>23</v>
      </c>
      <c r="G1" s="168" t="s">
        <v>24</v>
      </c>
      <c r="H1" s="351" t="s">
        <v>25</v>
      </c>
      <c r="I1" s="110" t="s">
        <v>26</v>
      </c>
      <c r="J1" s="646" t="s">
        <v>27</v>
      </c>
      <c r="K1" s="647" t="s">
        <v>28</v>
      </c>
      <c r="L1" s="648" t="s">
        <v>29</v>
      </c>
      <c r="M1" s="647" t="s">
        <v>30</v>
      </c>
      <c r="N1" s="649" t="s">
        <v>31</v>
      </c>
      <c r="O1" s="650" t="s">
        <v>32</v>
      </c>
      <c r="P1" s="651" t="s">
        <v>33</v>
      </c>
      <c r="Q1" s="651" t="s">
        <v>34</v>
      </c>
      <c r="R1" s="652" t="s">
        <v>35</v>
      </c>
    </row>
    <row r="2" spans="1:19" s="171" customFormat="1">
      <c r="A2" s="267" t="s">
        <v>4</v>
      </c>
      <c r="B2" s="269" t="s">
        <v>36</v>
      </c>
      <c r="C2" s="185">
        <v>1</v>
      </c>
      <c r="D2" s="186" t="s">
        <v>37</v>
      </c>
      <c r="E2" s="187" t="s">
        <v>38</v>
      </c>
      <c r="F2" s="188" t="s">
        <v>39</v>
      </c>
      <c r="G2" s="293" t="s">
        <v>40</v>
      </c>
      <c r="H2" s="341">
        <v>0</v>
      </c>
      <c r="I2" s="265">
        <v>45748</v>
      </c>
      <c r="J2" s="653">
        <f>IF(H2=0,0,IF(H2="-","-",ROUND(H2/12,2)))</f>
        <v>0</v>
      </c>
      <c r="K2" s="654">
        <v>0</v>
      </c>
      <c r="L2" s="655">
        <f>IF(J2=0,0,IF(J2="-","-",ROUND(J2/12,2)))</f>
        <v>0</v>
      </c>
      <c r="M2" s="654">
        <f>K2</f>
        <v>0</v>
      </c>
      <c r="N2" s="656"/>
      <c r="O2" s="657" t="s">
        <v>41</v>
      </c>
      <c r="P2" s="658" t="s">
        <v>41</v>
      </c>
      <c r="Q2" s="659" t="s">
        <v>41</v>
      </c>
      <c r="R2" s="660" t="s">
        <v>41</v>
      </c>
      <c r="S2" s="170"/>
    </row>
    <row r="3" spans="1:19" s="171" customFormat="1">
      <c r="A3" s="268" t="s">
        <v>4</v>
      </c>
      <c r="B3" s="270" t="s">
        <v>36</v>
      </c>
      <c r="C3" s="180">
        <v>2</v>
      </c>
      <c r="D3" s="181" t="s">
        <v>42</v>
      </c>
      <c r="E3" s="182" t="s">
        <v>38</v>
      </c>
      <c r="F3" s="183" t="s">
        <v>39</v>
      </c>
      <c r="G3" s="294" t="s">
        <v>43</v>
      </c>
      <c r="H3" s="344">
        <v>0</v>
      </c>
      <c r="I3" s="266">
        <v>45748</v>
      </c>
      <c r="J3" s="661">
        <f>IF(H3=0,0,IF(H3="-","-",ROUND(H3/12,2)))</f>
        <v>0</v>
      </c>
      <c r="K3" s="662">
        <v>0</v>
      </c>
      <c r="L3" s="663">
        <f>IF(J3=0,0,IF(J3="-","-",ROUND(J3/12,2)))</f>
        <v>0</v>
      </c>
      <c r="M3" s="662">
        <f t="shared" ref="M3:M56" si="0">K3</f>
        <v>0</v>
      </c>
      <c r="N3" s="664"/>
      <c r="O3" s="665" t="s">
        <v>41</v>
      </c>
      <c r="P3" s="666" t="s">
        <v>41</v>
      </c>
      <c r="Q3" s="667" t="s">
        <v>41</v>
      </c>
      <c r="R3" s="668" t="s">
        <v>41</v>
      </c>
      <c r="S3" s="170"/>
    </row>
    <row r="4" spans="1:19" s="171" customFormat="1">
      <c r="A4" s="268" t="s">
        <v>4</v>
      </c>
      <c r="B4" s="270" t="s">
        <v>36</v>
      </c>
      <c r="C4" s="180">
        <v>3</v>
      </c>
      <c r="D4" s="181" t="s">
        <v>44</v>
      </c>
      <c r="E4" s="182" t="s">
        <v>38</v>
      </c>
      <c r="F4" s="183" t="s">
        <v>39</v>
      </c>
      <c r="G4" s="294" t="s">
        <v>40</v>
      </c>
      <c r="H4" s="344">
        <v>4</v>
      </c>
      <c r="I4" s="266">
        <v>45748</v>
      </c>
      <c r="J4" s="661">
        <v>0</v>
      </c>
      <c r="K4" s="662">
        <v>0</v>
      </c>
      <c r="L4" s="663">
        <v>0</v>
      </c>
      <c r="M4" s="662">
        <f t="shared" si="0"/>
        <v>0</v>
      </c>
      <c r="N4" s="664"/>
      <c r="O4" s="665" t="s">
        <v>41</v>
      </c>
      <c r="P4" s="666" t="s">
        <v>41</v>
      </c>
      <c r="Q4" s="667" t="s">
        <v>41</v>
      </c>
      <c r="R4" s="668" t="s">
        <v>41</v>
      </c>
      <c r="S4" s="170"/>
    </row>
    <row r="5" spans="1:19" s="171" customFormat="1" ht="34.799999999999997">
      <c r="A5" s="268" t="s">
        <v>4</v>
      </c>
      <c r="B5" s="277" t="s">
        <v>36</v>
      </c>
      <c r="C5" s="190">
        <v>4</v>
      </c>
      <c r="D5" s="226" t="s">
        <v>45</v>
      </c>
      <c r="E5" s="192" t="s">
        <v>38</v>
      </c>
      <c r="F5" s="193" t="s">
        <v>39</v>
      </c>
      <c r="G5" s="295" t="s">
        <v>40</v>
      </c>
      <c r="H5" s="345">
        <v>4</v>
      </c>
      <c r="I5" s="266">
        <v>45748</v>
      </c>
      <c r="J5" s="669" t="s">
        <v>41</v>
      </c>
      <c r="K5" s="670" t="s">
        <v>41</v>
      </c>
      <c r="L5" s="671" t="s">
        <v>41</v>
      </c>
      <c r="M5" s="670" t="str">
        <f t="shared" si="0"/>
        <v>-</v>
      </c>
      <c r="N5" s="672"/>
      <c r="O5" s="673" t="s">
        <v>41</v>
      </c>
      <c r="P5" s="674" t="s">
        <v>41</v>
      </c>
      <c r="Q5" s="675" t="s">
        <v>41</v>
      </c>
      <c r="R5" s="676" t="s">
        <v>41</v>
      </c>
      <c r="S5" s="170"/>
    </row>
    <row r="6" spans="1:19" s="171" customFormat="1">
      <c r="A6" s="268" t="s">
        <v>4</v>
      </c>
      <c r="B6" s="271" t="s">
        <v>46</v>
      </c>
      <c r="C6" s="194">
        <v>5</v>
      </c>
      <c r="D6" s="195" t="s">
        <v>47</v>
      </c>
      <c r="E6" s="196" t="s">
        <v>38</v>
      </c>
      <c r="F6" s="197" t="s">
        <v>48</v>
      </c>
      <c r="G6" s="296" t="s">
        <v>49</v>
      </c>
      <c r="H6" s="352">
        <v>0</v>
      </c>
      <c r="I6" s="266">
        <v>45748</v>
      </c>
      <c r="J6" s="677">
        <f>IF(H6=0,0,IF(H6="-","-",ROUND(H6/12,2)))</f>
        <v>0</v>
      </c>
      <c r="K6" s="678">
        <v>0</v>
      </c>
      <c r="L6" s="679">
        <f>IF(J6=0,0,IF(J6="-","-",ROUND(J6/12,2)))</f>
        <v>0</v>
      </c>
      <c r="M6" s="678">
        <f>Table1[[#This Row],[Result]]</f>
        <v>0</v>
      </c>
      <c r="N6" s="680"/>
      <c r="O6" s="681" t="s">
        <v>41</v>
      </c>
      <c r="P6" s="682" t="s">
        <v>41</v>
      </c>
      <c r="Q6" s="683" t="s">
        <v>41</v>
      </c>
      <c r="R6" s="684" t="s">
        <v>41</v>
      </c>
      <c r="S6" s="170"/>
    </row>
    <row r="7" spans="1:19" s="171" customFormat="1">
      <c r="A7" s="268" t="s">
        <v>4</v>
      </c>
      <c r="B7" s="270" t="s">
        <v>46</v>
      </c>
      <c r="C7" s="180">
        <v>6</v>
      </c>
      <c r="D7" s="181" t="s">
        <v>50</v>
      </c>
      <c r="E7" s="182" t="s">
        <v>38</v>
      </c>
      <c r="F7" s="183" t="s">
        <v>48</v>
      </c>
      <c r="G7" s="294" t="s">
        <v>49</v>
      </c>
      <c r="H7" s="344">
        <v>0</v>
      </c>
      <c r="I7" s="266">
        <v>45748</v>
      </c>
      <c r="J7" s="661">
        <f>IF(H7=0,0,IF(H7="-","-",ROUND(H7/12,2)))</f>
        <v>0</v>
      </c>
      <c r="K7" s="662">
        <v>0</v>
      </c>
      <c r="L7" s="663">
        <f>IF(J7=0,0,IF(J7="-","-",ROUND(J7/12,2)))</f>
        <v>0</v>
      </c>
      <c r="M7" s="662">
        <f t="shared" si="0"/>
        <v>0</v>
      </c>
      <c r="N7" s="664"/>
      <c r="O7" s="665" t="s">
        <v>41</v>
      </c>
      <c r="P7" s="666" t="s">
        <v>41</v>
      </c>
      <c r="Q7" s="667" t="s">
        <v>41</v>
      </c>
      <c r="R7" s="668" t="s">
        <v>41</v>
      </c>
      <c r="S7" s="170"/>
    </row>
    <row r="8" spans="1:19" s="171" customFormat="1" ht="34.799999999999997">
      <c r="A8" s="268" t="s">
        <v>4</v>
      </c>
      <c r="B8" s="270" t="s">
        <v>46</v>
      </c>
      <c r="C8" s="180">
        <v>7</v>
      </c>
      <c r="D8" s="181" t="s">
        <v>51</v>
      </c>
      <c r="E8" s="182" t="s">
        <v>38</v>
      </c>
      <c r="F8" s="183" t="s">
        <v>48</v>
      </c>
      <c r="G8" s="294" t="s">
        <v>49</v>
      </c>
      <c r="H8" s="344">
        <v>0</v>
      </c>
      <c r="I8" s="266">
        <v>45748</v>
      </c>
      <c r="J8" s="661">
        <f>IF(H8=0,0,IF(H8="-","-",ROUND(H8/12,2)))</f>
        <v>0</v>
      </c>
      <c r="K8" s="662">
        <v>0</v>
      </c>
      <c r="L8" s="663">
        <f>IF(J8=0,0,IF(J8="-","-",ROUND(J8/12,2)))</f>
        <v>0</v>
      </c>
      <c r="M8" s="662">
        <f t="shared" si="0"/>
        <v>0</v>
      </c>
      <c r="N8" s="664"/>
      <c r="O8" s="665" t="s">
        <v>41</v>
      </c>
      <c r="P8" s="666" t="s">
        <v>41</v>
      </c>
      <c r="Q8" s="667" t="s">
        <v>41</v>
      </c>
      <c r="R8" s="668" t="s">
        <v>41</v>
      </c>
      <c r="S8" s="170"/>
    </row>
    <row r="9" spans="1:19" s="171" customFormat="1">
      <c r="A9" s="268" t="s">
        <v>4</v>
      </c>
      <c r="B9" s="270" t="s">
        <v>46</v>
      </c>
      <c r="C9" s="180">
        <v>8</v>
      </c>
      <c r="D9" s="181" t="s">
        <v>52</v>
      </c>
      <c r="E9" s="182" t="s">
        <v>38</v>
      </c>
      <c r="F9" s="183" t="s">
        <v>48</v>
      </c>
      <c r="G9" s="294" t="s">
        <v>49</v>
      </c>
      <c r="H9" s="344">
        <v>0</v>
      </c>
      <c r="I9" s="266">
        <v>45748</v>
      </c>
      <c r="J9" s="661">
        <f>IF(H9=0,0,IF(H9="-","-",ROUND(H9/12,2)))</f>
        <v>0</v>
      </c>
      <c r="K9" s="662">
        <v>0</v>
      </c>
      <c r="L9" s="663">
        <f>IF(J9=0,0,IF(J9="-","-",ROUND(J9/12,2)))</f>
        <v>0</v>
      </c>
      <c r="M9" s="662">
        <v>0</v>
      </c>
      <c r="N9" s="664"/>
      <c r="O9" s="665" t="s">
        <v>41</v>
      </c>
      <c r="P9" s="666" t="s">
        <v>41</v>
      </c>
      <c r="Q9" s="667" t="s">
        <v>41</v>
      </c>
      <c r="R9" s="668" t="s">
        <v>41</v>
      </c>
      <c r="S9" s="170"/>
    </row>
    <row r="10" spans="1:19" s="171" customFormat="1">
      <c r="A10" s="273" t="s">
        <v>4</v>
      </c>
      <c r="B10" s="274" t="s">
        <v>46</v>
      </c>
      <c r="C10" s="198">
        <v>9</v>
      </c>
      <c r="D10" s="199" t="s">
        <v>53</v>
      </c>
      <c r="E10" s="200" t="s">
        <v>38</v>
      </c>
      <c r="F10" s="201" t="s">
        <v>48</v>
      </c>
      <c r="G10" s="297" t="s">
        <v>49</v>
      </c>
      <c r="H10" s="353">
        <v>0</v>
      </c>
      <c r="I10" s="272">
        <v>45748</v>
      </c>
      <c r="J10" s="685">
        <v>0</v>
      </c>
      <c r="K10" s="686">
        <v>0</v>
      </c>
      <c r="L10" s="687">
        <v>0</v>
      </c>
      <c r="M10" s="686">
        <f t="shared" si="0"/>
        <v>0</v>
      </c>
      <c r="N10" s="688"/>
      <c r="O10" s="689" t="s">
        <v>41</v>
      </c>
      <c r="P10" s="690" t="s">
        <v>41</v>
      </c>
      <c r="Q10" s="691" t="s">
        <v>41</v>
      </c>
      <c r="R10" s="692" t="s">
        <v>41</v>
      </c>
      <c r="S10" s="170"/>
    </row>
    <row r="11" spans="1:19" s="171" customFormat="1">
      <c r="A11" s="291" t="s">
        <v>4</v>
      </c>
      <c r="B11" s="271" t="s">
        <v>36</v>
      </c>
      <c r="C11" s="222">
        <v>1</v>
      </c>
      <c r="D11" s="223" t="s">
        <v>37</v>
      </c>
      <c r="E11" s="224" t="s">
        <v>38</v>
      </c>
      <c r="F11" s="225" t="s">
        <v>39</v>
      </c>
      <c r="G11" s="298" t="s">
        <v>40</v>
      </c>
      <c r="H11" s="348">
        <v>0</v>
      </c>
      <c r="I11" s="292">
        <v>45778</v>
      </c>
      <c r="J11" s="693">
        <f>IF(H11=0,0,IF(H11="-","-",ROUND(H11/12,2)))</f>
        <v>0</v>
      </c>
      <c r="K11" s="694">
        <v>0</v>
      </c>
      <c r="L11" s="695">
        <v>0</v>
      </c>
      <c r="M11" s="694">
        <f t="shared" si="0"/>
        <v>0</v>
      </c>
      <c r="N11" s="696"/>
      <c r="O11" s="697" t="s">
        <v>41</v>
      </c>
      <c r="P11" s="698" t="s">
        <v>41</v>
      </c>
      <c r="Q11" s="699" t="s">
        <v>41</v>
      </c>
      <c r="R11" s="700" t="s">
        <v>41</v>
      </c>
      <c r="S11" s="170"/>
    </row>
    <row r="12" spans="1:19" s="171" customFormat="1" ht="104.4">
      <c r="A12" s="268" t="s">
        <v>4</v>
      </c>
      <c r="B12" s="270" t="s">
        <v>36</v>
      </c>
      <c r="C12" s="180">
        <v>2</v>
      </c>
      <c r="D12" s="181" t="s">
        <v>42</v>
      </c>
      <c r="E12" s="182" t="s">
        <v>38</v>
      </c>
      <c r="F12" s="183" t="s">
        <v>39</v>
      </c>
      <c r="G12" s="294" t="s">
        <v>43</v>
      </c>
      <c r="H12" s="344">
        <v>0</v>
      </c>
      <c r="I12" s="275">
        <v>45778</v>
      </c>
      <c r="J12" s="661">
        <v>0</v>
      </c>
      <c r="K12" s="862">
        <v>1</v>
      </c>
      <c r="L12" s="663">
        <v>0</v>
      </c>
      <c r="M12" s="662">
        <f t="shared" si="0"/>
        <v>1</v>
      </c>
      <c r="N12" s="664"/>
      <c r="O12" s="701" t="s">
        <v>54</v>
      </c>
      <c r="P12" s="702" t="s">
        <v>55</v>
      </c>
      <c r="Q12" s="667">
        <v>1</v>
      </c>
      <c r="R12" s="668" t="s">
        <v>56</v>
      </c>
      <c r="S12" s="170"/>
    </row>
    <row r="13" spans="1:19" s="171" customFormat="1">
      <c r="A13" s="268" t="s">
        <v>4</v>
      </c>
      <c r="B13" s="270" t="s">
        <v>36</v>
      </c>
      <c r="C13" s="180">
        <v>3</v>
      </c>
      <c r="D13" s="181" t="s">
        <v>44</v>
      </c>
      <c r="E13" s="182" t="s">
        <v>38</v>
      </c>
      <c r="F13" s="183" t="s">
        <v>39</v>
      </c>
      <c r="G13" s="294" t="s">
        <v>40</v>
      </c>
      <c r="H13" s="344">
        <v>4</v>
      </c>
      <c r="I13" s="275">
        <v>45778</v>
      </c>
      <c r="J13" s="661">
        <v>0</v>
      </c>
      <c r="K13" s="662">
        <v>0</v>
      </c>
      <c r="L13" s="663">
        <v>0</v>
      </c>
      <c r="M13" s="662">
        <f>Table1[[#This Row],[Result]]+M4</f>
        <v>0</v>
      </c>
      <c r="N13" s="664"/>
      <c r="O13" s="665" t="s">
        <v>41</v>
      </c>
      <c r="P13" s="666" t="s">
        <v>41</v>
      </c>
      <c r="Q13" s="667" t="s">
        <v>41</v>
      </c>
      <c r="R13" s="668" t="s">
        <v>41</v>
      </c>
      <c r="S13" s="170"/>
    </row>
    <row r="14" spans="1:19" s="171" customFormat="1" ht="34.799999999999997">
      <c r="A14" s="268" t="s">
        <v>4</v>
      </c>
      <c r="B14" s="277" t="s">
        <v>36</v>
      </c>
      <c r="C14" s="190">
        <v>4</v>
      </c>
      <c r="D14" s="226" t="s">
        <v>45</v>
      </c>
      <c r="E14" s="192" t="s">
        <v>38</v>
      </c>
      <c r="F14" s="193" t="s">
        <v>39</v>
      </c>
      <c r="G14" s="295" t="s">
        <v>40</v>
      </c>
      <c r="H14" s="345">
        <v>4</v>
      </c>
      <c r="I14" s="275">
        <v>45778</v>
      </c>
      <c r="J14" s="669" t="s">
        <v>41</v>
      </c>
      <c r="K14" s="670" t="s">
        <v>41</v>
      </c>
      <c r="L14" s="671" t="s">
        <v>41</v>
      </c>
      <c r="M14" s="670" t="str">
        <f>K14</f>
        <v>-</v>
      </c>
      <c r="N14" s="672"/>
      <c r="O14" s="673" t="s">
        <v>41</v>
      </c>
      <c r="P14" s="674" t="s">
        <v>41</v>
      </c>
      <c r="Q14" s="675" t="s">
        <v>41</v>
      </c>
      <c r="R14" s="676" t="s">
        <v>41</v>
      </c>
      <c r="S14" s="170"/>
    </row>
    <row r="15" spans="1:19" s="171" customFormat="1">
      <c r="A15" s="268" t="s">
        <v>4</v>
      </c>
      <c r="B15" s="271" t="s">
        <v>46</v>
      </c>
      <c r="C15" s="194">
        <v>5</v>
      </c>
      <c r="D15" s="195" t="s">
        <v>47</v>
      </c>
      <c r="E15" s="196" t="s">
        <v>38</v>
      </c>
      <c r="F15" s="197" t="s">
        <v>48</v>
      </c>
      <c r="G15" s="296" t="s">
        <v>49</v>
      </c>
      <c r="H15" s="352">
        <v>0</v>
      </c>
      <c r="I15" s="275">
        <v>45778</v>
      </c>
      <c r="J15" s="677">
        <f>IF(H15=0,0,IF(H15="-","-",ROUND(H15/12,2)))</f>
        <v>0</v>
      </c>
      <c r="K15" s="678">
        <v>0</v>
      </c>
      <c r="L15" s="679">
        <f>IF(J15=0,0,IF(J15="-","-",ROUND(J15/12,2)))</f>
        <v>0</v>
      </c>
      <c r="M15" s="678">
        <f>M6+Table1[[#This Row],[Result]]</f>
        <v>0</v>
      </c>
      <c r="N15" s="680"/>
      <c r="O15" s="681" t="s">
        <v>41</v>
      </c>
      <c r="P15" s="682" t="s">
        <v>41</v>
      </c>
      <c r="Q15" s="683" t="s">
        <v>41</v>
      </c>
      <c r="R15" s="684" t="s">
        <v>41</v>
      </c>
      <c r="S15" s="170"/>
    </row>
    <row r="16" spans="1:19" s="171" customFormat="1">
      <c r="A16" s="268" t="s">
        <v>4</v>
      </c>
      <c r="B16" s="270" t="s">
        <v>46</v>
      </c>
      <c r="C16" s="180">
        <v>6</v>
      </c>
      <c r="D16" s="181" t="s">
        <v>50</v>
      </c>
      <c r="E16" s="182" t="s">
        <v>38</v>
      </c>
      <c r="F16" s="183" t="s">
        <v>48</v>
      </c>
      <c r="G16" s="294" t="s">
        <v>49</v>
      </c>
      <c r="H16" s="344">
        <v>0</v>
      </c>
      <c r="I16" s="275">
        <v>45778</v>
      </c>
      <c r="J16" s="661">
        <f>IF(H16=0,0,IF(H16="-","-",ROUND(H16/12,2)))</f>
        <v>0</v>
      </c>
      <c r="K16" s="662">
        <v>0</v>
      </c>
      <c r="L16" s="663">
        <f>L7+Table1[[#This Row],[Target]]</f>
        <v>0</v>
      </c>
      <c r="M16" s="662">
        <f>M7+Table1[[#This Row],[Result]]</f>
        <v>0</v>
      </c>
      <c r="N16" s="664"/>
      <c r="O16" s="665" t="s">
        <v>41</v>
      </c>
      <c r="P16" s="666" t="s">
        <v>41</v>
      </c>
      <c r="Q16" s="667" t="s">
        <v>41</v>
      </c>
      <c r="R16" s="668" t="s">
        <v>41</v>
      </c>
      <c r="S16" s="170"/>
    </row>
    <row r="17" spans="1:19" s="171" customFormat="1" ht="34.799999999999997">
      <c r="A17" s="268" t="s">
        <v>4</v>
      </c>
      <c r="B17" s="270" t="s">
        <v>46</v>
      </c>
      <c r="C17" s="180">
        <v>7</v>
      </c>
      <c r="D17" s="181" t="s">
        <v>51</v>
      </c>
      <c r="E17" s="182" t="s">
        <v>38</v>
      </c>
      <c r="F17" s="183" t="s">
        <v>48</v>
      </c>
      <c r="G17" s="294" t="s">
        <v>49</v>
      </c>
      <c r="H17" s="344">
        <v>0</v>
      </c>
      <c r="I17" s="275">
        <v>45778</v>
      </c>
      <c r="J17" s="661">
        <f>IF(H17=0,0,IF(H17="-","-",ROUND(H17/12,2)))</f>
        <v>0</v>
      </c>
      <c r="K17" s="662">
        <v>0</v>
      </c>
      <c r="L17" s="663">
        <f>IF(J17=0,0,IF(J17="-","-",ROUND(J17/12,2)))</f>
        <v>0</v>
      </c>
      <c r="M17" s="662">
        <f>M8+Table1[[#This Row],[Result]]</f>
        <v>0</v>
      </c>
      <c r="N17" s="664"/>
      <c r="O17" s="665" t="s">
        <v>41</v>
      </c>
      <c r="P17" s="666" t="s">
        <v>41</v>
      </c>
      <c r="Q17" s="667" t="s">
        <v>41</v>
      </c>
      <c r="R17" s="668" t="s">
        <v>41</v>
      </c>
      <c r="S17" s="170"/>
    </row>
    <row r="18" spans="1:19" s="171" customFormat="1">
      <c r="A18" s="268" t="s">
        <v>4</v>
      </c>
      <c r="B18" s="270" t="s">
        <v>46</v>
      </c>
      <c r="C18" s="180">
        <v>8</v>
      </c>
      <c r="D18" s="181" t="s">
        <v>52</v>
      </c>
      <c r="E18" s="182" t="s">
        <v>38</v>
      </c>
      <c r="F18" s="183" t="s">
        <v>48</v>
      </c>
      <c r="G18" s="294" t="s">
        <v>49</v>
      </c>
      <c r="H18" s="344">
        <v>0</v>
      </c>
      <c r="I18" s="275">
        <v>45778</v>
      </c>
      <c r="J18" s="661">
        <f>IF(H18=0,0,IF(H18="-","-",ROUND(H18/12,2)))</f>
        <v>0</v>
      </c>
      <c r="K18" s="662">
        <v>0</v>
      </c>
      <c r="L18" s="663">
        <f>IF(J18=0,0,IF(J18="-","-",ROUND(J18/12,2)))</f>
        <v>0</v>
      </c>
      <c r="M18" s="662">
        <f>M9+Table1[[#This Row],[Result]]</f>
        <v>0</v>
      </c>
      <c r="N18" s="664"/>
      <c r="O18" s="665" t="s">
        <v>41</v>
      </c>
      <c r="P18" s="666" t="s">
        <v>41</v>
      </c>
      <c r="Q18" s="667" t="s">
        <v>41</v>
      </c>
      <c r="R18" s="668" t="s">
        <v>41</v>
      </c>
      <c r="S18" s="170"/>
    </row>
    <row r="19" spans="1:19" s="171" customFormat="1">
      <c r="A19" s="273" t="s">
        <v>4</v>
      </c>
      <c r="B19" s="274" t="s">
        <v>46</v>
      </c>
      <c r="C19" s="180">
        <v>9</v>
      </c>
      <c r="D19" s="181" t="s">
        <v>53</v>
      </c>
      <c r="E19" s="182" t="s">
        <v>38</v>
      </c>
      <c r="F19" s="183" t="s">
        <v>48</v>
      </c>
      <c r="G19" s="294" t="s">
        <v>49</v>
      </c>
      <c r="H19" s="344">
        <v>0</v>
      </c>
      <c r="I19" s="276">
        <v>45778</v>
      </c>
      <c r="J19" s="661">
        <v>1</v>
      </c>
      <c r="K19" s="662">
        <v>1</v>
      </c>
      <c r="L19" s="663">
        <v>1</v>
      </c>
      <c r="M19" s="662">
        <f>M10+Table1[[#This Row],[Result]]</f>
        <v>1</v>
      </c>
      <c r="N19" s="664"/>
      <c r="O19" s="665" t="s">
        <v>41</v>
      </c>
      <c r="P19" s="666" t="s">
        <v>41</v>
      </c>
      <c r="Q19" s="667" t="s">
        <v>41</v>
      </c>
      <c r="R19" s="668" t="s">
        <v>41</v>
      </c>
      <c r="S19" s="170"/>
    </row>
    <row r="20" spans="1:19" s="171" customFormat="1">
      <c r="A20" s="291" t="s">
        <v>4</v>
      </c>
      <c r="B20" s="271" t="s">
        <v>36</v>
      </c>
      <c r="C20" s="180">
        <v>1</v>
      </c>
      <c r="D20" s="181" t="s">
        <v>37</v>
      </c>
      <c r="E20" s="182" t="s">
        <v>38</v>
      </c>
      <c r="F20" s="183" t="s">
        <v>39</v>
      </c>
      <c r="G20" s="294" t="s">
        <v>40</v>
      </c>
      <c r="H20" s="344">
        <v>0</v>
      </c>
      <c r="I20" s="278">
        <v>45809</v>
      </c>
      <c r="J20" s="661">
        <f>IF(H20=0,0,IF(H20="-","-",ROUND(H20/12,2)))</f>
        <v>0</v>
      </c>
      <c r="K20" s="662">
        <v>0</v>
      </c>
      <c r="L20" s="663">
        <f>IF(J20=0,0,IF(J20="-","-",ROUND(J20/12,2)))</f>
        <v>0</v>
      </c>
      <c r="M20" s="662">
        <f t="shared" si="0"/>
        <v>0</v>
      </c>
      <c r="N20" s="664"/>
      <c r="O20" s="665" t="s">
        <v>41</v>
      </c>
      <c r="P20" s="666" t="s">
        <v>41</v>
      </c>
      <c r="Q20" s="667" t="s">
        <v>41</v>
      </c>
      <c r="R20" s="668" t="s">
        <v>41</v>
      </c>
      <c r="S20" s="170"/>
    </row>
    <row r="21" spans="1:19" s="171" customFormat="1">
      <c r="A21" s="268" t="s">
        <v>4</v>
      </c>
      <c r="B21" s="270" t="s">
        <v>36</v>
      </c>
      <c r="C21" s="180">
        <v>2</v>
      </c>
      <c r="D21" s="181" t="s">
        <v>42</v>
      </c>
      <c r="E21" s="182" t="s">
        <v>38</v>
      </c>
      <c r="F21" s="183" t="s">
        <v>39</v>
      </c>
      <c r="G21" s="294" t="s">
        <v>43</v>
      </c>
      <c r="H21" s="344">
        <v>0</v>
      </c>
      <c r="I21" s="280">
        <v>45809</v>
      </c>
      <c r="J21" s="661">
        <f>IF(H21=0,0,IF(H21="-","-",ROUND(H21/12,2)))</f>
        <v>0</v>
      </c>
      <c r="K21" s="662">
        <v>0</v>
      </c>
      <c r="L21" s="663">
        <f>IF(J21=0,0,IF(J21="-","-",ROUND(J21/12,2)))</f>
        <v>0</v>
      </c>
      <c r="M21" s="662">
        <f>Table1[[#This Row],[Result]]+M12</f>
        <v>1</v>
      </c>
      <c r="N21" s="664"/>
      <c r="O21" s="665" t="s">
        <v>41</v>
      </c>
      <c r="P21" s="666" t="s">
        <v>41</v>
      </c>
      <c r="Q21" s="667" t="s">
        <v>41</v>
      </c>
      <c r="R21" s="668" t="s">
        <v>41</v>
      </c>
      <c r="S21" s="170"/>
    </row>
    <row r="22" spans="1:19" s="171" customFormat="1">
      <c r="A22" s="268" t="s">
        <v>4</v>
      </c>
      <c r="B22" s="270" t="s">
        <v>36</v>
      </c>
      <c r="C22" s="180">
        <v>3</v>
      </c>
      <c r="D22" s="181" t="s">
        <v>44</v>
      </c>
      <c r="E22" s="182" t="s">
        <v>38</v>
      </c>
      <c r="F22" s="183" t="s">
        <v>39</v>
      </c>
      <c r="G22" s="294" t="s">
        <v>40</v>
      </c>
      <c r="H22" s="344">
        <v>4</v>
      </c>
      <c r="I22" s="280">
        <v>45809</v>
      </c>
      <c r="J22" s="661">
        <v>1</v>
      </c>
      <c r="K22" s="662">
        <v>0</v>
      </c>
      <c r="L22" s="663">
        <v>1</v>
      </c>
      <c r="M22" s="662">
        <f>Table1[[#This Row],[Result]]+M13</f>
        <v>0</v>
      </c>
      <c r="N22" s="664"/>
      <c r="O22" s="665" t="s">
        <v>41</v>
      </c>
      <c r="P22" s="666" t="s">
        <v>41</v>
      </c>
      <c r="Q22" s="667" t="s">
        <v>41</v>
      </c>
      <c r="R22" s="668" t="s">
        <v>41</v>
      </c>
      <c r="S22" s="170"/>
    </row>
    <row r="23" spans="1:19" s="171" customFormat="1" ht="34.799999999999997">
      <c r="A23" s="268" t="s">
        <v>4</v>
      </c>
      <c r="B23" s="277" t="s">
        <v>36</v>
      </c>
      <c r="C23" s="190">
        <v>4</v>
      </c>
      <c r="D23" s="226" t="s">
        <v>45</v>
      </c>
      <c r="E23" s="192" t="s">
        <v>38</v>
      </c>
      <c r="F23" s="193" t="s">
        <v>39</v>
      </c>
      <c r="G23" s="295" t="s">
        <v>40</v>
      </c>
      <c r="H23" s="345">
        <v>4</v>
      </c>
      <c r="I23" s="280">
        <v>45809</v>
      </c>
      <c r="J23" s="669" t="s">
        <v>41</v>
      </c>
      <c r="K23" s="670" t="s">
        <v>41</v>
      </c>
      <c r="L23" s="671" t="s">
        <v>41</v>
      </c>
      <c r="M23" s="670" t="str">
        <f>K23</f>
        <v>-</v>
      </c>
      <c r="N23" s="672" t="s">
        <v>57</v>
      </c>
      <c r="O23" s="673" t="s">
        <v>41</v>
      </c>
      <c r="P23" s="674" t="s">
        <v>41</v>
      </c>
      <c r="Q23" s="675" t="s">
        <v>41</v>
      </c>
      <c r="R23" s="676" t="s">
        <v>41</v>
      </c>
      <c r="S23" s="170"/>
    </row>
    <row r="24" spans="1:19" s="171" customFormat="1">
      <c r="A24" s="268" t="s">
        <v>4</v>
      </c>
      <c r="B24" s="271" t="s">
        <v>46</v>
      </c>
      <c r="C24" s="194">
        <v>5</v>
      </c>
      <c r="D24" s="195" t="s">
        <v>47</v>
      </c>
      <c r="E24" s="196" t="s">
        <v>38</v>
      </c>
      <c r="F24" s="197" t="s">
        <v>48</v>
      </c>
      <c r="G24" s="296" t="s">
        <v>49</v>
      </c>
      <c r="H24" s="352">
        <v>0</v>
      </c>
      <c r="I24" s="280">
        <v>45809</v>
      </c>
      <c r="J24" s="677">
        <f>IF(H24=0,0,IF(H24="-","-",ROUND(H24/12,2)))</f>
        <v>0</v>
      </c>
      <c r="K24" s="678">
        <v>0</v>
      </c>
      <c r="L24" s="679">
        <f>IF(J24=0,0,IF(J24="-","-",ROUND(J24/12,2)))</f>
        <v>0</v>
      </c>
      <c r="M24" s="678">
        <f>M15+Table1[[#This Row],[Result]]</f>
        <v>0</v>
      </c>
      <c r="N24" s="680" t="s">
        <v>57</v>
      </c>
      <c r="O24" s="681" t="s">
        <v>41</v>
      </c>
      <c r="P24" s="682" t="s">
        <v>41</v>
      </c>
      <c r="Q24" s="683" t="s">
        <v>41</v>
      </c>
      <c r="R24" s="684" t="s">
        <v>41</v>
      </c>
      <c r="S24" s="170"/>
    </row>
    <row r="25" spans="1:19" s="171" customFormat="1">
      <c r="A25" s="268" t="s">
        <v>4</v>
      </c>
      <c r="B25" s="270" t="s">
        <v>46</v>
      </c>
      <c r="C25" s="180">
        <v>6</v>
      </c>
      <c r="D25" s="181" t="s">
        <v>50</v>
      </c>
      <c r="E25" s="182" t="s">
        <v>38</v>
      </c>
      <c r="F25" s="183" t="s">
        <v>48</v>
      </c>
      <c r="G25" s="294" t="s">
        <v>49</v>
      </c>
      <c r="H25" s="344">
        <v>0</v>
      </c>
      <c r="I25" s="280">
        <v>45809</v>
      </c>
      <c r="J25" s="661">
        <f>IF(H25=0,0,IF(H25="-","-",ROUND(H25/12,2)))</f>
        <v>0</v>
      </c>
      <c r="K25" s="662">
        <v>0</v>
      </c>
      <c r="L25" s="663">
        <f>L16+Table1[[#This Row],[Target]]</f>
        <v>0</v>
      </c>
      <c r="M25" s="662">
        <f>M16+Table1[[#This Row],[Result]]</f>
        <v>0</v>
      </c>
      <c r="N25" s="664" t="s">
        <v>57</v>
      </c>
      <c r="O25" s="665" t="s">
        <v>41</v>
      </c>
      <c r="P25" s="666" t="s">
        <v>41</v>
      </c>
      <c r="Q25" s="667" t="s">
        <v>41</v>
      </c>
      <c r="R25" s="668" t="s">
        <v>41</v>
      </c>
      <c r="S25" s="170"/>
    </row>
    <row r="26" spans="1:19" s="171" customFormat="1" ht="34.799999999999997">
      <c r="A26" s="268" t="s">
        <v>4</v>
      </c>
      <c r="B26" s="270" t="s">
        <v>46</v>
      </c>
      <c r="C26" s="180">
        <v>7</v>
      </c>
      <c r="D26" s="181" t="s">
        <v>51</v>
      </c>
      <c r="E26" s="182" t="s">
        <v>38</v>
      </c>
      <c r="F26" s="183" t="s">
        <v>48</v>
      </c>
      <c r="G26" s="294" t="s">
        <v>49</v>
      </c>
      <c r="H26" s="344">
        <v>0</v>
      </c>
      <c r="I26" s="280">
        <v>45809</v>
      </c>
      <c r="J26" s="661">
        <f>IF(H26=0,0,IF(H26="-","-",ROUND(H26/12,2)))</f>
        <v>0</v>
      </c>
      <c r="K26" s="662">
        <v>0</v>
      </c>
      <c r="L26" s="663">
        <f>IF(J26=0,0,IF(J26="-","-",ROUND(J26/12,2)))</f>
        <v>0</v>
      </c>
      <c r="M26" s="662">
        <f>M17+Table1[[#This Row],[Result]]</f>
        <v>0</v>
      </c>
      <c r="N26" s="664" t="s">
        <v>57</v>
      </c>
      <c r="O26" s="665" t="s">
        <v>41</v>
      </c>
      <c r="P26" s="666" t="s">
        <v>41</v>
      </c>
      <c r="Q26" s="667" t="s">
        <v>41</v>
      </c>
      <c r="R26" s="668" t="s">
        <v>41</v>
      </c>
      <c r="S26" s="170"/>
    </row>
    <row r="27" spans="1:19" s="171" customFormat="1">
      <c r="A27" s="268" t="s">
        <v>4</v>
      </c>
      <c r="B27" s="270" t="s">
        <v>46</v>
      </c>
      <c r="C27" s="180">
        <v>8</v>
      </c>
      <c r="D27" s="181" t="s">
        <v>52</v>
      </c>
      <c r="E27" s="182" t="s">
        <v>38</v>
      </c>
      <c r="F27" s="183" t="s">
        <v>48</v>
      </c>
      <c r="G27" s="294" t="s">
        <v>49</v>
      </c>
      <c r="H27" s="344">
        <v>0</v>
      </c>
      <c r="I27" s="280">
        <v>45809</v>
      </c>
      <c r="J27" s="661">
        <f>IF(H27=0,0,IF(H27="-","-",ROUND(H27/12,2)))</f>
        <v>0</v>
      </c>
      <c r="K27" s="662">
        <v>0</v>
      </c>
      <c r="L27" s="663">
        <f>IF(J27=0,0,IF(J27="-","-",ROUND(J27/12,2)))</f>
        <v>0</v>
      </c>
      <c r="M27" s="662">
        <f>M18+Table1[[#This Row],[Result]]</f>
        <v>0</v>
      </c>
      <c r="N27" s="664" t="s">
        <v>57</v>
      </c>
      <c r="O27" s="665" t="s">
        <v>41</v>
      </c>
      <c r="P27" s="666" t="s">
        <v>41</v>
      </c>
      <c r="Q27" s="667" t="s">
        <v>41</v>
      </c>
      <c r="R27" s="668" t="s">
        <v>41</v>
      </c>
      <c r="S27" s="170"/>
    </row>
    <row r="28" spans="1:19" s="171" customFormat="1">
      <c r="A28" s="273" t="s">
        <v>4</v>
      </c>
      <c r="B28" s="274" t="s">
        <v>46</v>
      </c>
      <c r="C28" s="198">
        <v>9</v>
      </c>
      <c r="D28" s="199" t="s">
        <v>53</v>
      </c>
      <c r="E28" s="200" t="s">
        <v>38</v>
      </c>
      <c r="F28" s="201" t="s">
        <v>48</v>
      </c>
      <c r="G28" s="297" t="s">
        <v>49</v>
      </c>
      <c r="H28" s="353">
        <v>0</v>
      </c>
      <c r="I28" s="289">
        <v>45809</v>
      </c>
      <c r="J28" s="685">
        <v>0</v>
      </c>
      <c r="K28" s="686">
        <v>0</v>
      </c>
      <c r="L28" s="687">
        <v>1</v>
      </c>
      <c r="M28" s="686">
        <f>M19+Table1[[#This Row],[Result]]</f>
        <v>1</v>
      </c>
      <c r="N28" s="688" t="s">
        <v>57</v>
      </c>
      <c r="O28" s="689" t="s">
        <v>41</v>
      </c>
      <c r="P28" s="690" t="s">
        <v>41</v>
      </c>
      <c r="Q28" s="691" t="s">
        <v>41</v>
      </c>
      <c r="R28" s="692" t="s">
        <v>41</v>
      </c>
      <c r="S28" s="170"/>
    </row>
    <row r="29" spans="1:19" s="171" customFormat="1">
      <c r="A29" s="291" t="s">
        <v>4</v>
      </c>
      <c r="B29" s="271" t="s">
        <v>36</v>
      </c>
      <c r="C29" s="194">
        <v>1</v>
      </c>
      <c r="D29" s="195" t="s">
        <v>37</v>
      </c>
      <c r="E29" s="196" t="s">
        <v>38</v>
      </c>
      <c r="F29" s="197" t="s">
        <v>39</v>
      </c>
      <c r="G29" s="296" t="s">
        <v>40</v>
      </c>
      <c r="H29" s="352">
        <v>0</v>
      </c>
      <c r="I29" s="278">
        <v>45839</v>
      </c>
      <c r="J29" s="677">
        <f>IF(H29=0,0,IF(H29="-","-",ROUND(H29/12,2)))</f>
        <v>0</v>
      </c>
      <c r="K29" s="678">
        <v>0</v>
      </c>
      <c r="L29" s="679">
        <f>IF(J29=0,0,IF(J29="-","-",ROUND(J29/12,2)))</f>
        <v>0</v>
      </c>
      <c r="M29" s="678">
        <f t="shared" si="0"/>
        <v>0</v>
      </c>
      <c r="N29" s="680">
        <v>0</v>
      </c>
      <c r="O29" s="681"/>
      <c r="P29" s="682"/>
      <c r="Q29" s="683"/>
      <c r="R29" s="684"/>
      <c r="S29" s="170"/>
    </row>
    <row r="30" spans="1:19" s="171" customFormat="1" ht="112.65" customHeight="1">
      <c r="A30" s="268" t="s">
        <v>4</v>
      </c>
      <c r="B30" s="270" t="s">
        <v>36</v>
      </c>
      <c r="C30" s="180">
        <v>2</v>
      </c>
      <c r="D30" s="181" t="s">
        <v>42</v>
      </c>
      <c r="E30" s="182" t="s">
        <v>38</v>
      </c>
      <c r="F30" s="183" t="s">
        <v>39</v>
      </c>
      <c r="G30" s="294" t="s">
        <v>43</v>
      </c>
      <c r="H30" s="344">
        <v>0</v>
      </c>
      <c r="I30" s="280">
        <v>45839</v>
      </c>
      <c r="J30" s="661">
        <f>IF(H30=0,0,IF(H30="-","-",ROUND(H30/12,2)))</f>
        <v>0</v>
      </c>
      <c r="K30" s="863">
        <v>1</v>
      </c>
      <c r="L30" s="663">
        <f>IF(J30=0,0,IF(J30="-","-",ROUND(J30/12,2)))</f>
        <v>0</v>
      </c>
      <c r="M30" s="662">
        <f>Table1[[#This Row],[Result]]+M21</f>
        <v>2</v>
      </c>
      <c r="N30" s="664">
        <v>0</v>
      </c>
      <c r="O30" s="701" t="s">
        <v>58</v>
      </c>
      <c r="P30" s="702" t="s">
        <v>59</v>
      </c>
      <c r="Q30" s="667">
        <v>3</v>
      </c>
      <c r="R30" s="668" t="s">
        <v>60</v>
      </c>
      <c r="S30" s="170"/>
    </row>
    <row r="31" spans="1:19" s="171" customFormat="1">
      <c r="A31" s="268" t="s">
        <v>4</v>
      </c>
      <c r="B31" s="270" t="s">
        <v>36</v>
      </c>
      <c r="C31" s="180">
        <v>3</v>
      </c>
      <c r="D31" s="181" t="s">
        <v>44</v>
      </c>
      <c r="E31" s="182" t="s">
        <v>38</v>
      </c>
      <c r="F31" s="183" t="s">
        <v>39</v>
      </c>
      <c r="G31" s="294" t="s">
        <v>40</v>
      </c>
      <c r="H31" s="344">
        <v>4</v>
      </c>
      <c r="I31" s="280">
        <v>45839</v>
      </c>
      <c r="J31" s="661">
        <v>0</v>
      </c>
      <c r="K31" s="662">
        <v>0</v>
      </c>
      <c r="L31" s="663">
        <v>1</v>
      </c>
      <c r="M31" s="662">
        <f>Table1[[#This Row],[Result]]+M22</f>
        <v>0</v>
      </c>
      <c r="N31" s="664">
        <v>0</v>
      </c>
      <c r="O31" s="665"/>
      <c r="P31" s="666"/>
      <c r="Q31" s="667"/>
      <c r="R31" s="668"/>
      <c r="S31" s="170"/>
    </row>
    <row r="32" spans="1:19" s="171" customFormat="1" ht="34.799999999999997">
      <c r="A32" s="268" t="s">
        <v>4</v>
      </c>
      <c r="B32" s="277" t="s">
        <v>36</v>
      </c>
      <c r="C32" s="190">
        <v>4</v>
      </c>
      <c r="D32" s="226" t="s">
        <v>45</v>
      </c>
      <c r="E32" s="192" t="s">
        <v>38</v>
      </c>
      <c r="F32" s="193" t="s">
        <v>39</v>
      </c>
      <c r="G32" s="295" t="s">
        <v>40</v>
      </c>
      <c r="H32" s="345">
        <v>4</v>
      </c>
      <c r="I32" s="280">
        <v>45839</v>
      </c>
      <c r="J32" s="669" t="s">
        <v>41</v>
      </c>
      <c r="K32" s="670" t="s">
        <v>41</v>
      </c>
      <c r="L32" s="671" t="s">
        <v>41</v>
      </c>
      <c r="M32" s="670" t="str">
        <f>K32</f>
        <v>-</v>
      </c>
      <c r="N32" s="672" t="s">
        <v>57</v>
      </c>
      <c r="O32" s="673"/>
      <c r="P32" s="674"/>
      <c r="Q32" s="675"/>
      <c r="R32" s="676"/>
      <c r="S32" s="170"/>
    </row>
    <row r="33" spans="1:19" s="171" customFormat="1">
      <c r="A33" s="268" t="s">
        <v>4</v>
      </c>
      <c r="B33" s="271" t="s">
        <v>46</v>
      </c>
      <c r="C33" s="194">
        <v>5</v>
      </c>
      <c r="D33" s="195" t="s">
        <v>47</v>
      </c>
      <c r="E33" s="196" t="s">
        <v>38</v>
      </c>
      <c r="F33" s="197" t="s">
        <v>48</v>
      </c>
      <c r="G33" s="296" t="s">
        <v>49</v>
      </c>
      <c r="H33" s="352">
        <v>0</v>
      </c>
      <c r="I33" s="280">
        <v>45839</v>
      </c>
      <c r="J33" s="677">
        <f>IF(H33=0,0,IF(H33="-","-",ROUND(H33/12,2)))</f>
        <v>0</v>
      </c>
      <c r="K33" s="678">
        <v>0</v>
      </c>
      <c r="L33" s="679">
        <f>IF(J33=0,0,IF(J33="-","-",ROUND(J33/12,2)))</f>
        <v>0</v>
      </c>
      <c r="M33" s="678">
        <f>M24+Table1[[#This Row],[Result]]</f>
        <v>0</v>
      </c>
      <c r="N33" s="680">
        <v>0</v>
      </c>
      <c r="O33" s="681"/>
      <c r="P33" s="682"/>
      <c r="Q33" s="683"/>
      <c r="R33" s="684"/>
      <c r="S33" s="170"/>
    </row>
    <row r="34" spans="1:19" s="171" customFormat="1" ht="243.6">
      <c r="A34" s="268" t="s">
        <v>4</v>
      </c>
      <c r="B34" s="270" t="s">
        <v>46</v>
      </c>
      <c r="C34" s="180">
        <v>6</v>
      </c>
      <c r="D34" s="181" t="s">
        <v>50</v>
      </c>
      <c r="E34" s="182" t="s">
        <v>38</v>
      </c>
      <c r="F34" s="183" t="s">
        <v>48</v>
      </c>
      <c r="G34" s="294" t="s">
        <v>49</v>
      </c>
      <c r="H34" s="344">
        <v>0</v>
      </c>
      <c r="I34" s="280">
        <v>45839</v>
      </c>
      <c r="J34" s="661">
        <f>IF(H34=0,0,IF(H34="-","-",ROUND(H34/12,2)))</f>
        <v>0</v>
      </c>
      <c r="K34" s="864">
        <v>1</v>
      </c>
      <c r="L34" s="663">
        <f>L25+Table1[[#This Row],[Target]]</f>
        <v>0</v>
      </c>
      <c r="M34" s="662">
        <f>M25+Table1[[#This Row],[Result]]</f>
        <v>1</v>
      </c>
      <c r="N34" s="664">
        <v>0</v>
      </c>
      <c r="O34" s="701" t="s">
        <v>61</v>
      </c>
      <c r="P34" s="702" t="s">
        <v>62</v>
      </c>
      <c r="Q34" s="667">
        <v>1</v>
      </c>
      <c r="R34" s="668" t="s">
        <v>63</v>
      </c>
      <c r="S34" s="170"/>
    </row>
    <row r="35" spans="1:19" s="171" customFormat="1" ht="34.799999999999997">
      <c r="A35" s="268" t="s">
        <v>4</v>
      </c>
      <c r="B35" s="270" t="s">
        <v>46</v>
      </c>
      <c r="C35" s="180">
        <v>7</v>
      </c>
      <c r="D35" s="181" t="s">
        <v>51</v>
      </c>
      <c r="E35" s="182" t="s">
        <v>38</v>
      </c>
      <c r="F35" s="183" t="s">
        <v>48</v>
      </c>
      <c r="G35" s="294" t="s">
        <v>49</v>
      </c>
      <c r="H35" s="344">
        <v>0</v>
      </c>
      <c r="I35" s="280">
        <v>45839</v>
      </c>
      <c r="J35" s="661">
        <f>IF(H35=0,0,IF(H35="-","-",ROUND(H35/12,2)))</f>
        <v>0</v>
      </c>
      <c r="K35" s="662">
        <v>0</v>
      </c>
      <c r="L35" s="663">
        <f>IF(J35=0,0,IF(J35="-","-",ROUND(J35/12,2)))</f>
        <v>0</v>
      </c>
      <c r="M35" s="662">
        <f>M26+Table1[[#This Row],[Result]]</f>
        <v>0</v>
      </c>
      <c r="N35" s="664">
        <v>0</v>
      </c>
      <c r="O35" s="665"/>
      <c r="P35" s="666"/>
      <c r="Q35" s="667"/>
      <c r="R35" s="668"/>
      <c r="S35" s="170"/>
    </row>
    <row r="36" spans="1:19" s="171" customFormat="1">
      <c r="A36" s="268" t="s">
        <v>4</v>
      </c>
      <c r="B36" s="270" t="s">
        <v>46</v>
      </c>
      <c r="C36" s="180">
        <v>8</v>
      </c>
      <c r="D36" s="181" t="s">
        <v>52</v>
      </c>
      <c r="E36" s="182" t="s">
        <v>38</v>
      </c>
      <c r="F36" s="183" t="s">
        <v>48</v>
      </c>
      <c r="G36" s="294" t="s">
        <v>49</v>
      </c>
      <c r="H36" s="344">
        <v>0</v>
      </c>
      <c r="I36" s="280">
        <v>45839</v>
      </c>
      <c r="J36" s="661">
        <f>IF(H36=0,0,IF(H36="-","-",ROUND(H36/12,2)))</f>
        <v>0</v>
      </c>
      <c r="K36" s="662">
        <v>0</v>
      </c>
      <c r="L36" s="663">
        <f>IF(J36=0,0,IF(J36="-","-",ROUND(J36/12,2)))</f>
        <v>0</v>
      </c>
      <c r="M36" s="662">
        <f>M27+Table1[[#This Row],[Result]]</f>
        <v>0</v>
      </c>
      <c r="N36" s="664">
        <v>0</v>
      </c>
      <c r="O36" s="665"/>
      <c r="P36" s="666"/>
      <c r="Q36" s="667"/>
      <c r="R36" s="668"/>
      <c r="S36" s="170"/>
    </row>
    <row r="37" spans="1:19" s="171" customFormat="1">
      <c r="A37" s="273" t="s">
        <v>4</v>
      </c>
      <c r="B37" s="274" t="s">
        <v>46</v>
      </c>
      <c r="C37" s="198">
        <v>9</v>
      </c>
      <c r="D37" s="199" t="s">
        <v>53</v>
      </c>
      <c r="E37" s="200" t="s">
        <v>38</v>
      </c>
      <c r="F37" s="201" t="s">
        <v>48</v>
      </c>
      <c r="G37" s="297" t="s">
        <v>49</v>
      </c>
      <c r="H37" s="353">
        <v>0</v>
      </c>
      <c r="I37" s="289">
        <v>45839</v>
      </c>
      <c r="J37" s="685">
        <v>0</v>
      </c>
      <c r="K37" s="686">
        <v>0</v>
      </c>
      <c r="L37" s="687">
        <v>1</v>
      </c>
      <c r="M37" s="686">
        <f>M28+Table1[[#This Row],[Result]]</f>
        <v>1</v>
      </c>
      <c r="N37" s="688">
        <v>0</v>
      </c>
      <c r="O37" s="689"/>
      <c r="P37" s="690"/>
      <c r="Q37" s="691"/>
      <c r="R37" s="692"/>
      <c r="S37" s="170"/>
    </row>
    <row r="38" spans="1:19" s="171" customFormat="1">
      <c r="A38" s="291" t="s">
        <v>4</v>
      </c>
      <c r="B38" s="271" t="s">
        <v>36</v>
      </c>
      <c r="C38" s="222">
        <v>1</v>
      </c>
      <c r="D38" s="223" t="s">
        <v>37</v>
      </c>
      <c r="E38" s="224" t="s">
        <v>38</v>
      </c>
      <c r="F38" s="225" t="s">
        <v>39</v>
      </c>
      <c r="G38" s="298" t="s">
        <v>40</v>
      </c>
      <c r="H38" s="348">
        <v>0</v>
      </c>
      <c r="I38" s="278">
        <v>45870</v>
      </c>
      <c r="J38" s="693">
        <f>IF(H38=0,0,IF(H38="-","-",ROUND(H38/12,2)))</f>
        <v>0</v>
      </c>
      <c r="K38" s="694">
        <v>0</v>
      </c>
      <c r="L38" s="695">
        <f>IF(J38=0,0,IF(J38="-","-",ROUND(J38/12,2)))</f>
        <v>0</v>
      </c>
      <c r="M38" s="694">
        <f t="shared" si="0"/>
        <v>0</v>
      </c>
      <c r="N38" s="696">
        <v>0</v>
      </c>
      <c r="O38" s="697"/>
      <c r="P38" s="698"/>
      <c r="Q38" s="699"/>
      <c r="R38" s="700"/>
      <c r="S38" s="170"/>
    </row>
    <row r="39" spans="1:19" s="171" customFormat="1" ht="139.19999999999999">
      <c r="A39" s="268" t="s">
        <v>4</v>
      </c>
      <c r="B39" s="270" t="s">
        <v>36</v>
      </c>
      <c r="C39" s="180">
        <v>2</v>
      </c>
      <c r="D39" s="181" t="s">
        <v>42</v>
      </c>
      <c r="E39" s="182" t="s">
        <v>38</v>
      </c>
      <c r="F39" s="183" t="s">
        <v>39</v>
      </c>
      <c r="G39" s="294" t="s">
        <v>43</v>
      </c>
      <c r="H39" s="344">
        <v>0</v>
      </c>
      <c r="I39" s="280">
        <v>45870</v>
      </c>
      <c r="J39" s="661">
        <f>IF(H39=0,0,IF(H39="-","-",ROUND(H39/12,2)))</f>
        <v>0</v>
      </c>
      <c r="K39" s="863">
        <v>1</v>
      </c>
      <c r="L39" s="663">
        <f>IF(J39=0,0,IF(J39="-","-",ROUND(J39/12,2)))</f>
        <v>0</v>
      </c>
      <c r="M39" s="662">
        <f>Table1[[#This Row],[Result]]+M30</f>
        <v>3</v>
      </c>
      <c r="N39" s="664">
        <v>0</v>
      </c>
      <c r="O39" s="701" t="s">
        <v>64</v>
      </c>
      <c r="P39" s="702" t="s">
        <v>65</v>
      </c>
      <c r="Q39" s="667">
        <v>3</v>
      </c>
      <c r="R39" s="668" t="s">
        <v>60</v>
      </c>
      <c r="S39" s="170"/>
    </row>
    <row r="40" spans="1:19" s="171" customFormat="1">
      <c r="A40" s="268" t="s">
        <v>4</v>
      </c>
      <c r="B40" s="270" t="s">
        <v>36</v>
      </c>
      <c r="C40" s="180">
        <v>3</v>
      </c>
      <c r="D40" s="181" t="s">
        <v>44</v>
      </c>
      <c r="E40" s="182" t="s">
        <v>38</v>
      </c>
      <c r="F40" s="183" t="s">
        <v>39</v>
      </c>
      <c r="G40" s="294" t="s">
        <v>40</v>
      </c>
      <c r="H40" s="344">
        <v>4</v>
      </c>
      <c r="I40" s="280">
        <v>45870</v>
      </c>
      <c r="J40" s="661">
        <v>0</v>
      </c>
      <c r="K40" s="662">
        <v>0</v>
      </c>
      <c r="L40" s="663">
        <v>1</v>
      </c>
      <c r="M40" s="662">
        <f>Table1[[#This Row],[Result]]+M31</f>
        <v>0</v>
      </c>
      <c r="N40" s="664">
        <v>1</v>
      </c>
      <c r="O40" s="665"/>
      <c r="P40" s="666"/>
      <c r="Q40" s="667"/>
      <c r="R40" s="668"/>
      <c r="S40" s="170"/>
    </row>
    <row r="41" spans="1:19" s="171" customFormat="1" ht="34.799999999999997">
      <c r="A41" s="268" t="s">
        <v>4</v>
      </c>
      <c r="B41" s="277" t="s">
        <v>36</v>
      </c>
      <c r="C41" s="190">
        <v>4</v>
      </c>
      <c r="D41" s="226" t="s">
        <v>45</v>
      </c>
      <c r="E41" s="192" t="s">
        <v>38</v>
      </c>
      <c r="F41" s="193" t="s">
        <v>39</v>
      </c>
      <c r="G41" s="295" t="s">
        <v>40</v>
      </c>
      <c r="H41" s="345">
        <v>4</v>
      </c>
      <c r="I41" s="280">
        <v>45870</v>
      </c>
      <c r="J41" s="669" t="s">
        <v>41</v>
      </c>
      <c r="K41" s="670" t="s">
        <v>41</v>
      </c>
      <c r="L41" s="671" t="s">
        <v>41</v>
      </c>
      <c r="M41" s="670" t="str">
        <f>K41</f>
        <v>-</v>
      </c>
      <c r="N41" s="672" t="s">
        <v>57</v>
      </c>
      <c r="O41" s="673"/>
      <c r="P41" s="674"/>
      <c r="Q41" s="675"/>
      <c r="R41" s="676"/>
      <c r="S41" s="170"/>
    </row>
    <row r="42" spans="1:19" s="171" customFormat="1">
      <c r="A42" s="268" t="s">
        <v>4</v>
      </c>
      <c r="B42" s="271" t="s">
        <v>46</v>
      </c>
      <c r="C42" s="194">
        <v>5</v>
      </c>
      <c r="D42" s="195" t="s">
        <v>47</v>
      </c>
      <c r="E42" s="196" t="s">
        <v>38</v>
      </c>
      <c r="F42" s="197" t="s">
        <v>48</v>
      </c>
      <c r="G42" s="296" t="s">
        <v>49</v>
      </c>
      <c r="H42" s="352">
        <v>0</v>
      </c>
      <c r="I42" s="280">
        <v>45870</v>
      </c>
      <c r="J42" s="677">
        <f t="shared" ref="J42:J48" si="1">IF(H42=0,0,IF(H42="-","-",ROUND(H42/12,2)))</f>
        <v>0</v>
      </c>
      <c r="K42" s="678">
        <v>0</v>
      </c>
      <c r="L42" s="679">
        <f>IF(J42=0,0,IF(J42="-","-",ROUND(J42/12,2)))</f>
        <v>0</v>
      </c>
      <c r="M42" s="678">
        <f>M33+Table1[[#This Row],[Result]]</f>
        <v>0</v>
      </c>
      <c r="N42" s="680">
        <v>0</v>
      </c>
      <c r="O42" s="681"/>
      <c r="P42" s="682"/>
      <c r="Q42" s="683"/>
      <c r="R42" s="684"/>
      <c r="S42" s="170"/>
    </row>
    <row r="43" spans="1:19" s="171" customFormat="1">
      <c r="A43" s="268" t="s">
        <v>4</v>
      </c>
      <c r="B43" s="270" t="s">
        <v>46</v>
      </c>
      <c r="C43" s="180">
        <v>6</v>
      </c>
      <c r="D43" s="181" t="s">
        <v>50</v>
      </c>
      <c r="E43" s="182" t="s">
        <v>38</v>
      </c>
      <c r="F43" s="183" t="s">
        <v>48</v>
      </c>
      <c r="G43" s="294" t="s">
        <v>49</v>
      </c>
      <c r="H43" s="344">
        <v>0</v>
      </c>
      <c r="I43" s="280">
        <v>45870</v>
      </c>
      <c r="J43" s="661">
        <f t="shared" si="1"/>
        <v>0</v>
      </c>
      <c r="K43" s="662">
        <v>0</v>
      </c>
      <c r="L43" s="663">
        <f>L34+Table1[[#This Row],[Target]]</f>
        <v>0</v>
      </c>
      <c r="M43" s="662">
        <f>M34+Table1[[#This Row],[Result]]</f>
        <v>1</v>
      </c>
      <c r="N43" s="664">
        <v>1</v>
      </c>
      <c r="O43" s="665"/>
      <c r="P43" s="666"/>
      <c r="Q43" s="667"/>
      <c r="R43" s="668"/>
      <c r="S43" s="170"/>
    </row>
    <row r="44" spans="1:19" s="171" customFormat="1" ht="34.799999999999997">
      <c r="A44" s="268" t="s">
        <v>4</v>
      </c>
      <c r="B44" s="270" t="s">
        <v>46</v>
      </c>
      <c r="C44" s="180">
        <v>7</v>
      </c>
      <c r="D44" s="181" t="s">
        <v>51</v>
      </c>
      <c r="E44" s="182" t="s">
        <v>38</v>
      </c>
      <c r="F44" s="183" t="s">
        <v>48</v>
      </c>
      <c r="G44" s="294" t="s">
        <v>49</v>
      </c>
      <c r="H44" s="344">
        <v>0</v>
      </c>
      <c r="I44" s="280">
        <v>45870</v>
      </c>
      <c r="J44" s="661">
        <f t="shared" si="1"/>
        <v>0</v>
      </c>
      <c r="K44" s="662">
        <v>0</v>
      </c>
      <c r="L44" s="663">
        <f>IF(J44=0,0,IF(J44="-","-",ROUND(J44/12,2)))</f>
        <v>0</v>
      </c>
      <c r="M44" s="662">
        <f>M35+Table1[[#This Row],[Result]]</f>
        <v>0</v>
      </c>
      <c r="N44" s="664">
        <v>0</v>
      </c>
      <c r="O44" s="665"/>
      <c r="P44" s="666"/>
      <c r="Q44" s="667"/>
      <c r="R44" s="668"/>
      <c r="S44" s="170"/>
    </row>
    <row r="45" spans="1:19" s="171" customFormat="1">
      <c r="A45" s="268" t="s">
        <v>4</v>
      </c>
      <c r="B45" s="270" t="s">
        <v>46</v>
      </c>
      <c r="C45" s="180">
        <v>8</v>
      </c>
      <c r="D45" s="181" t="s">
        <v>52</v>
      </c>
      <c r="E45" s="182" t="s">
        <v>38</v>
      </c>
      <c r="F45" s="183" t="s">
        <v>48</v>
      </c>
      <c r="G45" s="294" t="s">
        <v>49</v>
      </c>
      <c r="H45" s="344">
        <v>0</v>
      </c>
      <c r="I45" s="280">
        <v>45870</v>
      </c>
      <c r="J45" s="661">
        <f t="shared" si="1"/>
        <v>0</v>
      </c>
      <c r="K45" s="662">
        <v>0</v>
      </c>
      <c r="L45" s="663">
        <f>IF(J45=0,0,IF(J45="-","-",ROUND(J45/12,2)))</f>
        <v>0</v>
      </c>
      <c r="M45" s="662">
        <f>M36+Table1[[#This Row],[Result]]</f>
        <v>0</v>
      </c>
      <c r="N45" s="664">
        <v>0</v>
      </c>
      <c r="O45" s="665"/>
      <c r="P45" s="666"/>
      <c r="Q45" s="667"/>
      <c r="R45" s="668"/>
      <c r="S45" s="170"/>
    </row>
    <row r="46" spans="1:19" s="171" customFormat="1">
      <c r="A46" s="273" t="s">
        <v>4</v>
      </c>
      <c r="B46" s="274" t="s">
        <v>46</v>
      </c>
      <c r="C46" s="198">
        <v>9</v>
      </c>
      <c r="D46" s="199" t="s">
        <v>53</v>
      </c>
      <c r="E46" s="200" t="s">
        <v>38</v>
      </c>
      <c r="F46" s="201" t="s">
        <v>48</v>
      </c>
      <c r="G46" s="297" t="s">
        <v>49</v>
      </c>
      <c r="H46" s="353">
        <v>0</v>
      </c>
      <c r="I46" s="289">
        <v>45870</v>
      </c>
      <c r="J46" s="685">
        <f t="shared" si="1"/>
        <v>0</v>
      </c>
      <c r="K46" s="686">
        <v>0</v>
      </c>
      <c r="L46" s="687">
        <v>1</v>
      </c>
      <c r="M46" s="686">
        <f>M37+Table1[[#This Row],[Result]]</f>
        <v>1</v>
      </c>
      <c r="N46" s="688">
        <v>1</v>
      </c>
      <c r="O46" s="689"/>
      <c r="P46" s="690"/>
      <c r="Q46" s="691"/>
      <c r="R46" s="692"/>
      <c r="S46" s="170"/>
    </row>
    <row r="47" spans="1:19" s="171" customFormat="1">
      <c r="A47" s="291" t="s">
        <v>4</v>
      </c>
      <c r="B47" s="271" t="s">
        <v>36</v>
      </c>
      <c r="C47" s="222">
        <v>1</v>
      </c>
      <c r="D47" s="223" t="s">
        <v>37</v>
      </c>
      <c r="E47" s="224" t="s">
        <v>38</v>
      </c>
      <c r="F47" s="225" t="s">
        <v>39</v>
      </c>
      <c r="G47" s="298" t="s">
        <v>40</v>
      </c>
      <c r="H47" s="348">
        <v>0</v>
      </c>
      <c r="I47" s="278">
        <v>45901</v>
      </c>
      <c r="J47" s="693">
        <f t="shared" si="1"/>
        <v>0</v>
      </c>
      <c r="K47" s="694">
        <v>0</v>
      </c>
      <c r="L47" s="695">
        <f>IF(J47=0,0,IF(J47="-","-",ROUND(J47/12,2)))</f>
        <v>0</v>
      </c>
      <c r="M47" s="694">
        <f t="shared" si="0"/>
        <v>0</v>
      </c>
      <c r="N47" s="696">
        <v>0</v>
      </c>
      <c r="O47" s="697" t="s">
        <v>41</v>
      </c>
      <c r="P47" s="698" t="s">
        <v>41</v>
      </c>
      <c r="Q47" s="699" t="s">
        <v>41</v>
      </c>
      <c r="R47" s="700" t="s">
        <v>41</v>
      </c>
      <c r="S47" s="170"/>
    </row>
    <row r="48" spans="1:19" s="171" customFormat="1">
      <c r="A48" s="268" t="s">
        <v>4</v>
      </c>
      <c r="B48" s="270" t="s">
        <v>36</v>
      </c>
      <c r="C48" s="180">
        <v>2</v>
      </c>
      <c r="D48" s="181" t="s">
        <v>42</v>
      </c>
      <c r="E48" s="182" t="s">
        <v>38</v>
      </c>
      <c r="F48" s="183" t="s">
        <v>39</v>
      </c>
      <c r="G48" s="294" t="s">
        <v>43</v>
      </c>
      <c r="H48" s="344">
        <v>0</v>
      </c>
      <c r="I48" s="280">
        <v>45901</v>
      </c>
      <c r="J48" s="661">
        <f t="shared" si="1"/>
        <v>0</v>
      </c>
      <c r="K48" s="662">
        <v>0</v>
      </c>
      <c r="L48" s="663">
        <f>IF(J48=0,0,IF(J48="-","-",ROUND(J48/12,2)))</f>
        <v>0</v>
      </c>
      <c r="M48" s="662">
        <f>Table1[[#This Row],[Result]]+M39</f>
        <v>3</v>
      </c>
      <c r="N48" s="664">
        <v>0</v>
      </c>
      <c r="O48" s="665" t="s">
        <v>41</v>
      </c>
      <c r="P48" s="666" t="s">
        <v>41</v>
      </c>
      <c r="Q48" s="667" t="s">
        <v>41</v>
      </c>
      <c r="R48" s="668" t="s">
        <v>41</v>
      </c>
      <c r="S48" s="170"/>
    </row>
    <row r="49" spans="1:19" s="171" customFormat="1" ht="156.6">
      <c r="A49" s="268" t="s">
        <v>4</v>
      </c>
      <c r="B49" s="270" t="s">
        <v>36</v>
      </c>
      <c r="C49" s="180">
        <v>3</v>
      </c>
      <c r="D49" s="181" t="s">
        <v>44</v>
      </c>
      <c r="E49" s="182" t="s">
        <v>38</v>
      </c>
      <c r="F49" s="183" t="s">
        <v>39</v>
      </c>
      <c r="G49" s="294" t="s">
        <v>40</v>
      </c>
      <c r="H49" s="344">
        <v>4</v>
      </c>
      <c r="I49" s="280">
        <v>45901</v>
      </c>
      <c r="J49" s="661">
        <v>1</v>
      </c>
      <c r="K49" s="863">
        <v>1</v>
      </c>
      <c r="L49" s="663">
        <v>2</v>
      </c>
      <c r="M49" s="662">
        <f>Table1[[#This Row],[Result]]+M40</f>
        <v>1</v>
      </c>
      <c r="N49" s="664">
        <v>0</v>
      </c>
      <c r="O49" s="701" t="s">
        <v>66</v>
      </c>
      <c r="P49" s="702" t="s">
        <v>67</v>
      </c>
      <c r="Q49" s="667">
        <v>0</v>
      </c>
      <c r="R49" s="668" t="s">
        <v>68</v>
      </c>
      <c r="S49" s="170"/>
    </row>
    <row r="50" spans="1:19" s="171" customFormat="1" ht="34.799999999999997">
      <c r="A50" s="268" t="s">
        <v>4</v>
      </c>
      <c r="B50" s="277" t="s">
        <v>36</v>
      </c>
      <c r="C50" s="190">
        <v>4</v>
      </c>
      <c r="D50" s="226" t="s">
        <v>45</v>
      </c>
      <c r="E50" s="192" t="s">
        <v>38</v>
      </c>
      <c r="F50" s="193" t="s">
        <v>39</v>
      </c>
      <c r="G50" s="295" t="s">
        <v>40</v>
      </c>
      <c r="H50" s="345">
        <v>4</v>
      </c>
      <c r="I50" s="280">
        <v>45901</v>
      </c>
      <c r="J50" s="669" t="s">
        <v>41</v>
      </c>
      <c r="K50" s="670" t="s">
        <v>41</v>
      </c>
      <c r="L50" s="671" t="s">
        <v>41</v>
      </c>
      <c r="M50" s="670" t="str">
        <f>K50</f>
        <v>-</v>
      </c>
      <c r="N50" s="672" t="s">
        <v>57</v>
      </c>
      <c r="O50" s="673" t="s">
        <v>41</v>
      </c>
      <c r="P50" s="674" t="s">
        <v>41</v>
      </c>
      <c r="Q50" s="675" t="s">
        <v>41</v>
      </c>
      <c r="R50" s="676" t="s">
        <v>41</v>
      </c>
      <c r="S50" s="170"/>
    </row>
    <row r="51" spans="1:19" s="171" customFormat="1">
      <c r="A51" s="268" t="s">
        <v>4</v>
      </c>
      <c r="B51" s="271" t="s">
        <v>46</v>
      </c>
      <c r="C51" s="194">
        <v>5</v>
      </c>
      <c r="D51" s="195" t="s">
        <v>47</v>
      </c>
      <c r="E51" s="196" t="s">
        <v>38</v>
      </c>
      <c r="F51" s="197" t="s">
        <v>48</v>
      </c>
      <c r="G51" s="296" t="s">
        <v>49</v>
      </c>
      <c r="H51" s="352">
        <v>0</v>
      </c>
      <c r="I51" s="280">
        <v>45901</v>
      </c>
      <c r="J51" s="677">
        <f t="shared" ref="J51:J57" si="2">IF(H51=0,0,IF(H51="-","-",ROUND(H51/12,2)))</f>
        <v>0</v>
      </c>
      <c r="K51" s="678">
        <v>0</v>
      </c>
      <c r="L51" s="679">
        <f>IF(J51=0,0,IF(J51="-","-",ROUND(J51/12,2)))</f>
        <v>0</v>
      </c>
      <c r="M51" s="678">
        <f>M42+Table1[[#This Row],[Result]]</f>
        <v>0</v>
      </c>
      <c r="N51" s="680">
        <v>0</v>
      </c>
      <c r="O51" s="681" t="s">
        <v>41</v>
      </c>
      <c r="P51" s="682" t="s">
        <v>41</v>
      </c>
      <c r="Q51" s="683" t="s">
        <v>41</v>
      </c>
      <c r="R51" s="684" t="s">
        <v>41</v>
      </c>
      <c r="S51" s="170"/>
    </row>
    <row r="52" spans="1:19" s="171" customFormat="1">
      <c r="A52" s="268" t="s">
        <v>4</v>
      </c>
      <c r="B52" s="270" t="s">
        <v>46</v>
      </c>
      <c r="C52" s="180">
        <v>6</v>
      </c>
      <c r="D52" s="181" t="s">
        <v>50</v>
      </c>
      <c r="E52" s="182" t="s">
        <v>38</v>
      </c>
      <c r="F52" s="183" t="s">
        <v>48</v>
      </c>
      <c r="G52" s="294" t="s">
        <v>49</v>
      </c>
      <c r="H52" s="344">
        <v>0</v>
      </c>
      <c r="I52" s="280">
        <v>45901</v>
      </c>
      <c r="J52" s="661">
        <f t="shared" si="2"/>
        <v>0</v>
      </c>
      <c r="K52" s="662">
        <v>0</v>
      </c>
      <c r="L52" s="663">
        <f>L43+Table1[[#This Row],[Target]]</f>
        <v>0</v>
      </c>
      <c r="M52" s="662">
        <f>M43+Table1[[#This Row],[Result]]</f>
        <v>1</v>
      </c>
      <c r="N52" s="664">
        <v>1</v>
      </c>
      <c r="O52" s="665" t="s">
        <v>41</v>
      </c>
      <c r="P52" s="666" t="s">
        <v>41</v>
      </c>
      <c r="Q52" s="667" t="s">
        <v>41</v>
      </c>
      <c r="R52" s="668" t="s">
        <v>41</v>
      </c>
      <c r="S52" s="170"/>
    </row>
    <row r="53" spans="1:19" s="171" customFormat="1" ht="34.799999999999997">
      <c r="A53" s="268" t="s">
        <v>4</v>
      </c>
      <c r="B53" s="270" t="s">
        <v>46</v>
      </c>
      <c r="C53" s="180">
        <v>7</v>
      </c>
      <c r="D53" s="181" t="s">
        <v>51</v>
      </c>
      <c r="E53" s="182" t="s">
        <v>38</v>
      </c>
      <c r="F53" s="183" t="s">
        <v>48</v>
      </c>
      <c r="G53" s="294" t="s">
        <v>49</v>
      </c>
      <c r="H53" s="344">
        <v>0</v>
      </c>
      <c r="I53" s="280">
        <v>45901</v>
      </c>
      <c r="J53" s="661">
        <f t="shared" si="2"/>
        <v>0</v>
      </c>
      <c r="K53" s="662">
        <v>0</v>
      </c>
      <c r="L53" s="663">
        <f>IF(J53=0,0,IF(J53="-","-",ROUND(J53/12,2)))</f>
        <v>0</v>
      </c>
      <c r="M53" s="662">
        <f>M44+Table1[[#This Row],[Result]]</f>
        <v>0</v>
      </c>
      <c r="N53" s="664">
        <v>0</v>
      </c>
      <c r="O53" s="665" t="s">
        <v>41</v>
      </c>
      <c r="P53" s="666" t="s">
        <v>41</v>
      </c>
      <c r="Q53" s="667" t="s">
        <v>41</v>
      </c>
      <c r="R53" s="668" t="s">
        <v>41</v>
      </c>
      <c r="S53" s="170"/>
    </row>
    <row r="54" spans="1:19" s="171" customFormat="1">
      <c r="A54" s="268" t="s">
        <v>4</v>
      </c>
      <c r="B54" s="270" t="s">
        <v>46</v>
      </c>
      <c r="C54" s="180">
        <v>8</v>
      </c>
      <c r="D54" s="181" t="s">
        <v>52</v>
      </c>
      <c r="E54" s="182" t="s">
        <v>38</v>
      </c>
      <c r="F54" s="183" t="s">
        <v>48</v>
      </c>
      <c r="G54" s="294" t="s">
        <v>49</v>
      </c>
      <c r="H54" s="344">
        <v>0</v>
      </c>
      <c r="I54" s="280">
        <v>45901</v>
      </c>
      <c r="J54" s="661">
        <f t="shared" si="2"/>
        <v>0</v>
      </c>
      <c r="K54" s="662">
        <v>0</v>
      </c>
      <c r="L54" s="663">
        <f>IF(J54=0,0,IF(J54="-","-",ROUND(J54/12,2)))</f>
        <v>0</v>
      </c>
      <c r="M54" s="662">
        <f>M45+Table1[[#This Row],[Result]]</f>
        <v>0</v>
      </c>
      <c r="N54" s="664">
        <v>0</v>
      </c>
      <c r="O54" s="665" t="s">
        <v>41</v>
      </c>
      <c r="P54" s="666" t="s">
        <v>41</v>
      </c>
      <c r="Q54" s="667" t="s">
        <v>41</v>
      </c>
      <c r="R54" s="668" t="s">
        <v>41</v>
      </c>
      <c r="S54" s="170"/>
    </row>
    <row r="55" spans="1:19" s="171" customFormat="1">
      <c r="A55" s="273" t="s">
        <v>4</v>
      </c>
      <c r="B55" s="274" t="s">
        <v>46</v>
      </c>
      <c r="C55" s="216">
        <v>9</v>
      </c>
      <c r="D55" s="217" t="s">
        <v>53</v>
      </c>
      <c r="E55" s="218" t="s">
        <v>38</v>
      </c>
      <c r="F55" s="219" t="s">
        <v>48</v>
      </c>
      <c r="G55" s="299" t="s">
        <v>49</v>
      </c>
      <c r="H55" s="354">
        <v>0</v>
      </c>
      <c r="I55" s="289">
        <v>45901</v>
      </c>
      <c r="J55" s="703">
        <f t="shared" si="2"/>
        <v>0</v>
      </c>
      <c r="K55" s="704">
        <v>0</v>
      </c>
      <c r="L55" s="705">
        <v>1</v>
      </c>
      <c r="M55" s="704">
        <f>M46+Table1[[#This Row],[Result]]</f>
        <v>1</v>
      </c>
      <c r="N55" s="706">
        <v>1</v>
      </c>
      <c r="O55" s="707" t="s">
        <v>41</v>
      </c>
      <c r="P55" s="708" t="s">
        <v>41</v>
      </c>
      <c r="Q55" s="709" t="s">
        <v>41</v>
      </c>
      <c r="R55" s="710" t="s">
        <v>41</v>
      </c>
      <c r="S55" s="170"/>
    </row>
    <row r="56" spans="1:19" s="171" customFormat="1">
      <c r="A56" s="291" t="s">
        <v>4</v>
      </c>
      <c r="B56" s="271" t="s">
        <v>36</v>
      </c>
      <c r="C56" s="222">
        <v>1</v>
      </c>
      <c r="D56" s="223" t="s">
        <v>37</v>
      </c>
      <c r="E56" s="224" t="s">
        <v>38</v>
      </c>
      <c r="F56" s="225" t="s">
        <v>39</v>
      </c>
      <c r="G56" s="298" t="s">
        <v>40</v>
      </c>
      <c r="H56" s="348">
        <v>0</v>
      </c>
      <c r="I56" s="278">
        <v>45931</v>
      </c>
      <c r="J56" s="693">
        <f t="shared" si="2"/>
        <v>0</v>
      </c>
      <c r="K56" s="694">
        <v>0</v>
      </c>
      <c r="L56" s="695">
        <f>IF(J56=0,0,IF(J56="-","-",ROUND(J56/12,2)))</f>
        <v>0</v>
      </c>
      <c r="M56" s="694">
        <f t="shared" si="0"/>
        <v>0</v>
      </c>
      <c r="N56" s="696">
        <v>1</v>
      </c>
      <c r="O56" s="697" t="s">
        <v>57</v>
      </c>
      <c r="P56" s="698" t="s">
        <v>57</v>
      </c>
      <c r="Q56" s="699" t="s">
        <v>57</v>
      </c>
      <c r="R56" s="700" t="s">
        <v>57</v>
      </c>
      <c r="S56" s="170"/>
    </row>
    <row r="57" spans="1:19" s="171" customFormat="1">
      <c r="A57" s="268" t="s">
        <v>4</v>
      </c>
      <c r="B57" s="270" t="s">
        <v>36</v>
      </c>
      <c r="C57" s="180">
        <v>2</v>
      </c>
      <c r="D57" s="181" t="s">
        <v>42</v>
      </c>
      <c r="E57" s="182" t="s">
        <v>38</v>
      </c>
      <c r="F57" s="183" t="s">
        <v>39</v>
      </c>
      <c r="G57" s="294" t="s">
        <v>43</v>
      </c>
      <c r="H57" s="344">
        <v>0</v>
      </c>
      <c r="I57" s="280">
        <v>45931</v>
      </c>
      <c r="J57" s="661">
        <f t="shared" si="2"/>
        <v>0</v>
      </c>
      <c r="K57" s="662">
        <v>0</v>
      </c>
      <c r="L57" s="663">
        <f>IF(J57=0,0,IF(J57="-","-",ROUND(J57/12,2)))</f>
        <v>0</v>
      </c>
      <c r="M57" s="662">
        <f>Table1[[#This Row],[Result]]+M48</f>
        <v>3</v>
      </c>
      <c r="N57" s="664">
        <v>0</v>
      </c>
      <c r="O57" s="665" t="s">
        <v>69</v>
      </c>
      <c r="P57" s="666" t="s">
        <v>57</v>
      </c>
      <c r="Q57" s="667" t="s">
        <v>57</v>
      </c>
      <c r="R57" s="668" t="s">
        <v>57</v>
      </c>
      <c r="S57" s="170"/>
    </row>
    <row r="58" spans="1:19" s="171" customFormat="1">
      <c r="A58" s="268" t="s">
        <v>4</v>
      </c>
      <c r="B58" s="270" t="s">
        <v>36</v>
      </c>
      <c r="C58" s="180">
        <v>3</v>
      </c>
      <c r="D58" s="181" t="s">
        <v>44</v>
      </c>
      <c r="E58" s="182" t="s">
        <v>38</v>
      </c>
      <c r="F58" s="183" t="s">
        <v>39</v>
      </c>
      <c r="G58" s="294" t="s">
        <v>40</v>
      </c>
      <c r="H58" s="344">
        <v>4</v>
      </c>
      <c r="I58" s="280">
        <v>45931</v>
      </c>
      <c r="J58" s="661">
        <v>0</v>
      </c>
      <c r="K58" s="662">
        <v>0</v>
      </c>
      <c r="L58" s="663">
        <v>2</v>
      </c>
      <c r="M58" s="662">
        <f>Table1[[#This Row],[Result]]+M49</f>
        <v>1</v>
      </c>
      <c r="N58" s="664">
        <v>0</v>
      </c>
      <c r="O58" s="665" t="s">
        <v>57</v>
      </c>
      <c r="P58" s="666" t="s">
        <v>57</v>
      </c>
      <c r="Q58" s="667" t="s">
        <v>57</v>
      </c>
      <c r="R58" s="668" t="s">
        <v>57</v>
      </c>
      <c r="S58" s="170"/>
    </row>
    <row r="59" spans="1:19" s="171" customFormat="1" ht="87">
      <c r="A59" s="268" t="s">
        <v>4</v>
      </c>
      <c r="B59" s="277" t="s">
        <v>36</v>
      </c>
      <c r="C59" s="190">
        <v>4</v>
      </c>
      <c r="D59" s="226" t="s">
        <v>45</v>
      </c>
      <c r="E59" s="192" t="s">
        <v>38</v>
      </c>
      <c r="F59" s="193" t="s">
        <v>39</v>
      </c>
      <c r="G59" s="295" t="s">
        <v>40</v>
      </c>
      <c r="H59" s="345">
        <v>4</v>
      </c>
      <c r="I59" s="280">
        <v>45931</v>
      </c>
      <c r="J59" s="669">
        <v>4</v>
      </c>
      <c r="K59" s="670">
        <v>5</v>
      </c>
      <c r="L59" s="671">
        <v>4</v>
      </c>
      <c r="M59" s="670">
        <v>5</v>
      </c>
      <c r="N59" s="672">
        <v>0</v>
      </c>
      <c r="O59" s="711" t="s">
        <v>70</v>
      </c>
      <c r="P59" s="712" t="s">
        <v>71</v>
      </c>
      <c r="Q59" s="675">
        <v>0</v>
      </c>
      <c r="R59" s="676" t="s">
        <v>72</v>
      </c>
      <c r="S59" s="170"/>
    </row>
    <row r="60" spans="1:19" s="171" customFormat="1">
      <c r="A60" s="268" t="s">
        <v>4</v>
      </c>
      <c r="B60" s="271" t="s">
        <v>46</v>
      </c>
      <c r="C60" s="194">
        <v>5</v>
      </c>
      <c r="D60" s="195" t="s">
        <v>47</v>
      </c>
      <c r="E60" s="196" t="s">
        <v>38</v>
      </c>
      <c r="F60" s="197" t="s">
        <v>48</v>
      </c>
      <c r="G60" s="296" t="s">
        <v>49</v>
      </c>
      <c r="H60" s="352">
        <v>0</v>
      </c>
      <c r="I60" s="280">
        <v>45931</v>
      </c>
      <c r="J60" s="677">
        <f>IF(H60=0,0,IF(H60="-","-",ROUND(H60/12,2)))</f>
        <v>0</v>
      </c>
      <c r="K60" s="678">
        <v>0</v>
      </c>
      <c r="L60" s="679">
        <f>IF(J60=0,0,IF(J60="-","-",ROUND(J60/12,2)))</f>
        <v>0</v>
      </c>
      <c r="M60" s="678">
        <f>M51+Table1[[#This Row],[Result]]</f>
        <v>0</v>
      </c>
      <c r="N60" s="680"/>
      <c r="O60" s="681"/>
      <c r="P60" s="682"/>
      <c r="Q60" s="683"/>
      <c r="R60" s="684"/>
      <c r="S60" s="170"/>
    </row>
    <row r="61" spans="1:19" s="171" customFormat="1">
      <c r="A61" s="268" t="s">
        <v>4</v>
      </c>
      <c r="B61" s="270" t="s">
        <v>46</v>
      </c>
      <c r="C61" s="180">
        <v>6</v>
      </c>
      <c r="D61" s="181" t="s">
        <v>50</v>
      </c>
      <c r="E61" s="182" t="s">
        <v>38</v>
      </c>
      <c r="F61" s="183" t="s">
        <v>48</v>
      </c>
      <c r="G61" s="294" t="s">
        <v>49</v>
      </c>
      <c r="H61" s="344">
        <v>0</v>
      </c>
      <c r="I61" s="280">
        <v>45931</v>
      </c>
      <c r="J61" s="661">
        <f>IF(H61=0,0,IF(H61="-","-",ROUND(H61/12,2)))</f>
        <v>0</v>
      </c>
      <c r="K61" s="662">
        <v>0</v>
      </c>
      <c r="L61" s="663">
        <f>L52+Table1[[#This Row],[Target]]</f>
        <v>0</v>
      </c>
      <c r="M61" s="662">
        <f>M52+Table1[[#This Row],[Result]]</f>
        <v>1</v>
      </c>
      <c r="N61" s="664"/>
      <c r="O61" s="665"/>
      <c r="P61" s="666"/>
      <c r="Q61" s="667"/>
      <c r="R61" s="668"/>
      <c r="S61" s="170"/>
    </row>
    <row r="62" spans="1:19" s="171" customFormat="1" ht="191.4">
      <c r="A62" s="268" t="s">
        <v>4</v>
      </c>
      <c r="B62" s="270" t="s">
        <v>46</v>
      </c>
      <c r="C62" s="180">
        <v>7</v>
      </c>
      <c r="D62" s="181" t="s">
        <v>51</v>
      </c>
      <c r="E62" s="182" t="s">
        <v>38</v>
      </c>
      <c r="F62" s="183" t="s">
        <v>48</v>
      </c>
      <c r="G62" s="294" t="s">
        <v>49</v>
      </c>
      <c r="H62" s="344">
        <v>0</v>
      </c>
      <c r="I62" s="280">
        <v>45931</v>
      </c>
      <c r="J62" s="661">
        <f>IF(H62=0,0,IF(H62="-","-",ROUND(H62/12,2)))</f>
        <v>0</v>
      </c>
      <c r="K62" s="864">
        <v>1</v>
      </c>
      <c r="L62" s="663">
        <f>IF(J62=0,0,IF(J62="-","-",ROUND(J62/12,2)))</f>
        <v>0</v>
      </c>
      <c r="M62" s="662">
        <f>M53+Table1[[#This Row],[Result]]</f>
        <v>1</v>
      </c>
      <c r="N62" s="664">
        <v>2</v>
      </c>
      <c r="O62" s="713" t="s">
        <v>73</v>
      </c>
      <c r="P62" s="702" t="s">
        <v>74</v>
      </c>
      <c r="Q62" s="667">
        <v>2</v>
      </c>
      <c r="R62" s="668" t="s">
        <v>75</v>
      </c>
      <c r="S62" s="170"/>
    </row>
    <row r="63" spans="1:19" s="171" customFormat="1">
      <c r="A63" s="268" t="s">
        <v>4</v>
      </c>
      <c r="B63" s="270" t="s">
        <v>46</v>
      </c>
      <c r="C63" s="180">
        <v>8</v>
      </c>
      <c r="D63" s="181" t="s">
        <v>52</v>
      </c>
      <c r="E63" s="182" t="s">
        <v>38</v>
      </c>
      <c r="F63" s="183" t="s">
        <v>48</v>
      </c>
      <c r="G63" s="294" t="s">
        <v>49</v>
      </c>
      <c r="H63" s="344">
        <v>0</v>
      </c>
      <c r="I63" s="280">
        <v>45931</v>
      </c>
      <c r="J63" s="661">
        <f>IF(H63=0,0,IF(H63="-","-",ROUND(H63/12,2)))</f>
        <v>0</v>
      </c>
      <c r="K63" s="662">
        <v>0</v>
      </c>
      <c r="L63" s="663">
        <f>IF(J63=0,0,IF(J63="-","-",ROUND(J63/12,2)))</f>
        <v>0</v>
      </c>
      <c r="M63" s="662">
        <f>M54+Table1[[#This Row],[Result]]</f>
        <v>0</v>
      </c>
      <c r="N63" s="664"/>
      <c r="O63" s="665"/>
      <c r="P63" s="702"/>
      <c r="Q63" s="667"/>
      <c r="R63" s="668"/>
      <c r="S63" s="170"/>
    </row>
    <row r="64" spans="1:19" s="171" customFormat="1">
      <c r="A64" s="273" t="s">
        <v>4</v>
      </c>
      <c r="B64" s="274" t="s">
        <v>46</v>
      </c>
      <c r="C64" s="198">
        <v>9</v>
      </c>
      <c r="D64" s="199" t="s">
        <v>53</v>
      </c>
      <c r="E64" s="200" t="s">
        <v>38</v>
      </c>
      <c r="F64" s="201" t="s">
        <v>48</v>
      </c>
      <c r="G64" s="297" t="s">
        <v>49</v>
      </c>
      <c r="H64" s="353">
        <v>0</v>
      </c>
      <c r="I64" s="289">
        <v>45931</v>
      </c>
      <c r="J64" s="685">
        <v>0</v>
      </c>
      <c r="K64" s="686">
        <v>0</v>
      </c>
      <c r="L64" s="687">
        <v>1</v>
      </c>
      <c r="M64" s="686">
        <f>M55+Table1[[#This Row],[Result]]</f>
        <v>1</v>
      </c>
      <c r="N64" s="688"/>
      <c r="O64" s="689"/>
      <c r="P64" s="690"/>
      <c r="Q64" s="691"/>
      <c r="R64" s="692"/>
      <c r="S64" s="170"/>
    </row>
    <row r="65" spans="1:19" s="171" customFormat="1">
      <c r="A65" s="279" t="s">
        <v>4</v>
      </c>
      <c r="B65" s="271" t="s">
        <v>36</v>
      </c>
      <c r="C65" s="222">
        <v>1</v>
      </c>
      <c r="D65" s="223" t="s">
        <v>37</v>
      </c>
      <c r="E65" s="224" t="s">
        <v>38</v>
      </c>
      <c r="F65" s="225" t="s">
        <v>39</v>
      </c>
      <c r="G65" s="298" t="s">
        <v>40</v>
      </c>
      <c r="H65" s="348">
        <v>0</v>
      </c>
      <c r="I65" s="278">
        <v>45962</v>
      </c>
      <c r="J65" s="693">
        <f>IF(H65=0,0,IF(H65="-","-",ROUND(H65/12,2)))</f>
        <v>0</v>
      </c>
      <c r="K65" s="694">
        <v>0</v>
      </c>
      <c r="L65" s="695">
        <f>IF(J65=0,0,IF(J65="-","-",ROUND(J65/12,2)))</f>
        <v>0</v>
      </c>
      <c r="M65" s="694">
        <v>0</v>
      </c>
      <c r="N65" s="696">
        <v>0</v>
      </c>
      <c r="O65" s="697"/>
      <c r="P65" s="698"/>
      <c r="Q65" s="699"/>
      <c r="R65" s="700"/>
      <c r="S65" s="170"/>
    </row>
    <row r="66" spans="1:19" s="171" customFormat="1">
      <c r="A66" s="283" t="s">
        <v>4</v>
      </c>
      <c r="B66" s="270" t="s">
        <v>36</v>
      </c>
      <c r="C66" s="180">
        <v>2</v>
      </c>
      <c r="D66" s="181" t="s">
        <v>42</v>
      </c>
      <c r="E66" s="182" t="s">
        <v>38</v>
      </c>
      <c r="F66" s="183" t="s">
        <v>39</v>
      </c>
      <c r="G66" s="294" t="s">
        <v>43</v>
      </c>
      <c r="H66" s="344">
        <v>0</v>
      </c>
      <c r="I66" s="280">
        <v>45962</v>
      </c>
      <c r="J66" s="661">
        <f>IF(H66=0,0,IF(H66="-","-",ROUND(H66/12,2)))</f>
        <v>0</v>
      </c>
      <c r="K66" s="662">
        <v>0</v>
      </c>
      <c r="L66" s="663">
        <f>IF(J66=0,0,IF(J66="-","-",ROUND(J66/12,2)))</f>
        <v>0</v>
      </c>
      <c r="M66" s="662">
        <f>Table1[[#This Row],[Result]]+M57</f>
        <v>3</v>
      </c>
      <c r="N66" s="664">
        <v>3</v>
      </c>
      <c r="O66" s="701"/>
      <c r="P66" s="702"/>
      <c r="Q66" s="667"/>
      <c r="R66" s="668"/>
      <c r="S66" s="170"/>
    </row>
    <row r="67" spans="1:19" s="171" customFormat="1" ht="174">
      <c r="A67" s="283" t="s">
        <v>4</v>
      </c>
      <c r="B67" s="270" t="s">
        <v>36</v>
      </c>
      <c r="C67" s="180">
        <v>3</v>
      </c>
      <c r="D67" s="181" t="s">
        <v>44</v>
      </c>
      <c r="E67" s="182" t="s">
        <v>38</v>
      </c>
      <c r="F67" s="183" t="s">
        <v>39</v>
      </c>
      <c r="G67" s="294" t="s">
        <v>40</v>
      </c>
      <c r="H67" s="344">
        <v>4</v>
      </c>
      <c r="I67" s="280">
        <v>45962</v>
      </c>
      <c r="J67" s="661">
        <v>0</v>
      </c>
      <c r="K67" s="864">
        <v>2</v>
      </c>
      <c r="L67" s="663">
        <v>2</v>
      </c>
      <c r="M67" s="662">
        <f>Table1[[#This Row],[Result]]+M58</f>
        <v>3</v>
      </c>
      <c r="N67" s="664">
        <v>2</v>
      </c>
      <c r="O67" s="701" t="s">
        <v>76</v>
      </c>
      <c r="P67" s="702" t="s">
        <v>77</v>
      </c>
      <c r="Q67" s="667">
        <v>2</v>
      </c>
      <c r="R67" s="668" t="s">
        <v>60</v>
      </c>
      <c r="S67" s="170"/>
    </row>
    <row r="68" spans="1:19" s="171" customFormat="1" ht="34.799999999999997">
      <c r="A68" s="283" t="s">
        <v>4</v>
      </c>
      <c r="B68" s="277" t="s">
        <v>36</v>
      </c>
      <c r="C68" s="190">
        <v>4</v>
      </c>
      <c r="D68" s="226" t="s">
        <v>45</v>
      </c>
      <c r="E68" s="192" t="s">
        <v>38</v>
      </c>
      <c r="F68" s="193" t="s">
        <v>39</v>
      </c>
      <c r="G68" s="295" t="s">
        <v>40</v>
      </c>
      <c r="H68" s="345">
        <v>4</v>
      </c>
      <c r="I68" s="280">
        <v>45962</v>
      </c>
      <c r="J68" s="669" t="s">
        <v>41</v>
      </c>
      <c r="K68" s="670" t="s">
        <v>41</v>
      </c>
      <c r="L68" s="671" t="s">
        <v>41</v>
      </c>
      <c r="M68" s="670" t="s">
        <v>41</v>
      </c>
      <c r="N68" s="672" t="s">
        <v>41</v>
      </c>
      <c r="O68" s="673"/>
      <c r="P68" s="674"/>
      <c r="Q68" s="675"/>
      <c r="R68" s="676"/>
      <c r="S68" s="170"/>
    </row>
    <row r="69" spans="1:19" s="171" customFormat="1" ht="243.6">
      <c r="A69" s="283" t="s">
        <v>4</v>
      </c>
      <c r="B69" s="271" t="s">
        <v>46</v>
      </c>
      <c r="C69" s="194">
        <v>5</v>
      </c>
      <c r="D69" s="195" t="s">
        <v>47</v>
      </c>
      <c r="E69" s="196" t="s">
        <v>38</v>
      </c>
      <c r="F69" s="197" t="s">
        <v>48</v>
      </c>
      <c r="G69" s="296" t="s">
        <v>49</v>
      </c>
      <c r="H69" s="352">
        <v>0</v>
      </c>
      <c r="I69" s="280">
        <v>45962</v>
      </c>
      <c r="J69" s="677">
        <f t="shared" ref="J69:J75" si="3">IF(H69=0,0,IF(H69="-","-",ROUND(H69/12,2)))</f>
        <v>0</v>
      </c>
      <c r="K69" s="865">
        <v>1</v>
      </c>
      <c r="L69" s="679">
        <v>0</v>
      </c>
      <c r="M69" s="678">
        <f>M60+Table1[[#This Row],[Result]]</f>
        <v>1</v>
      </c>
      <c r="N69" s="680">
        <v>1</v>
      </c>
      <c r="O69" s="714" t="s">
        <v>78</v>
      </c>
      <c r="P69" s="715" t="s">
        <v>79</v>
      </c>
      <c r="Q69" s="683">
        <v>1</v>
      </c>
      <c r="R69" s="684" t="s">
        <v>80</v>
      </c>
      <c r="S69" s="170"/>
    </row>
    <row r="70" spans="1:19" s="171" customFormat="1">
      <c r="A70" s="283" t="s">
        <v>4</v>
      </c>
      <c r="B70" s="270" t="s">
        <v>46</v>
      </c>
      <c r="C70" s="180">
        <v>6</v>
      </c>
      <c r="D70" s="181" t="s">
        <v>50</v>
      </c>
      <c r="E70" s="182" t="s">
        <v>38</v>
      </c>
      <c r="F70" s="183" t="s">
        <v>48</v>
      </c>
      <c r="G70" s="294" t="s">
        <v>49</v>
      </c>
      <c r="H70" s="344">
        <v>0</v>
      </c>
      <c r="I70" s="280">
        <v>45962</v>
      </c>
      <c r="J70" s="661">
        <f t="shared" si="3"/>
        <v>0</v>
      </c>
      <c r="K70" s="662">
        <v>0</v>
      </c>
      <c r="L70" s="663">
        <f>L61+Table1[[#This Row],[Target]]</f>
        <v>0</v>
      </c>
      <c r="M70" s="662">
        <v>1</v>
      </c>
      <c r="N70" s="664">
        <v>1</v>
      </c>
      <c r="O70" s="665"/>
      <c r="P70" s="666"/>
      <c r="Q70" s="667"/>
      <c r="R70" s="668"/>
      <c r="S70" s="170"/>
    </row>
    <row r="71" spans="1:19" s="171" customFormat="1" ht="34.799999999999997">
      <c r="A71" s="283" t="s">
        <v>4</v>
      </c>
      <c r="B71" s="270" t="s">
        <v>46</v>
      </c>
      <c r="C71" s="180">
        <v>7</v>
      </c>
      <c r="D71" s="181" t="s">
        <v>51</v>
      </c>
      <c r="E71" s="182" t="s">
        <v>38</v>
      </c>
      <c r="F71" s="183" t="s">
        <v>48</v>
      </c>
      <c r="G71" s="294" t="s">
        <v>49</v>
      </c>
      <c r="H71" s="344">
        <v>0</v>
      </c>
      <c r="I71" s="280">
        <v>45962</v>
      </c>
      <c r="J71" s="661">
        <f t="shared" si="3"/>
        <v>0</v>
      </c>
      <c r="K71" s="662">
        <v>0</v>
      </c>
      <c r="L71" s="663">
        <v>0</v>
      </c>
      <c r="M71" s="662">
        <f>+M62+Table1[[#This Row],[Result]]</f>
        <v>1</v>
      </c>
      <c r="N71" s="664">
        <v>2</v>
      </c>
      <c r="O71" s="665"/>
      <c r="P71" s="666"/>
      <c r="Q71" s="667"/>
      <c r="R71" s="668"/>
      <c r="S71" s="170"/>
    </row>
    <row r="72" spans="1:19" s="171" customFormat="1">
      <c r="A72" s="283" t="s">
        <v>4</v>
      </c>
      <c r="B72" s="270" t="s">
        <v>46</v>
      </c>
      <c r="C72" s="180">
        <v>8</v>
      </c>
      <c r="D72" s="181" t="s">
        <v>52</v>
      </c>
      <c r="E72" s="182" t="s">
        <v>38</v>
      </c>
      <c r="F72" s="183" t="s">
        <v>48</v>
      </c>
      <c r="G72" s="294" t="s">
        <v>49</v>
      </c>
      <c r="H72" s="344">
        <v>0</v>
      </c>
      <c r="I72" s="280">
        <v>45962</v>
      </c>
      <c r="J72" s="661">
        <f t="shared" si="3"/>
        <v>0</v>
      </c>
      <c r="K72" s="662">
        <v>0</v>
      </c>
      <c r="L72" s="663">
        <v>0</v>
      </c>
      <c r="M72" s="662">
        <f>M63+Table1[[#This Row],[Result]]</f>
        <v>0</v>
      </c>
      <c r="N72" s="664">
        <v>0</v>
      </c>
      <c r="O72" s="665"/>
      <c r="P72" s="666"/>
      <c r="Q72" s="667"/>
      <c r="R72" s="668"/>
      <c r="S72" s="170"/>
    </row>
    <row r="73" spans="1:19" s="171" customFormat="1" ht="87">
      <c r="A73" s="285" t="s">
        <v>4</v>
      </c>
      <c r="B73" s="274" t="s">
        <v>46</v>
      </c>
      <c r="C73" s="216">
        <v>9</v>
      </c>
      <c r="D73" s="217" t="s">
        <v>53</v>
      </c>
      <c r="E73" s="218" t="s">
        <v>38</v>
      </c>
      <c r="F73" s="219" t="s">
        <v>48</v>
      </c>
      <c r="G73" s="299" t="s">
        <v>49</v>
      </c>
      <c r="H73" s="354">
        <v>0</v>
      </c>
      <c r="I73" s="282">
        <v>45962</v>
      </c>
      <c r="J73" s="703">
        <f t="shared" si="3"/>
        <v>0</v>
      </c>
      <c r="K73" s="1183">
        <v>1</v>
      </c>
      <c r="L73" s="705">
        <v>2</v>
      </c>
      <c r="M73" s="704">
        <v>2</v>
      </c>
      <c r="N73" s="706">
        <v>2</v>
      </c>
      <c r="O73" s="1184" t="s">
        <v>81</v>
      </c>
      <c r="P73" s="1185" t="s">
        <v>82</v>
      </c>
      <c r="Q73" s="1186">
        <v>2</v>
      </c>
      <c r="R73" s="1187" t="s">
        <v>80</v>
      </c>
      <c r="S73" s="170"/>
    </row>
    <row r="74" spans="1:19" s="171" customFormat="1">
      <c r="A74" s="288" t="s">
        <v>4</v>
      </c>
      <c r="B74" s="271" t="s">
        <v>36</v>
      </c>
      <c r="C74" s="222">
        <v>1</v>
      </c>
      <c r="D74" s="223" t="s">
        <v>37</v>
      </c>
      <c r="E74" s="224" t="s">
        <v>38</v>
      </c>
      <c r="F74" s="225" t="s">
        <v>39</v>
      </c>
      <c r="G74" s="298" t="s">
        <v>40</v>
      </c>
      <c r="H74" s="348">
        <v>0</v>
      </c>
      <c r="I74" s="287">
        <v>45992</v>
      </c>
      <c r="J74" s="693">
        <f t="shared" si="3"/>
        <v>0</v>
      </c>
      <c r="K74" s="694">
        <v>0</v>
      </c>
      <c r="L74" s="695">
        <v>0</v>
      </c>
      <c r="M74" s="694">
        <v>0</v>
      </c>
      <c r="N74" s="696">
        <v>0</v>
      </c>
      <c r="O74" s="697"/>
      <c r="P74" s="698"/>
      <c r="Q74" s="699"/>
      <c r="R74" s="700"/>
      <c r="S74" s="170"/>
    </row>
    <row r="75" spans="1:19" s="171" customFormat="1">
      <c r="A75" s="283" t="s">
        <v>4</v>
      </c>
      <c r="B75" s="270" t="s">
        <v>36</v>
      </c>
      <c r="C75" s="180">
        <v>2</v>
      </c>
      <c r="D75" s="181" t="s">
        <v>42</v>
      </c>
      <c r="E75" s="182" t="s">
        <v>38</v>
      </c>
      <c r="F75" s="183" t="s">
        <v>39</v>
      </c>
      <c r="G75" s="294" t="s">
        <v>43</v>
      </c>
      <c r="H75" s="344">
        <v>0</v>
      </c>
      <c r="I75" s="280">
        <v>45992</v>
      </c>
      <c r="J75" s="661">
        <f t="shared" si="3"/>
        <v>0</v>
      </c>
      <c r="K75" s="662">
        <v>0</v>
      </c>
      <c r="L75" s="663">
        <v>1</v>
      </c>
      <c r="M75" s="721">
        <f>Table1[[#This Row],[Result]]+M66</f>
        <v>3</v>
      </c>
      <c r="N75" s="664">
        <v>0</v>
      </c>
      <c r="O75" s="665"/>
      <c r="P75" s="666"/>
      <c r="Q75" s="667"/>
      <c r="R75" s="668"/>
      <c r="S75" s="170"/>
    </row>
    <row r="76" spans="1:19" s="171" customFormat="1">
      <c r="A76" s="283" t="s">
        <v>4</v>
      </c>
      <c r="B76" s="270" t="s">
        <v>36</v>
      </c>
      <c r="C76" s="180">
        <v>3</v>
      </c>
      <c r="D76" s="181" t="s">
        <v>44</v>
      </c>
      <c r="E76" s="182" t="s">
        <v>38</v>
      </c>
      <c r="F76" s="183" t="s">
        <v>39</v>
      </c>
      <c r="G76" s="294" t="s">
        <v>40</v>
      </c>
      <c r="H76" s="344">
        <v>4</v>
      </c>
      <c r="I76" s="280">
        <v>45992</v>
      </c>
      <c r="J76" s="661">
        <v>1</v>
      </c>
      <c r="K76" s="662">
        <v>0</v>
      </c>
      <c r="L76" s="663">
        <v>3</v>
      </c>
      <c r="M76" s="662">
        <f>Table1[[#This Row],[Result]]+M67</f>
        <v>3</v>
      </c>
      <c r="N76" s="664">
        <v>0</v>
      </c>
      <c r="O76" s="665"/>
      <c r="P76" s="666"/>
      <c r="Q76" s="667"/>
      <c r="R76" s="668"/>
      <c r="S76" s="170"/>
    </row>
    <row r="77" spans="1:19" s="171" customFormat="1" ht="34.799999999999997">
      <c r="A77" s="283" t="s">
        <v>4</v>
      </c>
      <c r="B77" s="277" t="s">
        <v>36</v>
      </c>
      <c r="C77" s="190">
        <v>4</v>
      </c>
      <c r="D77" s="226" t="s">
        <v>45</v>
      </c>
      <c r="E77" s="192" t="s">
        <v>38</v>
      </c>
      <c r="F77" s="193" t="s">
        <v>39</v>
      </c>
      <c r="G77" s="295" t="s">
        <v>40</v>
      </c>
      <c r="H77" s="345">
        <v>4</v>
      </c>
      <c r="I77" s="280">
        <v>45992</v>
      </c>
      <c r="J77" s="717" t="s">
        <v>41</v>
      </c>
      <c r="K77" s="718" t="s">
        <v>41</v>
      </c>
      <c r="L77" s="719" t="s">
        <v>41</v>
      </c>
      <c r="M77" s="718" t="s">
        <v>41</v>
      </c>
      <c r="N77" s="720" t="s">
        <v>41</v>
      </c>
      <c r="O77" s="673"/>
      <c r="P77" s="674"/>
      <c r="Q77" s="675"/>
      <c r="R77" s="676"/>
      <c r="S77" s="170"/>
    </row>
    <row r="78" spans="1:19" s="171" customFormat="1">
      <c r="A78" s="283" t="s">
        <v>4</v>
      </c>
      <c r="B78" s="271" t="s">
        <v>46</v>
      </c>
      <c r="C78" s="194">
        <v>5</v>
      </c>
      <c r="D78" s="195" t="s">
        <v>47</v>
      </c>
      <c r="E78" s="196" t="s">
        <v>38</v>
      </c>
      <c r="F78" s="197" t="s">
        <v>48</v>
      </c>
      <c r="G78" s="296" t="s">
        <v>49</v>
      </c>
      <c r="H78" s="352">
        <v>0</v>
      </c>
      <c r="I78" s="280">
        <v>45992</v>
      </c>
      <c r="J78" s="677">
        <f>IF(H78=0,0,IF(H78="-","-",ROUND(H78/12,2)))</f>
        <v>0</v>
      </c>
      <c r="K78" s="678">
        <v>0</v>
      </c>
      <c r="L78" s="679">
        <f>IF(J78=0,0,IF(J78="-","-",ROUND(J78/12,2)))</f>
        <v>0</v>
      </c>
      <c r="M78" s="678">
        <f>M69+Table1[[#This Row],[Result]]</f>
        <v>1</v>
      </c>
      <c r="N78" s="680">
        <v>1</v>
      </c>
      <c r="O78" s="681"/>
      <c r="P78" s="682"/>
      <c r="Q78" s="683"/>
      <c r="R78" s="684"/>
      <c r="S78" s="170"/>
    </row>
    <row r="79" spans="1:19" s="171" customFormat="1" ht="174">
      <c r="A79" s="283" t="s">
        <v>4</v>
      </c>
      <c r="B79" s="270" t="s">
        <v>46</v>
      </c>
      <c r="C79" s="180">
        <v>6</v>
      </c>
      <c r="D79" s="181" t="s">
        <v>50</v>
      </c>
      <c r="E79" s="182" t="s">
        <v>38</v>
      </c>
      <c r="F79" s="183" t="s">
        <v>48</v>
      </c>
      <c r="G79" s="294" t="s">
        <v>49</v>
      </c>
      <c r="H79" s="344">
        <v>0</v>
      </c>
      <c r="I79" s="280">
        <v>45992</v>
      </c>
      <c r="J79" s="661">
        <f>IF(H79=0,0,IF(H79="-","-",ROUND(H79/12,2)))</f>
        <v>0</v>
      </c>
      <c r="K79" s="864">
        <v>1</v>
      </c>
      <c r="L79" s="663">
        <f>L70+Table1[[#This Row],[Target]]</f>
        <v>0</v>
      </c>
      <c r="M79" s="716">
        <f>M70+Table1[[#This Row],[Result]]</f>
        <v>2</v>
      </c>
      <c r="N79" s="664">
        <v>2</v>
      </c>
      <c r="O79" s="701" t="s">
        <v>83</v>
      </c>
      <c r="P79" s="702" t="s">
        <v>84</v>
      </c>
      <c r="Q79" s="667">
        <v>2</v>
      </c>
      <c r="R79" s="668" t="s">
        <v>85</v>
      </c>
      <c r="S79" s="170"/>
    </row>
    <row r="80" spans="1:19" s="171" customFormat="1" ht="34.799999999999997">
      <c r="A80" s="283" t="s">
        <v>4</v>
      </c>
      <c r="B80" s="270" t="s">
        <v>46</v>
      </c>
      <c r="C80" s="180">
        <v>7</v>
      </c>
      <c r="D80" s="181" t="s">
        <v>51</v>
      </c>
      <c r="E80" s="182" t="s">
        <v>38</v>
      </c>
      <c r="F80" s="183" t="s">
        <v>48</v>
      </c>
      <c r="G80" s="294" t="s">
        <v>49</v>
      </c>
      <c r="H80" s="344">
        <v>0</v>
      </c>
      <c r="I80" s="280">
        <v>45992</v>
      </c>
      <c r="J80" s="661">
        <f>IF(H80=0,0,IF(H80="-","-",ROUND(H80/12,2)))</f>
        <v>0</v>
      </c>
      <c r="K80" s="662">
        <v>0</v>
      </c>
      <c r="L80" s="663">
        <f>IF(J80=0,0,IF(J80="-","-",ROUND(J80/12,2)))</f>
        <v>0</v>
      </c>
      <c r="M80" s="721">
        <f>M71+Table1[[#This Row],[Result]]</f>
        <v>1</v>
      </c>
      <c r="N80" s="664">
        <v>2</v>
      </c>
      <c r="O80" s="665"/>
      <c r="P80" s="666"/>
      <c r="Q80" s="667"/>
      <c r="R80" s="668"/>
      <c r="S80" s="170"/>
    </row>
    <row r="81" spans="1:19" s="171" customFormat="1">
      <c r="A81" s="283" t="s">
        <v>4</v>
      </c>
      <c r="B81" s="270" t="s">
        <v>46</v>
      </c>
      <c r="C81" s="180">
        <v>8</v>
      </c>
      <c r="D81" s="181" t="s">
        <v>52</v>
      </c>
      <c r="E81" s="182" t="s">
        <v>38</v>
      </c>
      <c r="F81" s="183" t="s">
        <v>48</v>
      </c>
      <c r="G81" s="294" t="s">
        <v>49</v>
      </c>
      <c r="H81" s="344">
        <v>0</v>
      </c>
      <c r="I81" s="280">
        <v>45992</v>
      </c>
      <c r="J81" s="661">
        <f>IF(H81=0,0,IF(H81="-","-",ROUND(H81/12,2)))</f>
        <v>0</v>
      </c>
      <c r="K81" s="662">
        <v>0</v>
      </c>
      <c r="L81" s="663">
        <f>IF(J81=0,0,IF(J81="-","-",ROUND(J81/12,2)))</f>
        <v>0</v>
      </c>
      <c r="M81" s="662">
        <f>M72+Table1[[#This Row],[Result]]</f>
        <v>0</v>
      </c>
      <c r="N81" s="664">
        <v>0</v>
      </c>
      <c r="O81" s="665"/>
      <c r="P81" s="666"/>
      <c r="Q81" s="667"/>
      <c r="R81" s="668"/>
      <c r="S81" s="170"/>
    </row>
    <row r="82" spans="1:19" s="171" customFormat="1">
      <c r="A82" s="290" t="s">
        <v>4</v>
      </c>
      <c r="B82" s="274" t="s">
        <v>46</v>
      </c>
      <c r="C82" s="198">
        <v>9</v>
      </c>
      <c r="D82" s="199" t="s">
        <v>53</v>
      </c>
      <c r="E82" s="200" t="s">
        <v>38</v>
      </c>
      <c r="F82" s="201" t="s">
        <v>48</v>
      </c>
      <c r="G82" s="297" t="s">
        <v>49</v>
      </c>
      <c r="H82" s="353">
        <v>0</v>
      </c>
      <c r="I82" s="289">
        <v>45992</v>
      </c>
      <c r="J82" s="685">
        <v>1</v>
      </c>
      <c r="K82" s="686">
        <v>0</v>
      </c>
      <c r="L82" s="687">
        <v>2</v>
      </c>
      <c r="M82" s="686">
        <f>M73+Table1[[#This Row],[Result]]</f>
        <v>2</v>
      </c>
      <c r="N82" s="688">
        <v>2</v>
      </c>
      <c r="O82" s="689"/>
      <c r="P82" s="690"/>
      <c r="Q82" s="691"/>
      <c r="R82" s="692"/>
      <c r="S82" s="170"/>
    </row>
    <row r="83" spans="1:19" s="171" customFormat="1">
      <c r="A83" s="279" t="s">
        <v>4</v>
      </c>
      <c r="B83" s="271" t="s">
        <v>36</v>
      </c>
      <c r="C83" s="222">
        <v>1</v>
      </c>
      <c r="D83" s="223" t="s">
        <v>37</v>
      </c>
      <c r="E83" s="224" t="s">
        <v>38</v>
      </c>
      <c r="F83" s="225" t="s">
        <v>39</v>
      </c>
      <c r="G83" s="298" t="s">
        <v>40</v>
      </c>
      <c r="H83" s="348">
        <v>0</v>
      </c>
      <c r="I83" s="278">
        <v>46023</v>
      </c>
      <c r="J83" s="693">
        <f>IF(H83=0,0,IF(H83="-","-",ROUND(H83/12,2)))</f>
        <v>0</v>
      </c>
      <c r="K83" s="694">
        <v>0</v>
      </c>
      <c r="L83" s="695">
        <f>IF(J83=0,0,IF(J83="-","-",ROUND(J83/12,2)))</f>
        <v>0</v>
      </c>
      <c r="M83" s="694">
        <f t="shared" ref="M83:M101" si="4">K83</f>
        <v>0</v>
      </c>
      <c r="N83" s="696">
        <v>0</v>
      </c>
      <c r="O83" s="697"/>
      <c r="P83" s="698"/>
      <c r="Q83" s="699"/>
      <c r="R83" s="700"/>
      <c r="S83" s="170"/>
    </row>
    <row r="84" spans="1:19" s="171" customFormat="1" ht="96.6" customHeight="1">
      <c r="A84" s="283" t="s">
        <v>4</v>
      </c>
      <c r="B84" s="270" t="s">
        <v>36</v>
      </c>
      <c r="C84" s="180">
        <v>2</v>
      </c>
      <c r="D84" s="181" t="s">
        <v>42</v>
      </c>
      <c r="E84" s="182" t="s">
        <v>38</v>
      </c>
      <c r="F84" s="183" t="s">
        <v>39</v>
      </c>
      <c r="G84" s="294" t="s">
        <v>43</v>
      </c>
      <c r="H84" s="344">
        <v>0</v>
      </c>
      <c r="I84" s="280">
        <v>46023</v>
      </c>
      <c r="J84" s="661">
        <f>IF(H84=0,0,IF(H84="-","-",ROUND(H84/12,2)))</f>
        <v>0</v>
      </c>
      <c r="K84" s="662">
        <v>0</v>
      </c>
      <c r="L84" s="663">
        <f t="shared" ref="L84" si="5">IF(J84=0,0,IF(J84="-","-",ROUND(J84/12,2)))</f>
        <v>0</v>
      </c>
      <c r="M84" s="662">
        <f>Table1[[#This Row],[Result]]+M75</f>
        <v>3</v>
      </c>
      <c r="N84" s="664">
        <v>1</v>
      </c>
      <c r="O84" s="701" t="s">
        <v>86</v>
      </c>
      <c r="P84" s="702" t="s">
        <v>87</v>
      </c>
      <c r="Q84" s="667">
        <v>4</v>
      </c>
      <c r="R84" s="668" t="s">
        <v>60</v>
      </c>
      <c r="S84" s="170"/>
    </row>
    <row r="85" spans="1:19" s="171" customFormat="1">
      <c r="A85" s="283" t="s">
        <v>4</v>
      </c>
      <c r="B85" s="270" t="s">
        <v>36</v>
      </c>
      <c r="C85" s="180">
        <v>3</v>
      </c>
      <c r="D85" s="181" t="s">
        <v>44</v>
      </c>
      <c r="E85" s="182" t="s">
        <v>38</v>
      </c>
      <c r="F85" s="183" t="s">
        <v>39</v>
      </c>
      <c r="G85" s="294" t="s">
        <v>40</v>
      </c>
      <c r="H85" s="344">
        <v>4</v>
      </c>
      <c r="I85" s="280">
        <v>46023</v>
      </c>
      <c r="J85" s="661">
        <v>0</v>
      </c>
      <c r="K85" s="662">
        <v>0</v>
      </c>
      <c r="L85" s="663">
        <v>3</v>
      </c>
      <c r="M85" s="662">
        <f>Table1[[#This Row],[Result]]+M76</f>
        <v>3</v>
      </c>
      <c r="N85" s="664">
        <v>0</v>
      </c>
      <c r="O85" s="665"/>
      <c r="P85" s="666"/>
      <c r="Q85" s="667"/>
      <c r="R85" s="668"/>
      <c r="S85" s="170"/>
    </row>
    <row r="86" spans="1:19" s="171" customFormat="1" ht="34.799999999999997">
      <c r="A86" s="283" t="s">
        <v>4</v>
      </c>
      <c r="B86" s="277" t="s">
        <v>36</v>
      </c>
      <c r="C86" s="190">
        <v>4</v>
      </c>
      <c r="D86" s="226" t="s">
        <v>45</v>
      </c>
      <c r="E86" s="192" t="s">
        <v>38</v>
      </c>
      <c r="F86" s="193" t="s">
        <v>39</v>
      </c>
      <c r="G86" s="295" t="s">
        <v>40</v>
      </c>
      <c r="H86" s="345">
        <v>4</v>
      </c>
      <c r="I86" s="280">
        <v>46023</v>
      </c>
      <c r="J86" s="722" t="s">
        <v>41</v>
      </c>
      <c r="K86" s="723" t="s">
        <v>41</v>
      </c>
      <c r="L86" s="724" t="s">
        <v>41</v>
      </c>
      <c r="M86" s="723" t="s">
        <v>41</v>
      </c>
      <c r="N86" s="725" t="s">
        <v>41</v>
      </c>
      <c r="O86" s="726"/>
      <c r="P86" s="727"/>
      <c r="Q86" s="728"/>
      <c r="R86" s="729"/>
      <c r="S86" s="170"/>
    </row>
    <row r="87" spans="1:19" s="171" customFormat="1">
      <c r="A87" s="283" t="s">
        <v>4</v>
      </c>
      <c r="B87" s="271" t="s">
        <v>46</v>
      </c>
      <c r="C87" s="194">
        <v>5</v>
      </c>
      <c r="D87" s="195" t="s">
        <v>47</v>
      </c>
      <c r="E87" s="196" t="s">
        <v>38</v>
      </c>
      <c r="F87" s="197" t="s">
        <v>48</v>
      </c>
      <c r="G87" s="296" t="s">
        <v>49</v>
      </c>
      <c r="H87" s="352">
        <v>0</v>
      </c>
      <c r="I87" s="280">
        <v>46023</v>
      </c>
      <c r="J87" s="677">
        <f>IF(H87=0,0,IF(H87="-","-",ROUND(H87/12,2)))</f>
        <v>0</v>
      </c>
      <c r="K87" s="678">
        <v>0</v>
      </c>
      <c r="L87" s="679">
        <f t="shared" ref="L87:L90" si="6">IF(J87=0,0,IF(J87="-","-",ROUND(J87/12,2)))</f>
        <v>0</v>
      </c>
      <c r="M87" s="678">
        <f>M78+Table1[[#This Row],[Result]]</f>
        <v>1</v>
      </c>
      <c r="N87" s="680">
        <v>1</v>
      </c>
      <c r="O87" s="681"/>
      <c r="P87" s="682"/>
      <c r="Q87" s="683"/>
      <c r="R87" s="684"/>
      <c r="S87" s="170"/>
    </row>
    <row r="88" spans="1:19" s="171" customFormat="1">
      <c r="A88" s="283" t="s">
        <v>4</v>
      </c>
      <c r="B88" s="270" t="s">
        <v>46</v>
      </c>
      <c r="C88" s="180">
        <v>6</v>
      </c>
      <c r="D88" s="181" t="s">
        <v>50</v>
      </c>
      <c r="E88" s="182" t="s">
        <v>38</v>
      </c>
      <c r="F88" s="183" t="s">
        <v>48</v>
      </c>
      <c r="G88" s="294" t="s">
        <v>49</v>
      </c>
      <c r="H88" s="344">
        <v>0</v>
      </c>
      <c r="I88" s="280">
        <v>46023</v>
      </c>
      <c r="J88" s="661">
        <f>IF(H88=0,0,IF(H88="-","-",ROUND(H88/12,2)))</f>
        <v>0</v>
      </c>
      <c r="K88" s="662">
        <v>0</v>
      </c>
      <c r="L88" s="663">
        <f>L79+Table1[[#This Row],[Target]]</f>
        <v>0</v>
      </c>
      <c r="M88" s="662">
        <f>M79+Table1[[#This Row],[Result]]</f>
        <v>2</v>
      </c>
      <c r="N88" s="664">
        <v>2</v>
      </c>
      <c r="O88" s="665"/>
      <c r="P88" s="666"/>
      <c r="Q88" s="667"/>
      <c r="R88" s="668"/>
      <c r="S88" s="170"/>
    </row>
    <row r="89" spans="1:19" s="171" customFormat="1" ht="34.799999999999997">
      <c r="A89" s="283" t="s">
        <v>4</v>
      </c>
      <c r="B89" s="270" t="s">
        <v>46</v>
      </c>
      <c r="C89" s="180">
        <v>7</v>
      </c>
      <c r="D89" s="181" t="s">
        <v>51</v>
      </c>
      <c r="E89" s="182" t="s">
        <v>38</v>
      </c>
      <c r="F89" s="183" t="s">
        <v>48</v>
      </c>
      <c r="G89" s="294" t="s">
        <v>49</v>
      </c>
      <c r="H89" s="344">
        <v>0</v>
      </c>
      <c r="I89" s="280">
        <v>46023</v>
      </c>
      <c r="J89" s="661">
        <f>IF(H89=0,0,IF(H89="-","-",ROUND(H89/12,2)))</f>
        <v>0</v>
      </c>
      <c r="K89" s="662">
        <v>0</v>
      </c>
      <c r="L89" s="663">
        <f t="shared" si="6"/>
        <v>0</v>
      </c>
      <c r="M89" s="662">
        <f>M80+Table1[[#This Row],[Result]]</f>
        <v>1</v>
      </c>
      <c r="N89" s="664">
        <v>2</v>
      </c>
      <c r="O89" s="665"/>
      <c r="P89" s="666"/>
      <c r="Q89" s="667"/>
      <c r="R89" s="668"/>
      <c r="S89" s="170"/>
    </row>
    <row r="90" spans="1:19" s="171" customFormat="1" ht="69.599999999999994">
      <c r="A90" s="283" t="s">
        <v>4</v>
      </c>
      <c r="B90" s="270" t="s">
        <v>46</v>
      </c>
      <c r="C90" s="180">
        <v>8</v>
      </c>
      <c r="D90" s="181" t="s">
        <v>52</v>
      </c>
      <c r="E90" s="182" t="s">
        <v>38</v>
      </c>
      <c r="F90" s="183" t="s">
        <v>48</v>
      </c>
      <c r="G90" s="294" t="s">
        <v>49</v>
      </c>
      <c r="H90" s="344">
        <v>0</v>
      </c>
      <c r="I90" s="280">
        <v>46023</v>
      </c>
      <c r="J90" s="661">
        <f>IF(H90=0,0,IF(H90="-","-",ROUND(H90/12,2)))</f>
        <v>0</v>
      </c>
      <c r="K90" s="864">
        <v>1</v>
      </c>
      <c r="L90" s="663">
        <f t="shared" si="6"/>
        <v>0</v>
      </c>
      <c r="M90" s="662">
        <v>1</v>
      </c>
      <c r="N90" s="664">
        <v>1</v>
      </c>
      <c r="O90" s="701" t="s">
        <v>88</v>
      </c>
      <c r="P90" s="702" t="s">
        <v>89</v>
      </c>
      <c r="Q90" s="667">
        <v>1</v>
      </c>
      <c r="R90" s="668" t="s">
        <v>85</v>
      </c>
      <c r="S90" s="170"/>
    </row>
    <row r="91" spans="1:19" s="171" customFormat="1">
      <c r="A91" s="285" t="s">
        <v>4</v>
      </c>
      <c r="B91" s="274" t="s">
        <v>46</v>
      </c>
      <c r="C91" s="216">
        <v>9</v>
      </c>
      <c r="D91" s="217" t="s">
        <v>53</v>
      </c>
      <c r="E91" s="218" t="s">
        <v>38</v>
      </c>
      <c r="F91" s="219" t="s">
        <v>48</v>
      </c>
      <c r="G91" s="299" t="s">
        <v>49</v>
      </c>
      <c r="H91" s="354">
        <v>0</v>
      </c>
      <c r="I91" s="282">
        <v>46023</v>
      </c>
      <c r="J91" s="703">
        <v>1</v>
      </c>
      <c r="K91" s="704">
        <v>0</v>
      </c>
      <c r="L91" s="705">
        <v>3</v>
      </c>
      <c r="M91" s="704">
        <f>M82+Table1[[#This Row],[Result]]</f>
        <v>2</v>
      </c>
      <c r="N91" s="706">
        <v>2</v>
      </c>
      <c r="O91" s="707"/>
      <c r="P91" s="708"/>
      <c r="Q91" s="709"/>
      <c r="R91" s="710"/>
      <c r="S91" s="170"/>
    </row>
    <row r="92" spans="1:19" s="2471" customFormat="1">
      <c r="A92" s="2456" t="s">
        <v>4</v>
      </c>
      <c r="B92" s="2457" t="s">
        <v>36</v>
      </c>
      <c r="C92" s="2458">
        <v>1</v>
      </c>
      <c r="D92" s="2459" t="s">
        <v>37</v>
      </c>
      <c r="E92" s="298" t="s">
        <v>38</v>
      </c>
      <c r="F92" s="2460" t="s">
        <v>39</v>
      </c>
      <c r="G92" s="298" t="s">
        <v>40</v>
      </c>
      <c r="H92" s="143">
        <v>0</v>
      </c>
      <c r="I92" s="2461">
        <v>46054</v>
      </c>
      <c r="J92" s="2462">
        <f>IF(H92=0,0,IF(H92="-","-",ROUND(H92/12,2)))</f>
        <v>0</v>
      </c>
      <c r="K92" s="2463">
        <v>0</v>
      </c>
      <c r="L92" s="2464">
        <f>IF(J92=0,0,IF(J92="-","-",ROUND(J92/12,2)))</f>
        <v>0</v>
      </c>
      <c r="M92" s="2463">
        <f t="shared" si="4"/>
        <v>0</v>
      </c>
      <c r="N92" s="2465">
        <v>0</v>
      </c>
      <c r="O92" s="2466"/>
      <c r="P92" s="2467"/>
      <c r="Q92" s="2468"/>
      <c r="R92" s="2469"/>
      <c r="S92" s="2470"/>
    </row>
    <row r="93" spans="1:19" s="2471" customFormat="1" ht="154.5" customHeight="1">
      <c r="A93" s="2472" t="s">
        <v>4</v>
      </c>
      <c r="B93" s="2473" t="s">
        <v>36</v>
      </c>
      <c r="C93" s="2474">
        <v>2</v>
      </c>
      <c r="D93" s="2475" t="s">
        <v>42</v>
      </c>
      <c r="E93" s="294" t="s">
        <v>38</v>
      </c>
      <c r="F93" s="2476" t="s">
        <v>39</v>
      </c>
      <c r="G93" s="294" t="s">
        <v>43</v>
      </c>
      <c r="H93" s="112">
        <v>0</v>
      </c>
      <c r="I93" s="2477">
        <v>46054</v>
      </c>
      <c r="J93" s="2478">
        <f>IF(H93=0,0,IF(H93="-","-",ROUND(H93/12,2)))</f>
        <v>0</v>
      </c>
      <c r="K93" s="2479">
        <v>1</v>
      </c>
      <c r="L93" s="2480">
        <f t="shared" ref="L93" si="7">IF(J93=0,0,IF(J93="-","-",ROUND(J93/12,2)))</f>
        <v>0</v>
      </c>
      <c r="M93" s="2479">
        <f>Table1[[#This Row],[Result]]+M84</f>
        <v>4</v>
      </c>
      <c r="N93" s="2481">
        <v>0</v>
      </c>
      <c r="O93" s="2482" t="s">
        <v>90</v>
      </c>
      <c r="P93" s="2483" t="s">
        <v>91</v>
      </c>
      <c r="Q93" s="2484">
        <v>4</v>
      </c>
      <c r="R93" s="2485" t="s">
        <v>60</v>
      </c>
      <c r="S93" s="2470"/>
    </row>
    <row r="94" spans="1:19" s="2471" customFormat="1">
      <c r="A94" s="2472" t="s">
        <v>4</v>
      </c>
      <c r="B94" s="2473" t="s">
        <v>36</v>
      </c>
      <c r="C94" s="2474">
        <v>3</v>
      </c>
      <c r="D94" s="2475" t="s">
        <v>44</v>
      </c>
      <c r="E94" s="294" t="s">
        <v>38</v>
      </c>
      <c r="F94" s="2476" t="s">
        <v>39</v>
      </c>
      <c r="G94" s="294" t="s">
        <v>40</v>
      </c>
      <c r="H94" s="112">
        <v>4</v>
      </c>
      <c r="I94" s="2477">
        <v>46054</v>
      </c>
      <c r="J94" s="2478">
        <v>0</v>
      </c>
      <c r="K94" s="2479">
        <v>0</v>
      </c>
      <c r="L94" s="2480">
        <v>3</v>
      </c>
      <c r="M94" s="2479">
        <f>Table1[[#This Row],[Result]]+M85</f>
        <v>3</v>
      </c>
      <c r="N94" s="2481">
        <v>0</v>
      </c>
      <c r="O94" s="2486"/>
      <c r="P94" s="2487"/>
      <c r="Q94" s="2484"/>
      <c r="R94" s="2485"/>
      <c r="S94" s="2470"/>
    </row>
    <row r="95" spans="1:19" s="2471" customFormat="1" ht="34.799999999999997">
      <c r="A95" s="2472" t="s">
        <v>4</v>
      </c>
      <c r="B95" s="2488" t="s">
        <v>36</v>
      </c>
      <c r="C95" s="2489">
        <v>4</v>
      </c>
      <c r="D95" s="2490" t="s">
        <v>45</v>
      </c>
      <c r="E95" s="295" t="s">
        <v>38</v>
      </c>
      <c r="F95" s="2491" t="s">
        <v>39</v>
      </c>
      <c r="G95" s="295" t="s">
        <v>40</v>
      </c>
      <c r="H95" s="155">
        <v>4</v>
      </c>
      <c r="I95" s="2477">
        <v>46054</v>
      </c>
      <c r="J95" s="2492" t="s">
        <v>41</v>
      </c>
      <c r="K95" s="2493" t="s">
        <v>41</v>
      </c>
      <c r="L95" s="2494" t="s">
        <v>41</v>
      </c>
      <c r="M95" s="2493" t="s">
        <v>57</v>
      </c>
      <c r="N95" s="2495" t="s">
        <v>57</v>
      </c>
      <c r="O95" s="2496"/>
      <c r="P95" s="2497"/>
      <c r="Q95" s="2498"/>
      <c r="R95" s="2499"/>
      <c r="S95" s="2470"/>
    </row>
    <row r="96" spans="1:19" s="2471" customFormat="1">
      <c r="A96" s="2472" t="s">
        <v>4</v>
      </c>
      <c r="B96" s="2457" t="s">
        <v>46</v>
      </c>
      <c r="C96" s="2500">
        <v>5</v>
      </c>
      <c r="D96" s="2501" t="s">
        <v>47</v>
      </c>
      <c r="E96" s="296" t="s">
        <v>38</v>
      </c>
      <c r="F96" s="2502" t="s">
        <v>48</v>
      </c>
      <c r="G96" s="296" t="s">
        <v>49</v>
      </c>
      <c r="H96" s="117">
        <v>0</v>
      </c>
      <c r="I96" s="2477">
        <v>46054</v>
      </c>
      <c r="J96" s="2503">
        <f t="shared" ref="J96:J102" si="8">IF(H96=0,0,IF(H96="-","-",ROUND(H96/12,2)))</f>
        <v>0</v>
      </c>
      <c r="K96" s="2504">
        <v>0</v>
      </c>
      <c r="L96" s="2505">
        <f t="shared" ref="L96:L99" si="9">IF(J96=0,0,IF(J96="-","-",ROUND(J96/12,2)))</f>
        <v>0</v>
      </c>
      <c r="M96" s="2504">
        <f>M87+Table1[[#This Row],[Result]]</f>
        <v>1</v>
      </c>
      <c r="N96" s="2506">
        <v>0</v>
      </c>
      <c r="O96" s="2507"/>
      <c r="P96" s="2508"/>
      <c r="Q96" s="2509"/>
      <c r="R96" s="2510"/>
      <c r="S96" s="2470"/>
    </row>
    <row r="97" spans="1:26" s="2471" customFormat="1">
      <c r="A97" s="2472" t="s">
        <v>4</v>
      </c>
      <c r="B97" s="2473" t="s">
        <v>46</v>
      </c>
      <c r="C97" s="2474">
        <v>6</v>
      </c>
      <c r="D97" s="2475" t="s">
        <v>50</v>
      </c>
      <c r="E97" s="294" t="s">
        <v>38</v>
      </c>
      <c r="F97" s="2476" t="s">
        <v>48</v>
      </c>
      <c r="G97" s="294" t="s">
        <v>49</v>
      </c>
      <c r="H97" s="112">
        <v>0</v>
      </c>
      <c r="I97" s="2477">
        <v>46054</v>
      </c>
      <c r="J97" s="2478">
        <f t="shared" si="8"/>
        <v>0</v>
      </c>
      <c r="K97" s="2479">
        <v>0</v>
      </c>
      <c r="L97" s="2480">
        <f>L88+Table1[[#This Row],[Target]]</f>
        <v>0</v>
      </c>
      <c r="M97" s="2479">
        <f>M88+Table1[[#This Row],[Result]]</f>
        <v>2</v>
      </c>
      <c r="N97" s="2481">
        <v>0</v>
      </c>
      <c r="O97" s="2486"/>
      <c r="P97" s="2487"/>
      <c r="Q97" s="2484"/>
      <c r="R97" s="2485"/>
      <c r="S97" s="2470"/>
    </row>
    <row r="98" spans="1:26" s="2471" customFormat="1" ht="34.799999999999997">
      <c r="A98" s="2472" t="s">
        <v>4</v>
      </c>
      <c r="B98" s="2473" t="s">
        <v>46</v>
      </c>
      <c r="C98" s="2474">
        <v>7</v>
      </c>
      <c r="D98" s="2475" t="s">
        <v>51</v>
      </c>
      <c r="E98" s="294" t="s">
        <v>38</v>
      </c>
      <c r="F98" s="2476" t="s">
        <v>48</v>
      </c>
      <c r="G98" s="294" t="s">
        <v>49</v>
      </c>
      <c r="H98" s="112">
        <v>0</v>
      </c>
      <c r="I98" s="2477">
        <v>46054</v>
      </c>
      <c r="J98" s="2478">
        <f t="shared" si="8"/>
        <v>0</v>
      </c>
      <c r="K98" s="2479">
        <v>0</v>
      </c>
      <c r="L98" s="2480">
        <f t="shared" si="9"/>
        <v>0</v>
      </c>
      <c r="M98" s="2479">
        <v>2</v>
      </c>
      <c r="N98" s="2481">
        <v>0</v>
      </c>
      <c r="O98" s="2486"/>
      <c r="P98" s="2487"/>
      <c r="Q98" s="2484"/>
      <c r="R98" s="2485"/>
      <c r="S98" s="2470"/>
    </row>
    <row r="99" spans="1:26" s="2471" customFormat="1">
      <c r="A99" s="2472" t="s">
        <v>4</v>
      </c>
      <c r="B99" s="2473" t="s">
        <v>46</v>
      </c>
      <c r="C99" s="2474">
        <v>8</v>
      </c>
      <c r="D99" s="2475" t="s">
        <v>52</v>
      </c>
      <c r="E99" s="294" t="s">
        <v>38</v>
      </c>
      <c r="F99" s="2476" t="s">
        <v>48</v>
      </c>
      <c r="G99" s="294" t="s">
        <v>49</v>
      </c>
      <c r="H99" s="112">
        <v>0</v>
      </c>
      <c r="I99" s="2477">
        <v>46054</v>
      </c>
      <c r="J99" s="2478">
        <f t="shared" si="8"/>
        <v>0</v>
      </c>
      <c r="K99" s="2479">
        <v>0</v>
      </c>
      <c r="L99" s="2480">
        <f t="shared" si="9"/>
        <v>0</v>
      </c>
      <c r="M99" s="2479">
        <f>M90+Table1[[#This Row],[Result]]</f>
        <v>1</v>
      </c>
      <c r="N99" s="2481">
        <v>0</v>
      </c>
      <c r="O99" s="2486"/>
      <c r="P99" s="2487"/>
      <c r="Q99" s="2484"/>
      <c r="R99" s="2485"/>
      <c r="S99" s="2470"/>
    </row>
    <row r="100" spans="1:26" s="2471" customFormat="1">
      <c r="A100" s="2511" t="s">
        <v>4</v>
      </c>
      <c r="B100" s="2512" t="s">
        <v>46</v>
      </c>
      <c r="C100" s="2513">
        <v>9</v>
      </c>
      <c r="D100" s="2514" t="s">
        <v>53</v>
      </c>
      <c r="E100" s="297" t="s">
        <v>38</v>
      </c>
      <c r="F100" s="2515" t="s">
        <v>48</v>
      </c>
      <c r="G100" s="297" t="s">
        <v>49</v>
      </c>
      <c r="H100" s="135">
        <v>0</v>
      </c>
      <c r="I100" s="2516">
        <v>46054</v>
      </c>
      <c r="J100" s="2517">
        <f t="shared" si="8"/>
        <v>0</v>
      </c>
      <c r="K100" s="2518">
        <v>0</v>
      </c>
      <c r="L100" s="2519">
        <v>3</v>
      </c>
      <c r="M100" s="2518">
        <f>M91+Table1[[#This Row],[Result]]</f>
        <v>2</v>
      </c>
      <c r="N100" s="2520">
        <v>0</v>
      </c>
      <c r="O100" s="2521"/>
      <c r="P100" s="2522"/>
      <c r="Q100" s="2523"/>
      <c r="R100" s="2524"/>
      <c r="S100" s="2470"/>
    </row>
    <row r="101" spans="1:26" s="171" customFormat="1">
      <c r="A101" s="279" t="s">
        <v>4</v>
      </c>
      <c r="B101" s="271" t="s">
        <v>36</v>
      </c>
      <c r="C101" s="222">
        <v>1</v>
      </c>
      <c r="D101" s="223" t="s">
        <v>37</v>
      </c>
      <c r="E101" s="224" t="s">
        <v>38</v>
      </c>
      <c r="F101" s="225" t="s">
        <v>39</v>
      </c>
      <c r="G101" s="298" t="s">
        <v>40</v>
      </c>
      <c r="H101" s="348">
        <v>0</v>
      </c>
      <c r="I101" s="278">
        <v>46082</v>
      </c>
      <c r="J101" s="693">
        <f t="shared" si="8"/>
        <v>0</v>
      </c>
      <c r="K101" s="694"/>
      <c r="L101" s="695">
        <f>IF(J101=0,0,IF(J101="-","-",ROUND(J101/12,2)))</f>
        <v>0</v>
      </c>
      <c r="M101" s="694">
        <f t="shared" si="4"/>
        <v>0</v>
      </c>
      <c r="N101" s="696"/>
      <c r="O101" s="697"/>
      <c r="P101" s="698"/>
      <c r="Q101" s="699"/>
      <c r="R101" s="700"/>
      <c r="S101" s="170"/>
    </row>
    <row r="102" spans="1:26" s="171" customFormat="1">
      <c r="A102" s="283" t="s">
        <v>4</v>
      </c>
      <c r="B102" s="270" t="s">
        <v>36</v>
      </c>
      <c r="C102" s="180">
        <v>2</v>
      </c>
      <c r="D102" s="181" t="s">
        <v>42</v>
      </c>
      <c r="E102" s="182" t="s">
        <v>38</v>
      </c>
      <c r="F102" s="183" t="s">
        <v>39</v>
      </c>
      <c r="G102" s="294" t="s">
        <v>43</v>
      </c>
      <c r="H102" s="344">
        <v>0</v>
      </c>
      <c r="I102" s="280">
        <v>46082</v>
      </c>
      <c r="J102" s="661">
        <f t="shared" si="8"/>
        <v>0</v>
      </c>
      <c r="K102" s="662"/>
      <c r="L102" s="663">
        <f t="shared" ref="L102" si="10">IF(J102=0,0,IF(J102="-","-",ROUND(J102/12,2)))</f>
        <v>0</v>
      </c>
      <c r="M102" s="662">
        <f>Table1[[#This Row],[Result]]+M93</f>
        <v>4</v>
      </c>
      <c r="N102" s="664"/>
      <c r="O102" s="665"/>
      <c r="P102" s="666"/>
      <c r="Q102" s="667"/>
      <c r="R102" s="668"/>
      <c r="S102" s="170"/>
    </row>
    <row r="103" spans="1:26" s="171" customFormat="1">
      <c r="A103" s="283" t="s">
        <v>4</v>
      </c>
      <c r="B103" s="270" t="s">
        <v>36</v>
      </c>
      <c r="C103" s="180">
        <v>3</v>
      </c>
      <c r="D103" s="181" t="s">
        <v>44</v>
      </c>
      <c r="E103" s="182" t="s">
        <v>38</v>
      </c>
      <c r="F103" s="183" t="s">
        <v>39</v>
      </c>
      <c r="G103" s="294" t="s">
        <v>40</v>
      </c>
      <c r="H103" s="344">
        <v>4</v>
      </c>
      <c r="I103" s="280">
        <v>46082</v>
      </c>
      <c r="J103" s="661">
        <v>1</v>
      </c>
      <c r="K103" s="662"/>
      <c r="L103" s="663">
        <v>4</v>
      </c>
      <c r="M103" s="662">
        <f>Table1[[#This Row],[Result]]+M94</f>
        <v>3</v>
      </c>
      <c r="N103" s="664"/>
      <c r="O103" s="665"/>
      <c r="P103" s="666"/>
      <c r="Q103" s="667"/>
      <c r="R103" s="668"/>
      <c r="S103" s="170"/>
    </row>
    <row r="104" spans="1:26" s="171" customFormat="1" ht="34.799999999999997">
      <c r="A104" s="283" t="s">
        <v>4</v>
      </c>
      <c r="B104" s="277" t="s">
        <v>36</v>
      </c>
      <c r="C104" s="190">
        <v>4</v>
      </c>
      <c r="D104" s="226" t="s">
        <v>45</v>
      </c>
      <c r="E104" s="192" t="s">
        <v>38</v>
      </c>
      <c r="F104" s="193" t="s">
        <v>39</v>
      </c>
      <c r="G104" s="295" t="s">
        <v>40</v>
      </c>
      <c r="H104" s="345">
        <v>4</v>
      </c>
      <c r="I104" s="280">
        <v>46082</v>
      </c>
      <c r="J104" s="669" t="s">
        <v>41</v>
      </c>
      <c r="K104" s="670" t="s">
        <v>41</v>
      </c>
      <c r="L104" s="671" t="s">
        <v>41</v>
      </c>
      <c r="M104" s="670"/>
      <c r="N104" s="672"/>
      <c r="O104" s="673"/>
      <c r="P104" s="674"/>
      <c r="Q104" s="675"/>
      <c r="R104" s="676"/>
      <c r="S104" s="170"/>
    </row>
    <row r="105" spans="1:26" s="171" customFormat="1">
      <c r="A105" s="283" t="s">
        <v>4</v>
      </c>
      <c r="B105" s="271" t="s">
        <v>46</v>
      </c>
      <c r="C105" s="194">
        <v>5</v>
      </c>
      <c r="D105" s="195" t="s">
        <v>47</v>
      </c>
      <c r="E105" s="196" t="s">
        <v>38</v>
      </c>
      <c r="F105" s="197" t="s">
        <v>48</v>
      </c>
      <c r="G105" s="296" t="s">
        <v>49</v>
      </c>
      <c r="H105" s="352">
        <v>0</v>
      </c>
      <c r="I105" s="280">
        <v>46082</v>
      </c>
      <c r="J105" s="677">
        <f>IF(H105=0,0,IF(H105="-","-",ROUND(H105/12,2)))</f>
        <v>0</v>
      </c>
      <c r="K105" s="678"/>
      <c r="L105" s="679">
        <f>IF(J105=0,0,IF(J105="-","-",ROUND(J105/12,2)))</f>
        <v>0</v>
      </c>
      <c r="M105" s="678">
        <f>M96+Table1[[#This Row],[Result]]</f>
        <v>1</v>
      </c>
      <c r="N105" s="680"/>
      <c r="O105" s="681"/>
      <c r="P105" s="682"/>
      <c r="Q105" s="683"/>
      <c r="R105" s="684"/>
      <c r="S105" s="170"/>
    </row>
    <row r="106" spans="1:26" s="171" customFormat="1">
      <c r="A106" s="283" t="s">
        <v>4</v>
      </c>
      <c r="B106" s="270" t="s">
        <v>46</v>
      </c>
      <c r="C106" s="180">
        <v>6</v>
      </c>
      <c r="D106" s="181" t="s">
        <v>50</v>
      </c>
      <c r="E106" s="182" t="s">
        <v>38</v>
      </c>
      <c r="F106" s="183" t="s">
        <v>48</v>
      </c>
      <c r="G106" s="294" t="s">
        <v>49</v>
      </c>
      <c r="H106" s="344">
        <v>0</v>
      </c>
      <c r="I106" s="280">
        <v>46082</v>
      </c>
      <c r="J106" s="661">
        <f>IF(H106=0,0,IF(H106="-","-",ROUND(H106/12,2)))</f>
        <v>0</v>
      </c>
      <c r="K106" s="662"/>
      <c r="L106" s="663">
        <f>L97+Table1[[#This Row],[Target]]</f>
        <v>0</v>
      </c>
      <c r="M106" s="662">
        <f>M97+Table1[[#This Row],[Result]]</f>
        <v>2</v>
      </c>
      <c r="N106" s="664"/>
      <c r="O106" s="665"/>
      <c r="P106" s="666"/>
      <c r="Q106" s="667"/>
      <c r="R106" s="668"/>
      <c r="S106" s="170"/>
    </row>
    <row r="107" spans="1:26" s="171" customFormat="1" ht="34.799999999999997">
      <c r="A107" s="283" t="s">
        <v>4</v>
      </c>
      <c r="B107" s="270" t="s">
        <v>46</v>
      </c>
      <c r="C107" s="180">
        <v>7</v>
      </c>
      <c r="D107" s="181" t="s">
        <v>51</v>
      </c>
      <c r="E107" s="182" t="s">
        <v>38</v>
      </c>
      <c r="F107" s="183" t="s">
        <v>48</v>
      </c>
      <c r="G107" s="294" t="s">
        <v>49</v>
      </c>
      <c r="H107" s="344">
        <v>0</v>
      </c>
      <c r="I107" s="280">
        <v>46082</v>
      </c>
      <c r="J107" s="661">
        <f>IF(H107=0,0,IF(H107="-","-",ROUND(H107/12,2)))</f>
        <v>0</v>
      </c>
      <c r="K107" s="662"/>
      <c r="L107" s="663">
        <f t="shared" ref="L107:L108" si="11">IF(J107=0,0,IF(J107="-","-",ROUND(J107/12,2)))</f>
        <v>0</v>
      </c>
      <c r="M107" s="662">
        <f>M98+Table1[[#This Row],[Result]]</f>
        <v>2</v>
      </c>
      <c r="N107" s="664"/>
      <c r="O107" s="665"/>
      <c r="P107" s="666"/>
      <c r="Q107" s="667"/>
      <c r="R107" s="668"/>
      <c r="S107" s="170"/>
    </row>
    <row r="108" spans="1:26" s="171" customFormat="1">
      <c r="A108" s="283" t="s">
        <v>4</v>
      </c>
      <c r="B108" s="270" t="s">
        <v>46</v>
      </c>
      <c r="C108" s="180">
        <v>8</v>
      </c>
      <c r="D108" s="181" t="s">
        <v>52</v>
      </c>
      <c r="E108" s="182" t="s">
        <v>38</v>
      </c>
      <c r="F108" s="183" t="s">
        <v>48</v>
      </c>
      <c r="G108" s="294" t="s">
        <v>49</v>
      </c>
      <c r="H108" s="344">
        <v>0</v>
      </c>
      <c r="I108" s="280">
        <v>46082</v>
      </c>
      <c r="J108" s="661">
        <f>IF(H108=0,0,IF(H108="-","-",ROUND(H108/12,2)))</f>
        <v>0</v>
      </c>
      <c r="K108" s="662"/>
      <c r="L108" s="663">
        <f t="shared" si="11"/>
        <v>0</v>
      </c>
      <c r="M108" s="662">
        <f>M99+Table1[[#This Row],[Result]]</f>
        <v>1</v>
      </c>
      <c r="N108" s="664"/>
      <c r="O108" s="665"/>
      <c r="P108" s="666"/>
      <c r="Q108" s="667"/>
      <c r="R108" s="668"/>
      <c r="S108" s="170"/>
    </row>
    <row r="109" spans="1:26" s="171" customFormat="1">
      <c r="A109" s="284" t="s">
        <v>4</v>
      </c>
      <c r="B109" s="286" t="s">
        <v>46</v>
      </c>
      <c r="C109" s="202">
        <v>9</v>
      </c>
      <c r="D109" s="203" t="s">
        <v>53</v>
      </c>
      <c r="E109" s="204" t="s">
        <v>38</v>
      </c>
      <c r="F109" s="205" t="s">
        <v>48</v>
      </c>
      <c r="G109" s="300" t="s">
        <v>49</v>
      </c>
      <c r="H109" s="355" t="s">
        <v>92</v>
      </c>
      <c r="I109" s="281">
        <v>46082</v>
      </c>
      <c r="J109" s="730">
        <v>0</v>
      </c>
      <c r="K109" s="731"/>
      <c r="L109" s="732">
        <v>3</v>
      </c>
      <c r="M109" s="731">
        <f>M100+Table1[[#This Row],[Result]]</f>
        <v>2</v>
      </c>
      <c r="N109" s="733"/>
      <c r="O109" s="734"/>
      <c r="P109" s="735"/>
      <c r="Q109" s="736"/>
      <c r="R109" s="737"/>
      <c r="S109" s="170"/>
    </row>
    <row r="110" spans="1:26" s="171" customFormat="1">
      <c r="C110" s="108"/>
      <c r="F110" s="172"/>
      <c r="P110" s="738"/>
      <c r="Q110" s="739"/>
      <c r="R110" s="740"/>
      <c r="S110" s="738"/>
      <c r="T110" s="740"/>
      <c r="U110" s="738"/>
      <c r="V110" s="741"/>
      <c r="W110" s="739"/>
      <c r="X110" s="739"/>
      <c r="Y110" s="172"/>
      <c r="Z110" s="172"/>
    </row>
    <row r="111" spans="1:26">
      <c r="A111" s="103"/>
    </row>
  </sheetData>
  <sheetProtection algorithmName="SHA-512" hashValue="pCaz0XHLvqNxYSd2LjLr3TurY+mNUiyu3kZMOsSLCTrEwl93THTSZXtLHrMXnLDoE3YApmN9Ey+njb+Pjfi/ag==" saltValue="k3B5ZlLSqd6abuinblHgfw==" spinCount="100000" sheet="1" formatCells="0" formatColumns="0" formatRows="0" sort="0" autoFilter="0" pivotTables="0"/>
  <conditionalFormatting sqref="H2:AB109">
    <cfRule type="expression" dxfId="60" priority="163">
      <formula>MONTH($I2)=MONTH(TODAY()-29)</formula>
    </cfRule>
  </conditionalFormatting>
  <conditionalFormatting sqref="N1">
    <cfRule type="expression" dxfId="59" priority="166">
      <formula>MONTH(I1)&lt;&gt;MONTH(TODAY())</formula>
    </cfRule>
  </conditionalFormatting>
  <pageMargins left="0.7" right="0.7" top="0.75" bottom="0.75" header="0.3" footer="0.3"/>
  <pageSetup orientation="portrait" horizontalDpi="1200" verticalDpi="1200" r:id="rId1"/>
  <headerFooter>
    <oddHeader>&amp;C&amp;"Calibri"&amp;10&amp;KFF0000 CONFIDENTIAL&amp;1#_x000D_</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031DC-498B-47EA-8C8E-65E6E450D62F}">
  <sheetPr codeName="Sheet3" filterMode="1"/>
  <dimension ref="A1:AB110"/>
  <sheetViews>
    <sheetView showGridLines="0" zoomScale="70" zoomScaleNormal="70" workbookViewId="0">
      <pane xSplit="1" ySplit="1" topLeftCell="C47" activePane="bottomRight" state="frozen"/>
      <selection pane="topRight" activeCell="D69" sqref="D69"/>
      <selection pane="bottomLeft" activeCell="D69" sqref="D69"/>
      <selection pane="bottomRight" activeCell="AE79" sqref="AE79"/>
    </sheetView>
  </sheetViews>
  <sheetFormatPr defaultColWidth="8.109375" defaultRowHeight="34.35" customHeight="1"/>
  <cols>
    <col min="1" max="1" width="9.109375" style="108" customWidth="1"/>
    <col min="2" max="2" width="11.6640625" style="108" customWidth="1"/>
    <col min="3" max="3" width="5" style="108" customWidth="1"/>
    <col min="4" max="4" width="25.6640625" style="108" customWidth="1"/>
    <col min="5" max="5" width="7.109375" style="109" customWidth="1"/>
    <col min="6" max="6" width="6.109375" style="108" customWidth="1"/>
    <col min="7" max="7" width="7.6640625" style="108" customWidth="1"/>
    <col min="8" max="8" width="7.6640625" style="109" customWidth="1"/>
    <col min="9" max="9" width="7.33203125" style="108" customWidth="1"/>
    <col min="10" max="28" width="6.33203125" style="860" customWidth="1"/>
    <col min="29" max="16384" width="8.109375" style="108"/>
  </cols>
  <sheetData>
    <row r="1" spans="1:28" s="164" customFormat="1" ht="45.75" customHeight="1">
      <c r="A1" s="156" t="s">
        <v>1</v>
      </c>
      <c r="B1" s="157" t="s">
        <v>19</v>
      </c>
      <c r="C1" s="158" t="s">
        <v>93</v>
      </c>
      <c r="D1" s="159" t="s">
        <v>21</v>
      </c>
      <c r="E1" s="160" t="s">
        <v>22</v>
      </c>
      <c r="F1" s="161" t="s">
        <v>23</v>
      </c>
      <c r="G1" s="162" t="s">
        <v>24</v>
      </c>
      <c r="H1" s="160" t="s">
        <v>25</v>
      </c>
      <c r="I1" s="163" t="s">
        <v>26</v>
      </c>
      <c r="J1" s="747" t="s">
        <v>94</v>
      </c>
      <c r="K1" s="748" t="s">
        <v>95</v>
      </c>
      <c r="L1" s="748" t="s">
        <v>96</v>
      </c>
      <c r="M1" s="748" t="s">
        <v>97</v>
      </c>
      <c r="N1" s="748" t="s">
        <v>98</v>
      </c>
      <c r="O1" s="748" t="s">
        <v>99</v>
      </c>
      <c r="P1" s="748" t="s">
        <v>100</v>
      </c>
      <c r="Q1" s="748" t="s">
        <v>101</v>
      </c>
      <c r="R1" s="748" t="s">
        <v>102</v>
      </c>
      <c r="S1" s="749" t="s">
        <v>103</v>
      </c>
      <c r="T1" s="750" t="s">
        <v>104</v>
      </c>
      <c r="U1" s="751" t="s">
        <v>105</v>
      </c>
      <c r="V1" s="751" t="s">
        <v>106</v>
      </c>
      <c r="W1" s="751" t="s">
        <v>107</v>
      </c>
      <c r="X1" s="751" t="s">
        <v>108</v>
      </c>
      <c r="Y1" s="751" t="s">
        <v>109</v>
      </c>
      <c r="Z1" s="751" t="s">
        <v>110</v>
      </c>
      <c r="AA1" s="751" t="s">
        <v>111</v>
      </c>
      <c r="AB1" s="752" t="s">
        <v>39</v>
      </c>
    </row>
    <row r="2" spans="1:28" ht="17.399999999999999">
      <c r="A2" s="304" t="s">
        <v>4</v>
      </c>
      <c r="B2" s="308" t="s">
        <v>36</v>
      </c>
      <c r="C2" s="120">
        <v>1</v>
      </c>
      <c r="D2" s="121" t="s">
        <v>37</v>
      </c>
      <c r="E2" s="116" t="s">
        <v>38</v>
      </c>
      <c r="F2" s="128" t="s">
        <v>39</v>
      </c>
      <c r="G2" s="129" t="s">
        <v>40</v>
      </c>
      <c r="H2" s="117">
        <v>0</v>
      </c>
      <c r="I2" s="301">
        <v>45748</v>
      </c>
      <c r="J2" s="753">
        <v>0</v>
      </c>
      <c r="K2" s="754">
        <v>0</v>
      </c>
      <c r="L2" s="754">
        <v>0</v>
      </c>
      <c r="M2" s="754">
        <v>0</v>
      </c>
      <c r="N2" s="754">
        <v>0</v>
      </c>
      <c r="O2" s="754">
        <v>0</v>
      </c>
      <c r="P2" s="754">
        <v>0</v>
      </c>
      <c r="Q2" s="754">
        <v>0</v>
      </c>
      <c r="R2" s="754">
        <v>0</v>
      </c>
      <c r="S2" s="755">
        <v>0</v>
      </c>
      <c r="T2" s="756">
        <v>0</v>
      </c>
      <c r="U2" s="754">
        <v>0</v>
      </c>
      <c r="V2" s="754">
        <v>0</v>
      </c>
      <c r="W2" s="754">
        <v>0</v>
      </c>
      <c r="X2" s="754">
        <v>0</v>
      </c>
      <c r="Y2" s="754">
        <v>0</v>
      </c>
      <c r="Z2" s="754">
        <v>0</v>
      </c>
      <c r="AA2" s="754">
        <v>0</v>
      </c>
      <c r="AB2" s="757">
        <v>0</v>
      </c>
    </row>
    <row r="3" spans="1:28" ht="17.399999999999999">
      <c r="A3" s="305" t="s">
        <v>4</v>
      </c>
      <c r="B3" s="309" t="s">
        <v>36</v>
      </c>
      <c r="C3" s="122">
        <v>2</v>
      </c>
      <c r="D3" s="123" t="s">
        <v>42</v>
      </c>
      <c r="E3" s="312" t="s">
        <v>38</v>
      </c>
      <c r="F3" s="313" t="s">
        <v>39</v>
      </c>
      <c r="G3" s="130" t="s">
        <v>43</v>
      </c>
      <c r="H3" s="112">
        <v>0</v>
      </c>
      <c r="I3" s="302">
        <v>45748</v>
      </c>
      <c r="J3" s="758">
        <v>0</v>
      </c>
      <c r="K3" s="759">
        <v>0</v>
      </c>
      <c r="L3" s="759">
        <v>0</v>
      </c>
      <c r="M3" s="759">
        <v>0</v>
      </c>
      <c r="N3" s="759">
        <v>0</v>
      </c>
      <c r="O3" s="759">
        <v>0</v>
      </c>
      <c r="P3" s="759">
        <v>0</v>
      </c>
      <c r="Q3" s="759">
        <v>0</v>
      </c>
      <c r="R3" s="759">
        <v>0</v>
      </c>
      <c r="S3" s="760">
        <v>0</v>
      </c>
      <c r="T3" s="761">
        <v>0</v>
      </c>
      <c r="U3" s="759">
        <v>0</v>
      </c>
      <c r="V3" s="759">
        <v>0</v>
      </c>
      <c r="W3" s="759">
        <v>0</v>
      </c>
      <c r="X3" s="759">
        <v>0</v>
      </c>
      <c r="Y3" s="759">
        <v>0</v>
      </c>
      <c r="Z3" s="759">
        <v>0</v>
      </c>
      <c r="AA3" s="759">
        <v>0</v>
      </c>
      <c r="AB3" s="762">
        <v>0</v>
      </c>
    </row>
    <row r="4" spans="1:28" ht="17.399999999999999">
      <c r="A4" s="305" t="s">
        <v>4</v>
      </c>
      <c r="B4" s="309" t="s">
        <v>36</v>
      </c>
      <c r="C4" s="122">
        <v>3</v>
      </c>
      <c r="D4" s="123" t="s">
        <v>44</v>
      </c>
      <c r="E4" s="312" t="s">
        <v>38</v>
      </c>
      <c r="F4" s="313" t="s">
        <v>39</v>
      </c>
      <c r="G4" s="130" t="s">
        <v>40</v>
      </c>
      <c r="H4" s="112">
        <v>4</v>
      </c>
      <c r="I4" s="302">
        <v>45748</v>
      </c>
      <c r="J4" s="758">
        <v>0</v>
      </c>
      <c r="K4" s="759">
        <v>0</v>
      </c>
      <c r="L4" s="759">
        <v>0</v>
      </c>
      <c r="M4" s="759">
        <v>0</v>
      </c>
      <c r="N4" s="759">
        <v>0</v>
      </c>
      <c r="O4" s="759">
        <v>0</v>
      </c>
      <c r="P4" s="759">
        <v>0</v>
      </c>
      <c r="Q4" s="759">
        <v>0</v>
      </c>
      <c r="R4" s="759">
        <v>0</v>
      </c>
      <c r="S4" s="760">
        <v>0</v>
      </c>
      <c r="T4" s="761">
        <v>0</v>
      </c>
      <c r="U4" s="759">
        <v>0</v>
      </c>
      <c r="V4" s="759">
        <v>0</v>
      </c>
      <c r="W4" s="759">
        <v>0</v>
      </c>
      <c r="X4" s="759">
        <v>0</v>
      </c>
      <c r="Y4" s="759">
        <v>0</v>
      </c>
      <c r="Z4" s="759">
        <v>0</v>
      </c>
      <c r="AA4" s="759">
        <v>0</v>
      </c>
      <c r="AB4" s="762">
        <v>0</v>
      </c>
    </row>
    <row r="5" spans="1:28" ht="17.399999999999999">
      <c r="A5" s="305" t="s">
        <v>4</v>
      </c>
      <c r="B5" s="309" t="s">
        <v>36</v>
      </c>
      <c r="C5" s="136">
        <v>4</v>
      </c>
      <c r="D5" s="137" t="s">
        <v>112</v>
      </c>
      <c r="E5" s="314" t="s">
        <v>38</v>
      </c>
      <c r="F5" s="315" t="s">
        <v>39</v>
      </c>
      <c r="G5" s="138" t="s">
        <v>40</v>
      </c>
      <c r="H5" s="139">
        <v>4</v>
      </c>
      <c r="I5" s="302">
        <v>45748</v>
      </c>
      <c r="J5" s="763"/>
      <c r="K5" s="764"/>
      <c r="L5" s="764"/>
      <c r="M5" s="764"/>
      <c r="N5" s="764"/>
      <c r="O5" s="764"/>
      <c r="P5" s="764"/>
      <c r="Q5" s="764"/>
      <c r="R5" s="764"/>
      <c r="S5" s="765"/>
      <c r="T5" s="766"/>
      <c r="U5" s="764"/>
      <c r="V5" s="764"/>
      <c r="W5" s="764"/>
      <c r="X5" s="764"/>
      <c r="Y5" s="764"/>
      <c r="Z5" s="764"/>
      <c r="AA5" s="764"/>
      <c r="AB5" s="767"/>
    </row>
    <row r="6" spans="1:28" ht="17.399999999999999">
      <c r="A6" s="306" t="s">
        <v>4</v>
      </c>
      <c r="B6" s="310" t="s">
        <v>46</v>
      </c>
      <c r="C6" s="146">
        <v>5</v>
      </c>
      <c r="D6" s="147" t="s">
        <v>47</v>
      </c>
      <c r="E6" s="148" t="s">
        <v>38</v>
      </c>
      <c r="F6" s="149" t="s">
        <v>48</v>
      </c>
      <c r="G6" s="150" t="s">
        <v>49</v>
      </c>
      <c r="H6" s="151">
        <v>0</v>
      </c>
      <c r="I6" s="302">
        <v>45748</v>
      </c>
      <c r="J6" s="768">
        <v>0</v>
      </c>
      <c r="K6" s="769">
        <v>0</v>
      </c>
      <c r="L6" s="769">
        <v>0</v>
      </c>
      <c r="M6" s="769">
        <v>0</v>
      </c>
      <c r="N6" s="769">
        <v>0</v>
      </c>
      <c r="O6" s="769">
        <v>0</v>
      </c>
      <c r="P6" s="769">
        <v>0</v>
      </c>
      <c r="Q6" s="769">
        <v>0</v>
      </c>
      <c r="R6" s="769">
        <v>0</v>
      </c>
      <c r="S6" s="770">
        <v>0</v>
      </c>
      <c r="T6" s="771">
        <v>0</v>
      </c>
      <c r="U6" s="769">
        <v>0</v>
      </c>
      <c r="V6" s="769">
        <v>0</v>
      </c>
      <c r="W6" s="769">
        <v>0</v>
      </c>
      <c r="X6" s="769">
        <v>0</v>
      </c>
      <c r="Y6" s="769">
        <v>0</v>
      </c>
      <c r="Z6" s="769">
        <v>0</v>
      </c>
      <c r="AA6" s="769">
        <v>0</v>
      </c>
      <c r="AB6" s="772">
        <v>0</v>
      </c>
    </row>
    <row r="7" spans="1:28" ht="17.399999999999999">
      <c r="A7" s="305" t="s">
        <v>4</v>
      </c>
      <c r="B7" s="309" t="s">
        <v>46</v>
      </c>
      <c r="C7" s="122">
        <v>6</v>
      </c>
      <c r="D7" s="123" t="s">
        <v>50</v>
      </c>
      <c r="E7" s="312" t="s">
        <v>38</v>
      </c>
      <c r="F7" s="313" t="s">
        <v>48</v>
      </c>
      <c r="G7" s="130" t="s">
        <v>49</v>
      </c>
      <c r="H7" s="112">
        <v>0</v>
      </c>
      <c r="I7" s="302">
        <v>45748</v>
      </c>
      <c r="J7" s="773">
        <v>0</v>
      </c>
      <c r="K7" s="774">
        <v>0</v>
      </c>
      <c r="L7" s="774">
        <v>0</v>
      </c>
      <c r="M7" s="774">
        <v>0</v>
      </c>
      <c r="N7" s="774">
        <v>0</v>
      </c>
      <c r="O7" s="774">
        <v>0</v>
      </c>
      <c r="P7" s="774">
        <v>0</v>
      </c>
      <c r="Q7" s="774">
        <v>0</v>
      </c>
      <c r="R7" s="774">
        <v>0</v>
      </c>
      <c r="S7" s="775">
        <v>0</v>
      </c>
      <c r="T7" s="776">
        <v>0</v>
      </c>
      <c r="U7" s="774">
        <v>0</v>
      </c>
      <c r="V7" s="774">
        <v>0</v>
      </c>
      <c r="W7" s="774">
        <v>0</v>
      </c>
      <c r="X7" s="774">
        <v>0</v>
      </c>
      <c r="Y7" s="774">
        <v>0</v>
      </c>
      <c r="Z7" s="774">
        <v>0</v>
      </c>
      <c r="AA7" s="774">
        <v>0</v>
      </c>
      <c r="AB7" s="777">
        <v>0</v>
      </c>
    </row>
    <row r="8" spans="1:28" ht="34.799999999999997">
      <c r="A8" s="305" t="s">
        <v>4</v>
      </c>
      <c r="B8" s="309" t="s">
        <v>46</v>
      </c>
      <c r="C8" s="122">
        <v>7</v>
      </c>
      <c r="D8" s="123" t="s">
        <v>51</v>
      </c>
      <c r="E8" s="312" t="s">
        <v>38</v>
      </c>
      <c r="F8" s="313" t="s">
        <v>48</v>
      </c>
      <c r="G8" s="130" t="s">
        <v>49</v>
      </c>
      <c r="H8" s="112">
        <v>0</v>
      </c>
      <c r="I8" s="302">
        <v>45748</v>
      </c>
      <c r="J8" s="773">
        <v>0</v>
      </c>
      <c r="K8" s="774">
        <v>0</v>
      </c>
      <c r="L8" s="774">
        <v>0</v>
      </c>
      <c r="M8" s="774">
        <v>0</v>
      </c>
      <c r="N8" s="774">
        <v>0</v>
      </c>
      <c r="O8" s="774">
        <v>0</v>
      </c>
      <c r="P8" s="774">
        <v>0</v>
      </c>
      <c r="Q8" s="774">
        <v>0</v>
      </c>
      <c r="R8" s="774">
        <v>0</v>
      </c>
      <c r="S8" s="775">
        <v>0</v>
      </c>
      <c r="T8" s="776">
        <v>0</v>
      </c>
      <c r="U8" s="774">
        <v>0</v>
      </c>
      <c r="V8" s="774">
        <v>0</v>
      </c>
      <c r="W8" s="774">
        <v>0</v>
      </c>
      <c r="X8" s="774">
        <v>0</v>
      </c>
      <c r="Y8" s="774">
        <v>0</v>
      </c>
      <c r="Z8" s="774">
        <v>0</v>
      </c>
      <c r="AA8" s="774">
        <v>0</v>
      </c>
      <c r="AB8" s="777">
        <v>0</v>
      </c>
    </row>
    <row r="9" spans="1:28" ht="17.399999999999999">
      <c r="A9" s="305" t="s">
        <v>4</v>
      </c>
      <c r="B9" s="309" t="s">
        <v>46</v>
      </c>
      <c r="C9" s="122">
        <v>8</v>
      </c>
      <c r="D9" s="123" t="s">
        <v>52</v>
      </c>
      <c r="E9" s="312" t="s">
        <v>38</v>
      </c>
      <c r="F9" s="313" t="s">
        <v>48</v>
      </c>
      <c r="G9" s="130" t="s">
        <v>49</v>
      </c>
      <c r="H9" s="112">
        <v>0</v>
      </c>
      <c r="I9" s="302">
        <v>45748</v>
      </c>
      <c r="J9" s="773">
        <v>0</v>
      </c>
      <c r="K9" s="774">
        <v>0</v>
      </c>
      <c r="L9" s="774">
        <v>0</v>
      </c>
      <c r="M9" s="774">
        <v>0</v>
      </c>
      <c r="N9" s="774">
        <v>0</v>
      </c>
      <c r="O9" s="774">
        <v>0</v>
      </c>
      <c r="P9" s="774">
        <v>0</v>
      </c>
      <c r="Q9" s="774">
        <v>0</v>
      </c>
      <c r="R9" s="774">
        <v>0</v>
      </c>
      <c r="S9" s="775">
        <v>0</v>
      </c>
      <c r="T9" s="776">
        <v>0</v>
      </c>
      <c r="U9" s="774">
        <v>0</v>
      </c>
      <c r="V9" s="774">
        <v>0</v>
      </c>
      <c r="W9" s="774">
        <v>0</v>
      </c>
      <c r="X9" s="774">
        <v>0</v>
      </c>
      <c r="Y9" s="774">
        <v>0</v>
      </c>
      <c r="Z9" s="774">
        <v>0</v>
      </c>
      <c r="AA9" s="774">
        <v>0</v>
      </c>
      <c r="AB9" s="777">
        <v>0</v>
      </c>
    </row>
    <row r="10" spans="1:28" ht="17.399999999999999">
      <c r="A10" s="307" t="s">
        <v>4</v>
      </c>
      <c r="B10" s="311" t="s">
        <v>46</v>
      </c>
      <c r="C10" s="132">
        <v>9</v>
      </c>
      <c r="D10" s="133" t="s">
        <v>53</v>
      </c>
      <c r="E10" s="316" t="s">
        <v>38</v>
      </c>
      <c r="F10" s="317" t="s">
        <v>48</v>
      </c>
      <c r="G10" s="134" t="s">
        <v>49</v>
      </c>
      <c r="H10" s="135">
        <v>1</v>
      </c>
      <c r="I10" s="303">
        <v>45748</v>
      </c>
      <c r="J10" s="778">
        <v>0</v>
      </c>
      <c r="K10" s="779">
        <v>0</v>
      </c>
      <c r="L10" s="779">
        <v>0</v>
      </c>
      <c r="M10" s="779">
        <v>0</v>
      </c>
      <c r="N10" s="779">
        <v>0</v>
      </c>
      <c r="O10" s="779">
        <v>0</v>
      </c>
      <c r="P10" s="779">
        <v>0</v>
      </c>
      <c r="Q10" s="779">
        <v>0</v>
      </c>
      <c r="R10" s="779">
        <v>0</v>
      </c>
      <c r="S10" s="780">
        <v>0</v>
      </c>
      <c r="T10" s="781">
        <v>0</v>
      </c>
      <c r="U10" s="779">
        <v>0</v>
      </c>
      <c r="V10" s="779">
        <v>0</v>
      </c>
      <c r="W10" s="779">
        <v>0</v>
      </c>
      <c r="X10" s="779">
        <v>0</v>
      </c>
      <c r="Y10" s="779">
        <v>0</v>
      </c>
      <c r="Z10" s="779">
        <v>0</v>
      </c>
      <c r="AA10" s="779">
        <v>0</v>
      </c>
      <c r="AB10" s="782">
        <v>0</v>
      </c>
    </row>
    <row r="11" spans="1:28" ht="17.399999999999999">
      <c r="A11" s="304" t="s">
        <v>4</v>
      </c>
      <c r="B11" s="308" t="s">
        <v>36</v>
      </c>
      <c r="C11" s="120">
        <v>1</v>
      </c>
      <c r="D11" s="121" t="s">
        <v>37</v>
      </c>
      <c r="E11" s="116" t="s">
        <v>38</v>
      </c>
      <c r="F11" s="128" t="s">
        <v>39</v>
      </c>
      <c r="G11" s="129" t="s">
        <v>40</v>
      </c>
      <c r="H11" s="117">
        <v>0</v>
      </c>
      <c r="I11" s="301">
        <v>45778</v>
      </c>
      <c r="J11" s="753">
        <v>0</v>
      </c>
      <c r="K11" s="754">
        <v>0</v>
      </c>
      <c r="L11" s="754">
        <v>0</v>
      </c>
      <c r="M11" s="754">
        <v>0</v>
      </c>
      <c r="N11" s="754">
        <v>0</v>
      </c>
      <c r="O11" s="754">
        <v>0</v>
      </c>
      <c r="P11" s="754">
        <v>0</v>
      </c>
      <c r="Q11" s="754">
        <v>0</v>
      </c>
      <c r="R11" s="754">
        <v>0</v>
      </c>
      <c r="S11" s="755">
        <v>0</v>
      </c>
      <c r="T11" s="756">
        <v>0</v>
      </c>
      <c r="U11" s="754">
        <v>0</v>
      </c>
      <c r="V11" s="754">
        <v>0</v>
      </c>
      <c r="W11" s="754">
        <v>0</v>
      </c>
      <c r="X11" s="754">
        <v>0</v>
      </c>
      <c r="Y11" s="754">
        <v>0</v>
      </c>
      <c r="Z11" s="754">
        <v>0</v>
      </c>
      <c r="AA11" s="754">
        <v>0</v>
      </c>
      <c r="AB11" s="757">
        <v>0</v>
      </c>
    </row>
    <row r="12" spans="1:28" ht="17.399999999999999">
      <c r="A12" s="305" t="s">
        <v>4</v>
      </c>
      <c r="B12" s="309" t="s">
        <v>36</v>
      </c>
      <c r="C12" s="122">
        <v>2</v>
      </c>
      <c r="D12" s="123" t="s">
        <v>42</v>
      </c>
      <c r="E12" s="312" t="s">
        <v>38</v>
      </c>
      <c r="F12" s="313" t="s">
        <v>39</v>
      </c>
      <c r="G12" s="130" t="s">
        <v>43</v>
      </c>
      <c r="H12" s="112">
        <v>0</v>
      </c>
      <c r="I12" s="302">
        <v>45778</v>
      </c>
      <c r="J12" s="758">
        <v>0</v>
      </c>
      <c r="K12" s="759">
        <v>0</v>
      </c>
      <c r="L12" s="759">
        <v>0</v>
      </c>
      <c r="M12" s="759">
        <v>0</v>
      </c>
      <c r="N12" s="759">
        <v>0</v>
      </c>
      <c r="O12" s="759">
        <v>0</v>
      </c>
      <c r="P12" s="783">
        <v>1</v>
      </c>
      <c r="Q12" s="759">
        <v>0</v>
      </c>
      <c r="R12" s="759">
        <v>0</v>
      </c>
      <c r="S12" s="760">
        <v>0</v>
      </c>
      <c r="T12" s="761">
        <v>0</v>
      </c>
      <c r="U12" s="759">
        <v>0</v>
      </c>
      <c r="V12" s="759">
        <v>0</v>
      </c>
      <c r="W12" s="759">
        <v>0</v>
      </c>
      <c r="X12" s="759">
        <v>0</v>
      </c>
      <c r="Y12" s="759">
        <v>0</v>
      </c>
      <c r="Z12" s="759">
        <v>0</v>
      </c>
      <c r="AA12" s="759">
        <v>0</v>
      </c>
      <c r="AB12" s="762">
        <v>0</v>
      </c>
    </row>
    <row r="13" spans="1:28" ht="17.399999999999999">
      <c r="A13" s="305" t="s">
        <v>4</v>
      </c>
      <c r="B13" s="309" t="s">
        <v>36</v>
      </c>
      <c r="C13" s="122">
        <v>3</v>
      </c>
      <c r="D13" s="123" t="s">
        <v>44</v>
      </c>
      <c r="E13" s="312" t="s">
        <v>38</v>
      </c>
      <c r="F13" s="313" t="s">
        <v>39</v>
      </c>
      <c r="G13" s="130" t="s">
        <v>40</v>
      </c>
      <c r="H13" s="112">
        <v>4</v>
      </c>
      <c r="I13" s="302">
        <v>45778</v>
      </c>
      <c r="J13" s="758">
        <v>0</v>
      </c>
      <c r="K13" s="759">
        <v>0</v>
      </c>
      <c r="L13" s="759">
        <v>0</v>
      </c>
      <c r="M13" s="759">
        <v>0</v>
      </c>
      <c r="N13" s="759">
        <v>0</v>
      </c>
      <c r="O13" s="759">
        <v>0</v>
      </c>
      <c r="P13" s="759">
        <v>0</v>
      </c>
      <c r="Q13" s="759">
        <v>0</v>
      </c>
      <c r="R13" s="759">
        <v>0</v>
      </c>
      <c r="S13" s="760">
        <v>0</v>
      </c>
      <c r="T13" s="761">
        <v>0</v>
      </c>
      <c r="U13" s="759">
        <v>0</v>
      </c>
      <c r="V13" s="759">
        <v>0</v>
      </c>
      <c r="W13" s="759">
        <v>0</v>
      </c>
      <c r="X13" s="759">
        <v>0</v>
      </c>
      <c r="Y13" s="759">
        <v>0</v>
      </c>
      <c r="Z13" s="759">
        <v>0</v>
      </c>
      <c r="AA13" s="759">
        <v>0</v>
      </c>
      <c r="AB13" s="762">
        <v>0</v>
      </c>
    </row>
    <row r="14" spans="1:28" ht="17.399999999999999">
      <c r="A14" s="305" t="s">
        <v>4</v>
      </c>
      <c r="B14" s="309" t="s">
        <v>36</v>
      </c>
      <c r="C14" s="152">
        <v>4</v>
      </c>
      <c r="D14" s="153" t="s">
        <v>112</v>
      </c>
      <c r="E14" s="314" t="s">
        <v>38</v>
      </c>
      <c r="F14" s="315" t="s">
        <v>39</v>
      </c>
      <c r="G14" s="154" t="s">
        <v>40</v>
      </c>
      <c r="H14" s="155">
        <v>4</v>
      </c>
      <c r="I14" s="302">
        <v>45778</v>
      </c>
      <c r="J14" s="763"/>
      <c r="K14" s="764"/>
      <c r="L14" s="764"/>
      <c r="M14" s="764"/>
      <c r="N14" s="764"/>
      <c r="O14" s="764"/>
      <c r="P14" s="764"/>
      <c r="Q14" s="764"/>
      <c r="R14" s="764"/>
      <c r="S14" s="765"/>
      <c r="T14" s="766"/>
      <c r="U14" s="764"/>
      <c r="V14" s="764"/>
      <c r="W14" s="764"/>
      <c r="X14" s="764"/>
      <c r="Y14" s="764"/>
      <c r="Z14" s="764"/>
      <c r="AA14" s="764"/>
      <c r="AB14" s="767"/>
    </row>
    <row r="15" spans="1:28" ht="17.399999999999999">
      <c r="A15" s="306" t="s">
        <v>4</v>
      </c>
      <c r="B15" s="310" t="s">
        <v>46</v>
      </c>
      <c r="C15" s="120">
        <v>5</v>
      </c>
      <c r="D15" s="121" t="s">
        <v>47</v>
      </c>
      <c r="E15" s="148" t="s">
        <v>38</v>
      </c>
      <c r="F15" s="149" t="s">
        <v>48</v>
      </c>
      <c r="G15" s="129" t="s">
        <v>49</v>
      </c>
      <c r="H15" s="117">
        <v>0</v>
      </c>
      <c r="I15" s="302">
        <v>45778</v>
      </c>
      <c r="J15" s="768">
        <v>0</v>
      </c>
      <c r="K15" s="769">
        <v>0</v>
      </c>
      <c r="L15" s="769">
        <v>0</v>
      </c>
      <c r="M15" s="769">
        <v>0</v>
      </c>
      <c r="N15" s="769">
        <v>0</v>
      </c>
      <c r="O15" s="769">
        <v>0</v>
      </c>
      <c r="P15" s="769">
        <v>0</v>
      </c>
      <c r="Q15" s="769">
        <v>0</v>
      </c>
      <c r="R15" s="769">
        <v>0</v>
      </c>
      <c r="S15" s="770">
        <v>0</v>
      </c>
      <c r="T15" s="771">
        <v>0</v>
      </c>
      <c r="U15" s="769">
        <v>0</v>
      </c>
      <c r="V15" s="769">
        <v>0</v>
      </c>
      <c r="W15" s="769">
        <v>0</v>
      </c>
      <c r="X15" s="769">
        <v>0</v>
      </c>
      <c r="Y15" s="769">
        <v>0</v>
      </c>
      <c r="Z15" s="769">
        <v>0</v>
      </c>
      <c r="AA15" s="769">
        <v>0</v>
      </c>
      <c r="AB15" s="772">
        <v>0</v>
      </c>
    </row>
    <row r="16" spans="1:28" ht="17.399999999999999">
      <c r="A16" s="305" t="s">
        <v>4</v>
      </c>
      <c r="B16" s="309" t="s">
        <v>46</v>
      </c>
      <c r="C16" s="122">
        <v>6</v>
      </c>
      <c r="D16" s="123" t="s">
        <v>50</v>
      </c>
      <c r="E16" s="312" t="s">
        <v>38</v>
      </c>
      <c r="F16" s="313" t="s">
        <v>48</v>
      </c>
      <c r="G16" s="130" t="s">
        <v>49</v>
      </c>
      <c r="H16" s="112">
        <v>0</v>
      </c>
      <c r="I16" s="302">
        <v>45778</v>
      </c>
      <c r="J16" s="773">
        <v>0</v>
      </c>
      <c r="K16" s="774">
        <v>0</v>
      </c>
      <c r="L16" s="774">
        <v>0</v>
      </c>
      <c r="M16" s="774">
        <v>0</v>
      </c>
      <c r="N16" s="774">
        <v>0</v>
      </c>
      <c r="O16" s="774">
        <v>0</v>
      </c>
      <c r="P16" s="774">
        <v>0</v>
      </c>
      <c r="Q16" s="774">
        <v>0</v>
      </c>
      <c r="R16" s="774">
        <v>0</v>
      </c>
      <c r="S16" s="775">
        <v>0</v>
      </c>
      <c r="T16" s="776">
        <v>0</v>
      </c>
      <c r="U16" s="774">
        <v>0</v>
      </c>
      <c r="V16" s="774">
        <v>0</v>
      </c>
      <c r="W16" s="774">
        <v>0</v>
      </c>
      <c r="X16" s="774">
        <v>0</v>
      </c>
      <c r="Y16" s="774">
        <v>0</v>
      </c>
      <c r="Z16" s="774">
        <v>0</v>
      </c>
      <c r="AA16" s="774">
        <v>0</v>
      </c>
      <c r="AB16" s="777">
        <v>0</v>
      </c>
    </row>
    <row r="17" spans="1:28" ht="34.799999999999997">
      <c r="A17" s="305" t="s">
        <v>4</v>
      </c>
      <c r="B17" s="309" t="s">
        <v>46</v>
      </c>
      <c r="C17" s="122">
        <v>7</v>
      </c>
      <c r="D17" s="123" t="s">
        <v>51</v>
      </c>
      <c r="E17" s="312" t="s">
        <v>38</v>
      </c>
      <c r="F17" s="313" t="s">
        <v>48</v>
      </c>
      <c r="G17" s="130" t="s">
        <v>49</v>
      </c>
      <c r="H17" s="112">
        <v>0</v>
      </c>
      <c r="I17" s="302">
        <v>45778</v>
      </c>
      <c r="J17" s="773">
        <v>0</v>
      </c>
      <c r="K17" s="774">
        <v>0</v>
      </c>
      <c r="L17" s="774">
        <v>0</v>
      </c>
      <c r="M17" s="774">
        <v>0</v>
      </c>
      <c r="N17" s="774">
        <v>0</v>
      </c>
      <c r="O17" s="774">
        <v>0</v>
      </c>
      <c r="P17" s="774">
        <v>0</v>
      </c>
      <c r="Q17" s="774">
        <v>0</v>
      </c>
      <c r="R17" s="774">
        <v>0</v>
      </c>
      <c r="S17" s="775">
        <v>0</v>
      </c>
      <c r="T17" s="776">
        <v>0</v>
      </c>
      <c r="U17" s="774">
        <v>0</v>
      </c>
      <c r="V17" s="774">
        <v>0</v>
      </c>
      <c r="W17" s="774">
        <v>0</v>
      </c>
      <c r="X17" s="774">
        <v>0</v>
      </c>
      <c r="Y17" s="774">
        <v>0</v>
      </c>
      <c r="Z17" s="774">
        <v>0</v>
      </c>
      <c r="AA17" s="774">
        <v>0</v>
      </c>
      <c r="AB17" s="777">
        <v>0</v>
      </c>
    </row>
    <row r="18" spans="1:28" ht="17.399999999999999">
      <c r="A18" s="305" t="s">
        <v>4</v>
      </c>
      <c r="B18" s="309" t="s">
        <v>46</v>
      </c>
      <c r="C18" s="122">
        <v>8</v>
      </c>
      <c r="D18" s="123" t="s">
        <v>52</v>
      </c>
      <c r="E18" s="312" t="s">
        <v>38</v>
      </c>
      <c r="F18" s="313" t="s">
        <v>48</v>
      </c>
      <c r="G18" s="130" t="s">
        <v>49</v>
      </c>
      <c r="H18" s="112">
        <v>0</v>
      </c>
      <c r="I18" s="302">
        <v>45778</v>
      </c>
      <c r="J18" s="773">
        <v>0</v>
      </c>
      <c r="K18" s="774">
        <v>0</v>
      </c>
      <c r="L18" s="774">
        <v>0</v>
      </c>
      <c r="M18" s="774">
        <v>0</v>
      </c>
      <c r="N18" s="774">
        <v>0</v>
      </c>
      <c r="O18" s="774">
        <v>0</v>
      </c>
      <c r="P18" s="774">
        <v>0</v>
      </c>
      <c r="Q18" s="774">
        <v>0</v>
      </c>
      <c r="R18" s="774">
        <v>0</v>
      </c>
      <c r="S18" s="775">
        <v>0</v>
      </c>
      <c r="T18" s="776">
        <v>0</v>
      </c>
      <c r="U18" s="774">
        <v>0</v>
      </c>
      <c r="V18" s="774">
        <v>0</v>
      </c>
      <c r="W18" s="774">
        <v>0</v>
      </c>
      <c r="X18" s="774">
        <v>0</v>
      </c>
      <c r="Y18" s="774">
        <v>0</v>
      </c>
      <c r="Z18" s="774">
        <v>0</v>
      </c>
      <c r="AA18" s="774">
        <v>0</v>
      </c>
      <c r="AB18" s="777">
        <v>0</v>
      </c>
    </row>
    <row r="19" spans="1:28" ht="17.399999999999999">
      <c r="A19" s="307" t="s">
        <v>4</v>
      </c>
      <c r="B19" s="311" t="s">
        <v>46</v>
      </c>
      <c r="C19" s="132">
        <v>9</v>
      </c>
      <c r="D19" s="133" t="s">
        <v>53</v>
      </c>
      <c r="E19" s="316" t="s">
        <v>38</v>
      </c>
      <c r="F19" s="317" t="s">
        <v>48</v>
      </c>
      <c r="G19" s="134" t="s">
        <v>49</v>
      </c>
      <c r="H19" s="135">
        <v>0</v>
      </c>
      <c r="I19" s="303">
        <v>45778</v>
      </c>
      <c r="J19" s="778">
        <v>0</v>
      </c>
      <c r="K19" s="779">
        <v>0</v>
      </c>
      <c r="L19" s="779">
        <v>0</v>
      </c>
      <c r="M19" s="779">
        <v>0</v>
      </c>
      <c r="N19" s="779">
        <v>0</v>
      </c>
      <c r="O19" s="779">
        <v>0</v>
      </c>
      <c r="P19" s="779">
        <v>0</v>
      </c>
      <c r="Q19" s="779">
        <v>0</v>
      </c>
      <c r="R19" s="779">
        <v>0</v>
      </c>
      <c r="S19" s="784">
        <v>1</v>
      </c>
      <c r="T19" s="781">
        <v>0</v>
      </c>
      <c r="U19" s="779">
        <v>0</v>
      </c>
      <c r="V19" s="779">
        <v>0</v>
      </c>
      <c r="W19" s="779">
        <v>0</v>
      </c>
      <c r="X19" s="779">
        <v>0</v>
      </c>
      <c r="Y19" s="779">
        <v>0</v>
      </c>
      <c r="Z19" s="779">
        <v>0</v>
      </c>
      <c r="AA19" s="779">
        <v>0</v>
      </c>
      <c r="AB19" s="782">
        <v>0</v>
      </c>
    </row>
    <row r="20" spans="1:28" ht="17.399999999999999">
      <c r="A20" s="304" t="s">
        <v>4</v>
      </c>
      <c r="B20" s="308" t="s">
        <v>36</v>
      </c>
      <c r="C20" s="120">
        <v>1</v>
      </c>
      <c r="D20" s="121" t="s">
        <v>37</v>
      </c>
      <c r="E20" s="116" t="s">
        <v>38</v>
      </c>
      <c r="F20" s="128" t="s">
        <v>39</v>
      </c>
      <c r="G20" s="129" t="s">
        <v>40</v>
      </c>
      <c r="H20" s="117">
        <v>0</v>
      </c>
      <c r="I20" s="301">
        <v>45809</v>
      </c>
      <c r="J20" s="753">
        <v>0</v>
      </c>
      <c r="K20" s="754">
        <v>0</v>
      </c>
      <c r="L20" s="754">
        <v>0</v>
      </c>
      <c r="M20" s="754">
        <v>0</v>
      </c>
      <c r="N20" s="754">
        <v>0</v>
      </c>
      <c r="O20" s="754">
        <v>0</v>
      </c>
      <c r="P20" s="754">
        <v>0</v>
      </c>
      <c r="Q20" s="754">
        <v>0</v>
      </c>
      <c r="R20" s="754">
        <v>0</v>
      </c>
      <c r="S20" s="755">
        <v>0</v>
      </c>
      <c r="T20" s="756">
        <v>0</v>
      </c>
      <c r="U20" s="754">
        <v>0</v>
      </c>
      <c r="V20" s="754">
        <v>0</v>
      </c>
      <c r="W20" s="754">
        <v>0</v>
      </c>
      <c r="X20" s="754">
        <v>0</v>
      </c>
      <c r="Y20" s="754">
        <v>0</v>
      </c>
      <c r="Z20" s="754">
        <v>0</v>
      </c>
      <c r="AA20" s="754">
        <v>0</v>
      </c>
      <c r="AB20" s="757">
        <v>0</v>
      </c>
    </row>
    <row r="21" spans="1:28" ht="17.399999999999999">
      <c r="A21" s="305" t="s">
        <v>4</v>
      </c>
      <c r="B21" s="309" t="s">
        <v>36</v>
      </c>
      <c r="C21" s="122">
        <v>2</v>
      </c>
      <c r="D21" s="123" t="s">
        <v>42</v>
      </c>
      <c r="E21" s="312" t="s">
        <v>38</v>
      </c>
      <c r="F21" s="313" t="s">
        <v>39</v>
      </c>
      <c r="G21" s="130" t="s">
        <v>43</v>
      </c>
      <c r="H21" s="112">
        <v>0</v>
      </c>
      <c r="I21" s="302">
        <v>45809</v>
      </c>
      <c r="J21" s="758">
        <v>0</v>
      </c>
      <c r="K21" s="759">
        <v>0</v>
      </c>
      <c r="L21" s="759">
        <v>0</v>
      </c>
      <c r="M21" s="759">
        <v>0</v>
      </c>
      <c r="N21" s="759">
        <v>0</v>
      </c>
      <c r="O21" s="759">
        <v>0</v>
      </c>
      <c r="P21" s="759">
        <v>0</v>
      </c>
      <c r="Q21" s="759">
        <v>0</v>
      </c>
      <c r="R21" s="759">
        <v>0</v>
      </c>
      <c r="S21" s="760">
        <v>0</v>
      </c>
      <c r="T21" s="761">
        <v>0</v>
      </c>
      <c r="U21" s="759">
        <v>0</v>
      </c>
      <c r="V21" s="759">
        <v>0</v>
      </c>
      <c r="W21" s="759">
        <v>0</v>
      </c>
      <c r="X21" s="759">
        <v>0</v>
      </c>
      <c r="Y21" s="759">
        <v>0</v>
      </c>
      <c r="Z21" s="759">
        <v>0</v>
      </c>
      <c r="AA21" s="759">
        <v>0</v>
      </c>
      <c r="AB21" s="762">
        <v>0</v>
      </c>
    </row>
    <row r="22" spans="1:28" ht="17.399999999999999">
      <c r="A22" s="305" t="s">
        <v>4</v>
      </c>
      <c r="B22" s="309" t="s">
        <v>36</v>
      </c>
      <c r="C22" s="122">
        <v>3</v>
      </c>
      <c r="D22" s="123" t="s">
        <v>44</v>
      </c>
      <c r="E22" s="312" t="s">
        <v>38</v>
      </c>
      <c r="F22" s="313" t="s">
        <v>39</v>
      </c>
      <c r="G22" s="130" t="s">
        <v>40</v>
      </c>
      <c r="H22" s="112">
        <v>4</v>
      </c>
      <c r="I22" s="302">
        <v>45809</v>
      </c>
      <c r="J22" s="758">
        <v>0</v>
      </c>
      <c r="K22" s="759">
        <v>0</v>
      </c>
      <c r="L22" s="759">
        <v>0</v>
      </c>
      <c r="M22" s="759">
        <v>0</v>
      </c>
      <c r="N22" s="759">
        <v>0</v>
      </c>
      <c r="O22" s="759">
        <v>0</v>
      </c>
      <c r="P22" s="759">
        <v>0</v>
      </c>
      <c r="Q22" s="759">
        <v>0</v>
      </c>
      <c r="R22" s="759">
        <v>0</v>
      </c>
      <c r="S22" s="760">
        <v>0</v>
      </c>
      <c r="T22" s="761">
        <v>0</v>
      </c>
      <c r="U22" s="759">
        <v>0</v>
      </c>
      <c r="V22" s="759">
        <v>0</v>
      </c>
      <c r="W22" s="759">
        <v>0</v>
      </c>
      <c r="X22" s="759">
        <v>0</v>
      </c>
      <c r="Y22" s="759">
        <v>0</v>
      </c>
      <c r="Z22" s="759">
        <v>0</v>
      </c>
      <c r="AA22" s="759">
        <v>0</v>
      </c>
      <c r="AB22" s="762">
        <v>0</v>
      </c>
    </row>
    <row r="23" spans="1:28" ht="17.399999999999999">
      <c r="A23" s="305" t="s">
        <v>4</v>
      </c>
      <c r="B23" s="309" t="s">
        <v>36</v>
      </c>
      <c r="C23" s="136">
        <v>4</v>
      </c>
      <c r="D23" s="137" t="s">
        <v>112</v>
      </c>
      <c r="E23" s="314" t="s">
        <v>38</v>
      </c>
      <c r="F23" s="315" t="s">
        <v>39</v>
      </c>
      <c r="G23" s="138" t="s">
        <v>40</v>
      </c>
      <c r="H23" s="139">
        <v>4</v>
      </c>
      <c r="I23" s="302">
        <v>45809</v>
      </c>
      <c r="J23" s="763"/>
      <c r="K23" s="764"/>
      <c r="L23" s="764"/>
      <c r="M23" s="764"/>
      <c r="N23" s="764"/>
      <c r="O23" s="764"/>
      <c r="P23" s="764"/>
      <c r="Q23" s="764"/>
      <c r="R23" s="764"/>
      <c r="S23" s="765"/>
      <c r="T23" s="766"/>
      <c r="U23" s="764"/>
      <c r="V23" s="764"/>
      <c r="W23" s="764"/>
      <c r="X23" s="764"/>
      <c r="Y23" s="764"/>
      <c r="Z23" s="764"/>
      <c r="AA23" s="764"/>
      <c r="AB23" s="767"/>
    </row>
    <row r="24" spans="1:28" ht="17.399999999999999">
      <c r="A24" s="306" t="s">
        <v>4</v>
      </c>
      <c r="B24" s="310" t="s">
        <v>46</v>
      </c>
      <c r="C24" s="146">
        <v>5</v>
      </c>
      <c r="D24" s="147" t="s">
        <v>47</v>
      </c>
      <c r="E24" s="148" t="s">
        <v>38</v>
      </c>
      <c r="F24" s="149" t="s">
        <v>48</v>
      </c>
      <c r="G24" s="150" t="s">
        <v>49</v>
      </c>
      <c r="H24" s="151">
        <v>0</v>
      </c>
      <c r="I24" s="302">
        <v>45809</v>
      </c>
      <c r="J24" s="768">
        <v>0</v>
      </c>
      <c r="K24" s="769">
        <v>0</v>
      </c>
      <c r="L24" s="769">
        <v>0</v>
      </c>
      <c r="M24" s="769">
        <v>0</v>
      </c>
      <c r="N24" s="769">
        <v>0</v>
      </c>
      <c r="O24" s="769">
        <v>0</v>
      </c>
      <c r="P24" s="769">
        <v>0</v>
      </c>
      <c r="Q24" s="769">
        <v>0</v>
      </c>
      <c r="R24" s="769">
        <v>0</v>
      </c>
      <c r="S24" s="770">
        <v>0</v>
      </c>
      <c r="T24" s="771">
        <v>0</v>
      </c>
      <c r="U24" s="769">
        <v>0</v>
      </c>
      <c r="V24" s="769">
        <v>0</v>
      </c>
      <c r="W24" s="769">
        <v>0</v>
      </c>
      <c r="X24" s="769">
        <v>0</v>
      </c>
      <c r="Y24" s="769">
        <v>0</v>
      </c>
      <c r="Z24" s="769">
        <v>0</v>
      </c>
      <c r="AA24" s="769">
        <v>0</v>
      </c>
      <c r="AB24" s="772">
        <v>0</v>
      </c>
    </row>
    <row r="25" spans="1:28" ht="17.399999999999999">
      <c r="A25" s="305" t="s">
        <v>4</v>
      </c>
      <c r="B25" s="309" t="s">
        <v>46</v>
      </c>
      <c r="C25" s="122">
        <v>6</v>
      </c>
      <c r="D25" s="123" t="s">
        <v>50</v>
      </c>
      <c r="E25" s="312" t="s">
        <v>38</v>
      </c>
      <c r="F25" s="313" t="s">
        <v>48</v>
      </c>
      <c r="G25" s="130" t="s">
        <v>49</v>
      </c>
      <c r="H25" s="112">
        <v>0</v>
      </c>
      <c r="I25" s="302">
        <v>45809</v>
      </c>
      <c r="J25" s="773">
        <v>0</v>
      </c>
      <c r="K25" s="774">
        <v>0</v>
      </c>
      <c r="L25" s="774">
        <v>0</v>
      </c>
      <c r="M25" s="774">
        <v>0</v>
      </c>
      <c r="N25" s="774">
        <v>0</v>
      </c>
      <c r="O25" s="774">
        <v>0</v>
      </c>
      <c r="P25" s="774">
        <v>0</v>
      </c>
      <c r="Q25" s="774">
        <v>0</v>
      </c>
      <c r="R25" s="774">
        <v>0</v>
      </c>
      <c r="S25" s="775">
        <v>0</v>
      </c>
      <c r="T25" s="776">
        <v>0</v>
      </c>
      <c r="U25" s="774">
        <v>0</v>
      </c>
      <c r="V25" s="774">
        <v>0</v>
      </c>
      <c r="W25" s="774">
        <v>0</v>
      </c>
      <c r="X25" s="774">
        <v>0</v>
      </c>
      <c r="Y25" s="774">
        <v>0</v>
      </c>
      <c r="Z25" s="774">
        <v>0</v>
      </c>
      <c r="AA25" s="774">
        <v>0</v>
      </c>
      <c r="AB25" s="777">
        <v>0</v>
      </c>
    </row>
    <row r="26" spans="1:28" ht="34.799999999999997">
      <c r="A26" s="305" t="s">
        <v>4</v>
      </c>
      <c r="B26" s="309" t="s">
        <v>46</v>
      </c>
      <c r="C26" s="122">
        <v>7</v>
      </c>
      <c r="D26" s="123" t="s">
        <v>51</v>
      </c>
      <c r="E26" s="312" t="s">
        <v>38</v>
      </c>
      <c r="F26" s="313" t="s">
        <v>48</v>
      </c>
      <c r="G26" s="130" t="s">
        <v>49</v>
      </c>
      <c r="H26" s="112">
        <v>0</v>
      </c>
      <c r="I26" s="302">
        <v>45809</v>
      </c>
      <c r="J26" s="773">
        <v>0</v>
      </c>
      <c r="K26" s="774">
        <v>0</v>
      </c>
      <c r="L26" s="774">
        <v>0</v>
      </c>
      <c r="M26" s="774">
        <v>0</v>
      </c>
      <c r="N26" s="774">
        <v>0</v>
      </c>
      <c r="O26" s="774">
        <v>0</v>
      </c>
      <c r="P26" s="774">
        <v>0</v>
      </c>
      <c r="Q26" s="774">
        <v>0</v>
      </c>
      <c r="R26" s="774">
        <v>0</v>
      </c>
      <c r="S26" s="775">
        <v>0</v>
      </c>
      <c r="T26" s="776">
        <v>0</v>
      </c>
      <c r="U26" s="774">
        <v>0</v>
      </c>
      <c r="V26" s="774">
        <v>0</v>
      </c>
      <c r="W26" s="774">
        <v>0</v>
      </c>
      <c r="X26" s="774">
        <v>0</v>
      </c>
      <c r="Y26" s="774">
        <v>0</v>
      </c>
      <c r="Z26" s="774">
        <v>0</v>
      </c>
      <c r="AA26" s="774">
        <v>0</v>
      </c>
      <c r="AB26" s="777">
        <v>0</v>
      </c>
    </row>
    <row r="27" spans="1:28" ht="17.399999999999999">
      <c r="A27" s="305" t="s">
        <v>4</v>
      </c>
      <c r="B27" s="309" t="s">
        <v>46</v>
      </c>
      <c r="C27" s="122">
        <v>8</v>
      </c>
      <c r="D27" s="123" t="s">
        <v>52</v>
      </c>
      <c r="E27" s="312" t="s">
        <v>38</v>
      </c>
      <c r="F27" s="313" t="s">
        <v>48</v>
      </c>
      <c r="G27" s="130" t="s">
        <v>49</v>
      </c>
      <c r="H27" s="112">
        <v>0</v>
      </c>
      <c r="I27" s="302">
        <v>45809</v>
      </c>
      <c r="J27" s="773">
        <v>0</v>
      </c>
      <c r="K27" s="774">
        <v>0</v>
      </c>
      <c r="L27" s="774">
        <v>0</v>
      </c>
      <c r="M27" s="774">
        <v>0</v>
      </c>
      <c r="N27" s="774">
        <v>0</v>
      </c>
      <c r="O27" s="774">
        <v>0</v>
      </c>
      <c r="P27" s="774">
        <v>0</v>
      </c>
      <c r="Q27" s="774">
        <v>0</v>
      </c>
      <c r="R27" s="774">
        <v>0</v>
      </c>
      <c r="S27" s="775">
        <v>0</v>
      </c>
      <c r="T27" s="776">
        <v>0</v>
      </c>
      <c r="U27" s="774">
        <v>0</v>
      </c>
      <c r="V27" s="774">
        <v>0</v>
      </c>
      <c r="W27" s="774">
        <v>0</v>
      </c>
      <c r="X27" s="774">
        <v>0</v>
      </c>
      <c r="Y27" s="774">
        <v>0</v>
      </c>
      <c r="Z27" s="774">
        <v>0</v>
      </c>
      <c r="AA27" s="774">
        <v>0</v>
      </c>
      <c r="AB27" s="777">
        <v>0</v>
      </c>
    </row>
    <row r="28" spans="1:28" ht="17.399999999999999">
      <c r="A28" s="307" t="s">
        <v>4</v>
      </c>
      <c r="B28" s="311" t="s">
        <v>46</v>
      </c>
      <c r="C28" s="132">
        <v>9</v>
      </c>
      <c r="D28" s="133" t="s">
        <v>53</v>
      </c>
      <c r="E28" s="316" t="s">
        <v>38</v>
      </c>
      <c r="F28" s="317" t="s">
        <v>48</v>
      </c>
      <c r="G28" s="134" t="s">
        <v>49</v>
      </c>
      <c r="H28" s="135">
        <v>0</v>
      </c>
      <c r="I28" s="303">
        <v>45809</v>
      </c>
      <c r="J28" s="778">
        <v>0</v>
      </c>
      <c r="K28" s="779">
        <v>0</v>
      </c>
      <c r="L28" s="779">
        <v>0</v>
      </c>
      <c r="M28" s="779">
        <v>0</v>
      </c>
      <c r="N28" s="779">
        <v>0</v>
      </c>
      <c r="O28" s="779">
        <v>0</v>
      </c>
      <c r="P28" s="779">
        <v>0</v>
      </c>
      <c r="Q28" s="779">
        <v>0</v>
      </c>
      <c r="R28" s="779">
        <v>0</v>
      </c>
      <c r="S28" s="780">
        <v>0</v>
      </c>
      <c r="T28" s="781">
        <v>0</v>
      </c>
      <c r="U28" s="779">
        <v>0</v>
      </c>
      <c r="V28" s="779">
        <v>0</v>
      </c>
      <c r="W28" s="779">
        <v>0</v>
      </c>
      <c r="X28" s="779">
        <v>0</v>
      </c>
      <c r="Y28" s="779">
        <v>0</v>
      </c>
      <c r="Z28" s="779">
        <v>0</v>
      </c>
      <c r="AA28" s="779">
        <v>0</v>
      </c>
      <c r="AB28" s="782">
        <v>0</v>
      </c>
    </row>
    <row r="29" spans="1:28" ht="17.399999999999999">
      <c r="A29" s="304" t="s">
        <v>4</v>
      </c>
      <c r="B29" s="308" t="s">
        <v>36</v>
      </c>
      <c r="C29" s="120">
        <v>1</v>
      </c>
      <c r="D29" s="121" t="s">
        <v>37</v>
      </c>
      <c r="E29" s="116" t="s">
        <v>38</v>
      </c>
      <c r="F29" s="128" t="s">
        <v>39</v>
      </c>
      <c r="G29" s="129" t="s">
        <v>40</v>
      </c>
      <c r="H29" s="117">
        <v>0</v>
      </c>
      <c r="I29" s="301">
        <v>45839</v>
      </c>
      <c r="J29" s="753">
        <v>0</v>
      </c>
      <c r="K29" s="754">
        <v>0</v>
      </c>
      <c r="L29" s="754">
        <v>0</v>
      </c>
      <c r="M29" s="754">
        <v>0</v>
      </c>
      <c r="N29" s="754">
        <v>0</v>
      </c>
      <c r="O29" s="754">
        <v>0</v>
      </c>
      <c r="P29" s="754">
        <v>0</v>
      </c>
      <c r="Q29" s="754">
        <v>0</v>
      </c>
      <c r="R29" s="754">
        <v>0</v>
      </c>
      <c r="S29" s="755">
        <v>0</v>
      </c>
      <c r="T29" s="756">
        <v>0</v>
      </c>
      <c r="U29" s="754">
        <v>0</v>
      </c>
      <c r="V29" s="754">
        <v>0</v>
      </c>
      <c r="W29" s="754">
        <v>0</v>
      </c>
      <c r="X29" s="754">
        <v>0</v>
      </c>
      <c r="Y29" s="754">
        <v>0</v>
      </c>
      <c r="Z29" s="754">
        <v>0</v>
      </c>
      <c r="AA29" s="754">
        <v>0</v>
      </c>
      <c r="AB29" s="757">
        <v>0</v>
      </c>
    </row>
    <row r="30" spans="1:28" ht="17.399999999999999">
      <c r="A30" s="305" t="s">
        <v>4</v>
      </c>
      <c r="B30" s="309" t="s">
        <v>36</v>
      </c>
      <c r="C30" s="122">
        <v>2</v>
      </c>
      <c r="D30" s="123" t="s">
        <v>42</v>
      </c>
      <c r="E30" s="312" t="s">
        <v>38</v>
      </c>
      <c r="F30" s="313" t="s">
        <v>39</v>
      </c>
      <c r="G30" s="130" t="s">
        <v>43</v>
      </c>
      <c r="H30" s="112">
        <v>0</v>
      </c>
      <c r="I30" s="302">
        <v>45839</v>
      </c>
      <c r="J30" s="758">
        <v>0</v>
      </c>
      <c r="K30" s="759">
        <v>0</v>
      </c>
      <c r="L30" s="759">
        <v>0</v>
      </c>
      <c r="M30" s="759">
        <v>0</v>
      </c>
      <c r="N30" s="759">
        <v>0</v>
      </c>
      <c r="O30" s="759">
        <v>0</v>
      </c>
      <c r="P30" s="759">
        <v>0</v>
      </c>
      <c r="Q30" s="759">
        <v>0</v>
      </c>
      <c r="R30" s="759">
        <v>0</v>
      </c>
      <c r="S30" s="760">
        <v>0</v>
      </c>
      <c r="T30" s="761">
        <v>0</v>
      </c>
      <c r="U30" s="783">
        <v>1</v>
      </c>
      <c r="V30" s="759">
        <v>0</v>
      </c>
      <c r="W30" s="759">
        <v>0</v>
      </c>
      <c r="X30" s="759">
        <v>0</v>
      </c>
      <c r="Y30" s="759">
        <v>0</v>
      </c>
      <c r="Z30" s="759">
        <v>0</v>
      </c>
      <c r="AA30" s="759">
        <v>0</v>
      </c>
      <c r="AB30" s="762">
        <v>0</v>
      </c>
    </row>
    <row r="31" spans="1:28" ht="17.399999999999999">
      <c r="A31" s="305" t="s">
        <v>4</v>
      </c>
      <c r="B31" s="309" t="s">
        <v>36</v>
      </c>
      <c r="C31" s="122">
        <v>3</v>
      </c>
      <c r="D31" s="123" t="s">
        <v>44</v>
      </c>
      <c r="E31" s="312" t="s">
        <v>38</v>
      </c>
      <c r="F31" s="313" t="s">
        <v>39</v>
      </c>
      <c r="G31" s="130" t="s">
        <v>40</v>
      </c>
      <c r="H31" s="112">
        <v>4</v>
      </c>
      <c r="I31" s="302">
        <v>45839</v>
      </c>
      <c r="J31" s="758">
        <v>0</v>
      </c>
      <c r="K31" s="759">
        <v>0</v>
      </c>
      <c r="L31" s="759">
        <v>0</v>
      </c>
      <c r="M31" s="759">
        <v>0</v>
      </c>
      <c r="N31" s="759">
        <v>0</v>
      </c>
      <c r="O31" s="759">
        <v>0</v>
      </c>
      <c r="P31" s="759">
        <v>0</v>
      </c>
      <c r="Q31" s="759">
        <v>0</v>
      </c>
      <c r="R31" s="759">
        <v>0</v>
      </c>
      <c r="S31" s="760">
        <v>0</v>
      </c>
      <c r="T31" s="761">
        <v>0</v>
      </c>
      <c r="U31" s="759">
        <v>0</v>
      </c>
      <c r="V31" s="759">
        <v>0</v>
      </c>
      <c r="W31" s="759">
        <v>0</v>
      </c>
      <c r="X31" s="759">
        <v>0</v>
      </c>
      <c r="Y31" s="759">
        <v>0</v>
      </c>
      <c r="Z31" s="759">
        <v>0</v>
      </c>
      <c r="AA31" s="759">
        <v>0</v>
      </c>
      <c r="AB31" s="762">
        <v>0</v>
      </c>
    </row>
    <row r="32" spans="1:28" ht="17.399999999999999">
      <c r="A32" s="305" t="s">
        <v>4</v>
      </c>
      <c r="B32" s="309" t="s">
        <v>36</v>
      </c>
      <c r="C32" s="152">
        <v>4</v>
      </c>
      <c r="D32" s="153" t="s">
        <v>112</v>
      </c>
      <c r="E32" s="314" t="s">
        <v>38</v>
      </c>
      <c r="F32" s="315" t="s">
        <v>39</v>
      </c>
      <c r="G32" s="154" t="s">
        <v>40</v>
      </c>
      <c r="H32" s="155">
        <v>4</v>
      </c>
      <c r="I32" s="302">
        <v>45839</v>
      </c>
      <c r="J32" s="763"/>
      <c r="K32" s="764"/>
      <c r="L32" s="764"/>
      <c r="M32" s="764"/>
      <c r="N32" s="764"/>
      <c r="O32" s="764"/>
      <c r="P32" s="764"/>
      <c r="Q32" s="764"/>
      <c r="R32" s="764"/>
      <c r="S32" s="765"/>
      <c r="T32" s="766"/>
      <c r="U32" s="764"/>
      <c r="V32" s="764"/>
      <c r="W32" s="764"/>
      <c r="X32" s="764"/>
      <c r="Y32" s="764"/>
      <c r="Z32" s="764"/>
      <c r="AA32" s="764"/>
      <c r="AB32" s="767"/>
    </row>
    <row r="33" spans="1:28" ht="17.399999999999999">
      <c r="A33" s="306" t="s">
        <v>4</v>
      </c>
      <c r="B33" s="310" t="s">
        <v>46</v>
      </c>
      <c r="C33" s="120">
        <v>5</v>
      </c>
      <c r="D33" s="121" t="s">
        <v>47</v>
      </c>
      <c r="E33" s="148" t="s">
        <v>38</v>
      </c>
      <c r="F33" s="149" t="s">
        <v>48</v>
      </c>
      <c r="G33" s="129" t="s">
        <v>49</v>
      </c>
      <c r="H33" s="117">
        <v>0</v>
      </c>
      <c r="I33" s="302">
        <v>45839</v>
      </c>
      <c r="J33" s="768">
        <v>0</v>
      </c>
      <c r="K33" s="769">
        <v>0</v>
      </c>
      <c r="L33" s="769">
        <v>0</v>
      </c>
      <c r="M33" s="769">
        <v>0</v>
      </c>
      <c r="N33" s="769">
        <v>0</v>
      </c>
      <c r="O33" s="769">
        <v>0</v>
      </c>
      <c r="P33" s="769">
        <v>0</v>
      </c>
      <c r="Q33" s="769">
        <v>0</v>
      </c>
      <c r="R33" s="769">
        <v>0</v>
      </c>
      <c r="S33" s="770">
        <v>0</v>
      </c>
      <c r="T33" s="771">
        <v>0</v>
      </c>
      <c r="U33" s="769">
        <v>0</v>
      </c>
      <c r="V33" s="769">
        <v>0</v>
      </c>
      <c r="W33" s="769">
        <v>0</v>
      </c>
      <c r="X33" s="769">
        <v>0</v>
      </c>
      <c r="Y33" s="769">
        <v>0</v>
      </c>
      <c r="Z33" s="769">
        <v>0</v>
      </c>
      <c r="AA33" s="769">
        <v>0</v>
      </c>
      <c r="AB33" s="772">
        <v>0</v>
      </c>
    </row>
    <row r="34" spans="1:28" ht="17.399999999999999">
      <c r="A34" s="305" t="s">
        <v>4</v>
      </c>
      <c r="B34" s="309" t="s">
        <v>46</v>
      </c>
      <c r="C34" s="122">
        <v>6</v>
      </c>
      <c r="D34" s="123" t="s">
        <v>50</v>
      </c>
      <c r="E34" s="312" t="s">
        <v>38</v>
      </c>
      <c r="F34" s="313" t="s">
        <v>48</v>
      </c>
      <c r="G34" s="130" t="s">
        <v>49</v>
      </c>
      <c r="H34" s="112">
        <v>0</v>
      </c>
      <c r="I34" s="302">
        <v>45839</v>
      </c>
      <c r="J34" s="785">
        <v>0</v>
      </c>
      <c r="K34" s="786">
        <v>0</v>
      </c>
      <c r="L34" s="786">
        <v>0</v>
      </c>
      <c r="M34" s="786">
        <v>0</v>
      </c>
      <c r="N34" s="786">
        <v>0</v>
      </c>
      <c r="O34" s="786">
        <v>0</v>
      </c>
      <c r="P34" s="786">
        <v>0</v>
      </c>
      <c r="Q34" s="786">
        <v>0</v>
      </c>
      <c r="R34" s="786">
        <v>0</v>
      </c>
      <c r="S34" s="787">
        <v>0</v>
      </c>
      <c r="T34" s="788">
        <v>1</v>
      </c>
      <c r="U34" s="786">
        <v>0</v>
      </c>
      <c r="V34" s="786">
        <v>0</v>
      </c>
      <c r="W34" s="786">
        <v>0</v>
      </c>
      <c r="X34" s="786">
        <v>0</v>
      </c>
      <c r="Y34" s="786">
        <v>0</v>
      </c>
      <c r="Z34" s="786">
        <v>0</v>
      </c>
      <c r="AA34" s="786">
        <v>0</v>
      </c>
      <c r="AB34" s="789">
        <v>0</v>
      </c>
    </row>
    <row r="35" spans="1:28" ht="34.799999999999997">
      <c r="A35" s="305" t="s">
        <v>4</v>
      </c>
      <c r="B35" s="309" t="s">
        <v>46</v>
      </c>
      <c r="C35" s="122">
        <v>7</v>
      </c>
      <c r="D35" s="123" t="s">
        <v>51</v>
      </c>
      <c r="E35" s="312" t="s">
        <v>38</v>
      </c>
      <c r="F35" s="313" t="s">
        <v>48</v>
      </c>
      <c r="G35" s="130" t="s">
        <v>49</v>
      </c>
      <c r="H35" s="112">
        <v>0</v>
      </c>
      <c r="I35" s="302">
        <v>45839</v>
      </c>
      <c r="J35" s="773">
        <v>0</v>
      </c>
      <c r="K35" s="774">
        <v>0</v>
      </c>
      <c r="L35" s="774">
        <v>0</v>
      </c>
      <c r="M35" s="774">
        <v>0</v>
      </c>
      <c r="N35" s="774">
        <v>0</v>
      </c>
      <c r="O35" s="774">
        <v>0</v>
      </c>
      <c r="P35" s="774">
        <v>0</v>
      </c>
      <c r="Q35" s="774">
        <v>0</v>
      </c>
      <c r="R35" s="774">
        <v>0</v>
      </c>
      <c r="S35" s="775">
        <v>0</v>
      </c>
      <c r="T35" s="776">
        <v>0</v>
      </c>
      <c r="U35" s="774">
        <v>0</v>
      </c>
      <c r="V35" s="774">
        <v>0</v>
      </c>
      <c r="W35" s="774">
        <v>0</v>
      </c>
      <c r="X35" s="774">
        <v>0</v>
      </c>
      <c r="Y35" s="774">
        <v>0</v>
      </c>
      <c r="Z35" s="774">
        <v>0</v>
      </c>
      <c r="AA35" s="774">
        <v>0</v>
      </c>
      <c r="AB35" s="777">
        <v>0</v>
      </c>
    </row>
    <row r="36" spans="1:28" ht="17.399999999999999">
      <c r="A36" s="305" t="s">
        <v>4</v>
      </c>
      <c r="B36" s="309" t="s">
        <v>46</v>
      </c>
      <c r="C36" s="122">
        <v>8</v>
      </c>
      <c r="D36" s="123" t="s">
        <v>52</v>
      </c>
      <c r="E36" s="312" t="s">
        <v>38</v>
      </c>
      <c r="F36" s="313" t="s">
        <v>48</v>
      </c>
      <c r="G36" s="130" t="s">
        <v>49</v>
      </c>
      <c r="H36" s="112">
        <v>0</v>
      </c>
      <c r="I36" s="302">
        <v>45839</v>
      </c>
      <c r="J36" s="773">
        <v>0</v>
      </c>
      <c r="K36" s="774">
        <v>0</v>
      </c>
      <c r="L36" s="774">
        <v>0</v>
      </c>
      <c r="M36" s="774">
        <v>0</v>
      </c>
      <c r="N36" s="774">
        <v>0</v>
      </c>
      <c r="O36" s="774">
        <v>0</v>
      </c>
      <c r="P36" s="774">
        <v>0</v>
      </c>
      <c r="Q36" s="774">
        <v>0</v>
      </c>
      <c r="R36" s="774">
        <v>0</v>
      </c>
      <c r="S36" s="775">
        <v>0</v>
      </c>
      <c r="T36" s="776">
        <v>0</v>
      </c>
      <c r="U36" s="774">
        <v>0</v>
      </c>
      <c r="V36" s="774">
        <v>0</v>
      </c>
      <c r="W36" s="774">
        <v>0</v>
      </c>
      <c r="X36" s="774">
        <v>0</v>
      </c>
      <c r="Y36" s="774">
        <v>0</v>
      </c>
      <c r="Z36" s="774">
        <v>0</v>
      </c>
      <c r="AA36" s="774">
        <v>0</v>
      </c>
      <c r="AB36" s="777">
        <v>0</v>
      </c>
    </row>
    <row r="37" spans="1:28" ht="17.399999999999999">
      <c r="A37" s="307" t="s">
        <v>4</v>
      </c>
      <c r="B37" s="311" t="s">
        <v>46</v>
      </c>
      <c r="C37" s="132">
        <v>9</v>
      </c>
      <c r="D37" s="133" t="s">
        <v>53</v>
      </c>
      <c r="E37" s="316" t="s">
        <v>38</v>
      </c>
      <c r="F37" s="317" t="s">
        <v>48</v>
      </c>
      <c r="G37" s="134" t="s">
        <v>49</v>
      </c>
      <c r="H37" s="135">
        <v>0</v>
      </c>
      <c r="I37" s="303">
        <v>45839</v>
      </c>
      <c r="J37" s="778">
        <v>0</v>
      </c>
      <c r="K37" s="779">
        <v>0</v>
      </c>
      <c r="L37" s="779">
        <v>0</v>
      </c>
      <c r="M37" s="779">
        <v>0</v>
      </c>
      <c r="N37" s="779">
        <v>0</v>
      </c>
      <c r="O37" s="779">
        <v>0</v>
      </c>
      <c r="P37" s="779">
        <v>0</v>
      </c>
      <c r="Q37" s="779">
        <v>0</v>
      </c>
      <c r="R37" s="779">
        <v>0</v>
      </c>
      <c r="S37" s="780">
        <v>0</v>
      </c>
      <c r="T37" s="781">
        <v>0</v>
      </c>
      <c r="U37" s="779">
        <v>0</v>
      </c>
      <c r="V37" s="779">
        <v>0</v>
      </c>
      <c r="W37" s="779">
        <v>0</v>
      </c>
      <c r="X37" s="779">
        <v>0</v>
      </c>
      <c r="Y37" s="779">
        <v>0</v>
      </c>
      <c r="Z37" s="779">
        <v>0</v>
      </c>
      <c r="AA37" s="779">
        <v>0</v>
      </c>
      <c r="AB37" s="782">
        <v>0</v>
      </c>
    </row>
    <row r="38" spans="1:28" ht="17.399999999999999">
      <c r="A38" s="304" t="s">
        <v>4</v>
      </c>
      <c r="B38" s="308" t="s">
        <v>36</v>
      </c>
      <c r="C38" s="120">
        <v>1</v>
      </c>
      <c r="D38" s="121" t="s">
        <v>37</v>
      </c>
      <c r="E38" s="116" t="s">
        <v>38</v>
      </c>
      <c r="F38" s="128" t="s">
        <v>39</v>
      </c>
      <c r="G38" s="129" t="s">
        <v>40</v>
      </c>
      <c r="H38" s="117">
        <v>0</v>
      </c>
      <c r="I38" s="301">
        <v>45870</v>
      </c>
      <c r="J38" s="753">
        <v>0</v>
      </c>
      <c r="K38" s="754">
        <v>0</v>
      </c>
      <c r="L38" s="754">
        <v>0</v>
      </c>
      <c r="M38" s="754">
        <v>0</v>
      </c>
      <c r="N38" s="754">
        <v>0</v>
      </c>
      <c r="O38" s="754">
        <v>0</v>
      </c>
      <c r="P38" s="754">
        <v>0</v>
      </c>
      <c r="Q38" s="754">
        <v>0</v>
      </c>
      <c r="R38" s="754">
        <v>0</v>
      </c>
      <c r="S38" s="755">
        <v>0</v>
      </c>
      <c r="T38" s="756">
        <v>0</v>
      </c>
      <c r="U38" s="754">
        <v>0</v>
      </c>
      <c r="V38" s="754">
        <v>0</v>
      </c>
      <c r="W38" s="754">
        <v>0</v>
      </c>
      <c r="X38" s="754">
        <v>0</v>
      </c>
      <c r="Y38" s="754">
        <v>0</v>
      </c>
      <c r="Z38" s="754">
        <v>0</v>
      </c>
      <c r="AA38" s="754">
        <v>0</v>
      </c>
      <c r="AB38" s="757">
        <v>0</v>
      </c>
    </row>
    <row r="39" spans="1:28" ht="17.399999999999999">
      <c r="A39" s="305" t="s">
        <v>4</v>
      </c>
      <c r="B39" s="309" t="s">
        <v>36</v>
      </c>
      <c r="C39" s="122">
        <v>2</v>
      </c>
      <c r="D39" s="123" t="s">
        <v>42</v>
      </c>
      <c r="E39" s="312" t="s">
        <v>38</v>
      </c>
      <c r="F39" s="313" t="s">
        <v>39</v>
      </c>
      <c r="G39" s="130" t="s">
        <v>43</v>
      </c>
      <c r="H39" s="112">
        <v>0</v>
      </c>
      <c r="I39" s="302">
        <v>45870</v>
      </c>
      <c r="J39" s="758">
        <v>0</v>
      </c>
      <c r="K39" s="759">
        <v>0</v>
      </c>
      <c r="L39" s="759">
        <v>0</v>
      </c>
      <c r="M39" s="759">
        <v>0</v>
      </c>
      <c r="N39" s="759">
        <v>0</v>
      </c>
      <c r="O39" s="759">
        <v>0</v>
      </c>
      <c r="P39" s="759">
        <v>0</v>
      </c>
      <c r="Q39" s="759">
        <v>0</v>
      </c>
      <c r="R39" s="783">
        <v>1</v>
      </c>
      <c r="S39" s="760">
        <v>0</v>
      </c>
      <c r="T39" s="761">
        <v>0</v>
      </c>
      <c r="U39" s="759">
        <v>0</v>
      </c>
      <c r="V39" s="759">
        <v>0</v>
      </c>
      <c r="W39" s="759">
        <v>0</v>
      </c>
      <c r="X39" s="759">
        <v>0</v>
      </c>
      <c r="Y39" s="759">
        <v>0</v>
      </c>
      <c r="Z39" s="759">
        <v>0</v>
      </c>
      <c r="AA39" s="759">
        <v>0</v>
      </c>
      <c r="AB39" s="762">
        <v>0</v>
      </c>
    </row>
    <row r="40" spans="1:28" ht="17.399999999999999">
      <c r="A40" s="305" t="s">
        <v>4</v>
      </c>
      <c r="B40" s="309" t="s">
        <v>36</v>
      </c>
      <c r="C40" s="122">
        <v>3</v>
      </c>
      <c r="D40" s="123" t="s">
        <v>44</v>
      </c>
      <c r="E40" s="312" t="s">
        <v>38</v>
      </c>
      <c r="F40" s="313" t="s">
        <v>39</v>
      </c>
      <c r="G40" s="130" t="s">
        <v>40</v>
      </c>
      <c r="H40" s="112">
        <v>4</v>
      </c>
      <c r="I40" s="302">
        <v>45870</v>
      </c>
      <c r="J40" s="758">
        <v>0</v>
      </c>
      <c r="K40" s="759">
        <v>0</v>
      </c>
      <c r="L40" s="759">
        <v>0</v>
      </c>
      <c r="M40" s="759">
        <v>0</v>
      </c>
      <c r="N40" s="759">
        <v>0</v>
      </c>
      <c r="O40" s="759">
        <v>0</v>
      </c>
      <c r="P40" s="759">
        <v>0</v>
      </c>
      <c r="Q40" s="759">
        <v>0</v>
      </c>
      <c r="R40" s="759">
        <v>0</v>
      </c>
      <c r="S40" s="760">
        <v>0</v>
      </c>
      <c r="T40" s="761">
        <v>0</v>
      </c>
      <c r="U40" s="759">
        <v>0</v>
      </c>
      <c r="V40" s="759">
        <v>0</v>
      </c>
      <c r="W40" s="759">
        <v>0</v>
      </c>
      <c r="X40" s="759">
        <v>0</v>
      </c>
      <c r="Y40" s="759">
        <v>0</v>
      </c>
      <c r="Z40" s="759">
        <v>0</v>
      </c>
      <c r="AA40" s="759">
        <v>0</v>
      </c>
      <c r="AB40" s="762">
        <v>0</v>
      </c>
    </row>
    <row r="41" spans="1:28" ht="17.399999999999999">
      <c r="A41" s="305" t="s">
        <v>4</v>
      </c>
      <c r="B41" s="309" t="s">
        <v>36</v>
      </c>
      <c r="C41" s="136">
        <v>4</v>
      </c>
      <c r="D41" s="137" t="s">
        <v>112</v>
      </c>
      <c r="E41" s="314" t="s">
        <v>38</v>
      </c>
      <c r="F41" s="315" t="s">
        <v>39</v>
      </c>
      <c r="G41" s="138" t="s">
        <v>40</v>
      </c>
      <c r="H41" s="139">
        <v>4</v>
      </c>
      <c r="I41" s="302">
        <v>45870</v>
      </c>
      <c r="J41" s="763"/>
      <c r="K41" s="764"/>
      <c r="L41" s="764"/>
      <c r="M41" s="764"/>
      <c r="N41" s="764"/>
      <c r="O41" s="764"/>
      <c r="P41" s="764"/>
      <c r="Q41" s="764"/>
      <c r="R41" s="764"/>
      <c r="S41" s="765"/>
      <c r="T41" s="766"/>
      <c r="U41" s="764"/>
      <c r="V41" s="764"/>
      <c r="W41" s="764"/>
      <c r="X41" s="764"/>
      <c r="Y41" s="764"/>
      <c r="Z41" s="764"/>
      <c r="AA41" s="764"/>
      <c r="AB41" s="767"/>
    </row>
    <row r="42" spans="1:28" ht="17.399999999999999">
      <c r="A42" s="306" t="s">
        <v>4</v>
      </c>
      <c r="B42" s="310" t="s">
        <v>46</v>
      </c>
      <c r="C42" s="146">
        <v>5</v>
      </c>
      <c r="D42" s="147" t="s">
        <v>47</v>
      </c>
      <c r="E42" s="148" t="s">
        <v>38</v>
      </c>
      <c r="F42" s="149" t="s">
        <v>48</v>
      </c>
      <c r="G42" s="150" t="s">
        <v>49</v>
      </c>
      <c r="H42" s="151">
        <v>0</v>
      </c>
      <c r="I42" s="302">
        <v>45870</v>
      </c>
      <c r="J42" s="768">
        <v>0</v>
      </c>
      <c r="K42" s="769">
        <v>0</v>
      </c>
      <c r="L42" s="769">
        <v>0</v>
      </c>
      <c r="M42" s="769">
        <v>0</v>
      </c>
      <c r="N42" s="769">
        <v>0</v>
      </c>
      <c r="O42" s="769">
        <v>0</v>
      </c>
      <c r="P42" s="769">
        <v>0</v>
      </c>
      <c r="Q42" s="769">
        <v>0</v>
      </c>
      <c r="R42" s="769">
        <v>0</v>
      </c>
      <c r="S42" s="770">
        <v>0</v>
      </c>
      <c r="T42" s="771">
        <v>0</v>
      </c>
      <c r="U42" s="769">
        <v>0</v>
      </c>
      <c r="V42" s="769">
        <v>0</v>
      </c>
      <c r="W42" s="769">
        <v>0</v>
      </c>
      <c r="X42" s="769">
        <v>0</v>
      </c>
      <c r="Y42" s="769">
        <v>0</v>
      </c>
      <c r="Z42" s="769">
        <v>0</v>
      </c>
      <c r="AA42" s="769">
        <v>0</v>
      </c>
      <c r="AB42" s="772">
        <v>0</v>
      </c>
    </row>
    <row r="43" spans="1:28" ht="17.399999999999999">
      <c r="A43" s="305" t="s">
        <v>4</v>
      </c>
      <c r="B43" s="309" t="s">
        <v>46</v>
      </c>
      <c r="C43" s="122">
        <v>6</v>
      </c>
      <c r="D43" s="123" t="s">
        <v>50</v>
      </c>
      <c r="E43" s="312" t="s">
        <v>38</v>
      </c>
      <c r="F43" s="313" t="s">
        <v>48</v>
      </c>
      <c r="G43" s="130" t="s">
        <v>49</v>
      </c>
      <c r="H43" s="112">
        <v>0</v>
      </c>
      <c r="I43" s="302">
        <v>45870</v>
      </c>
      <c r="J43" s="773">
        <v>0</v>
      </c>
      <c r="K43" s="774">
        <v>0</v>
      </c>
      <c r="L43" s="774">
        <v>0</v>
      </c>
      <c r="M43" s="774">
        <v>0</v>
      </c>
      <c r="N43" s="774">
        <v>0</v>
      </c>
      <c r="O43" s="774">
        <v>0</v>
      </c>
      <c r="P43" s="774">
        <v>0</v>
      </c>
      <c r="Q43" s="774">
        <v>0</v>
      </c>
      <c r="R43" s="774">
        <v>0</v>
      </c>
      <c r="S43" s="775">
        <v>0</v>
      </c>
      <c r="T43" s="776">
        <v>0</v>
      </c>
      <c r="U43" s="774">
        <v>0</v>
      </c>
      <c r="V43" s="774">
        <v>0</v>
      </c>
      <c r="W43" s="774">
        <v>0</v>
      </c>
      <c r="X43" s="774">
        <v>0</v>
      </c>
      <c r="Y43" s="774">
        <v>0</v>
      </c>
      <c r="Z43" s="774">
        <v>0</v>
      </c>
      <c r="AA43" s="774">
        <v>0</v>
      </c>
      <c r="AB43" s="777">
        <v>0</v>
      </c>
    </row>
    <row r="44" spans="1:28" ht="34.799999999999997">
      <c r="A44" s="305" t="s">
        <v>4</v>
      </c>
      <c r="B44" s="309" t="s">
        <v>46</v>
      </c>
      <c r="C44" s="122">
        <v>7</v>
      </c>
      <c r="D44" s="123" t="s">
        <v>51</v>
      </c>
      <c r="E44" s="312" t="s">
        <v>38</v>
      </c>
      <c r="F44" s="313" t="s">
        <v>48</v>
      </c>
      <c r="G44" s="130" t="s">
        <v>49</v>
      </c>
      <c r="H44" s="112">
        <v>0</v>
      </c>
      <c r="I44" s="302">
        <v>45870</v>
      </c>
      <c r="J44" s="773">
        <v>0</v>
      </c>
      <c r="K44" s="774">
        <v>0</v>
      </c>
      <c r="L44" s="774">
        <v>0</v>
      </c>
      <c r="M44" s="774">
        <v>0</v>
      </c>
      <c r="N44" s="774">
        <v>0</v>
      </c>
      <c r="O44" s="774">
        <v>0</v>
      </c>
      <c r="P44" s="774">
        <v>0</v>
      </c>
      <c r="Q44" s="774">
        <v>0</v>
      </c>
      <c r="R44" s="774">
        <v>0</v>
      </c>
      <c r="S44" s="775">
        <v>0</v>
      </c>
      <c r="T44" s="776">
        <v>0</v>
      </c>
      <c r="U44" s="774">
        <v>0</v>
      </c>
      <c r="V44" s="774">
        <v>0</v>
      </c>
      <c r="W44" s="774">
        <v>0</v>
      </c>
      <c r="X44" s="774">
        <v>0</v>
      </c>
      <c r="Y44" s="774">
        <v>0</v>
      </c>
      <c r="Z44" s="774">
        <v>0</v>
      </c>
      <c r="AA44" s="774">
        <v>0</v>
      </c>
      <c r="AB44" s="777">
        <v>0</v>
      </c>
    </row>
    <row r="45" spans="1:28" ht="17.399999999999999">
      <c r="A45" s="305" t="s">
        <v>4</v>
      </c>
      <c r="B45" s="309" t="s">
        <v>46</v>
      </c>
      <c r="C45" s="122">
        <v>8</v>
      </c>
      <c r="D45" s="123" t="s">
        <v>52</v>
      </c>
      <c r="E45" s="312" t="s">
        <v>38</v>
      </c>
      <c r="F45" s="313" t="s">
        <v>48</v>
      </c>
      <c r="G45" s="130" t="s">
        <v>49</v>
      </c>
      <c r="H45" s="112">
        <v>0</v>
      </c>
      <c r="I45" s="302">
        <v>45870</v>
      </c>
      <c r="J45" s="773">
        <v>0</v>
      </c>
      <c r="K45" s="774">
        <v>0</v>
      </c>
      <c r="L45" s="774">
        <v>0</v>
      </c>
      <c r="M45" s="774">
        <v>0</v>
      </c>
      <c r="N45" s="774">
        <v>0</v>
      </c>
      <c r="O45" s="774">
        <v>0</v>
      </c>
      <c r="P45" s="774">
        <v>0</v>
      </c>
      <c r="Q45" s="774">
        <v>0</v>
      </c>
      <c r="R45" s="774">
        <v>0</v>
      </c>
      <c r="S45" s="775">
        <v>0</v>
      </c>
      <c r="T45" s="776">
        <v>0</v>
      </c>
      <c r="U45" s="774">
        <v>0</v>
      </c>
      <c r="V45" s="774">
        <v>0</v>
      </c>
      <c r="W45" s="774">
        <v>0</v>
      </c>
      <c r="X45" s="774">
        <v>0</v>
      </c>
      <c r="Y45" s="774">
        <v>0</v>
      </c>
      <c r="Z45" s="774">
        <v>0</v>
      </c>
      <c r="AA45" s="774">
        <v>0</v>
      </c>
      <c r="AB45" s="777">
        <v>0</v>
      </c>
    </row>
    <row r="46" spans="1:28" ht="17.399999999999999">
      <c r="A46" s="307" t="s">
        <v>4</v>
      </c>
      <c r="B46" s="311" t="s">
        <v>46</v>
      </c>
      <c r="C46" s="132">
        <v>9</v>
      </c>
      <c r="D46" s="133" t="s">
        <v>53</v>
      </c>
      <c r="E46" s="316" t="s">
        <v>38</v>
      </c>
      <c r="F46" s="317" t="s">
        <v>48</v>
      </c>
      <c r="G46" s="134" t="s">
        <v>49</v>
      </c>
      <c r="H46" s="135">
        <v>0</v>
      </c>
      <c r="I46" s="303">
        <v>45870</v>
      </c>
      <c r="J46" s="778">
        <v>0</v>
      </c>
      <c r="K46" s="779">
        <v>0</v>
      </c>
      <c r="L46" s="779">
        <v>0</v>
      </c>
      <c r="M46" s="779">
        <v>0</v>
      </c>
      <c r="N46" s="779">
        <v>0</v>
      </c>
      <c r="O46" s="779">
        <v>0</v>
      </c>
      <c r="P46" s="779">
        <v>0</v>
      </c>
      <c r="Q46" s="779">
        <v>0</v>
      </c>
      <c r="R46" s="779">
        <v>0</v>
      </c>
      <c r="S46" s="780">
        <v>0</v>
      </c>
      <c r="T46" s="781">
        <v>0</v>
      </c>
      <c r="U46" s="779">
        <v>0</v>
      </c>
      <c r="V46" s="779">
        <v>0</v>
      </c>
      <c r="W46" s="779">
        <v>0</v>
      </c>
      <c r="X46" s="779">
        <v>0</v>
      </c>
      <c r="Y46" s="779">
        <v>0</v>
      </c>
      <c r="Z46" s="779">
        <v>0</v>
      </c>
      <c r="AA46" s="779">
        <v>0</v>
      </c>
      <c r="AB46" s="782">
        <v>0</v>
      </c>
    </row>
    <row r="47" spans="1:28" ht="17.399999999999999">
      <c r="A47" s="304" t="s">
        <v>4</v>
      </c>
      <c r="B47" s="308" t="s">
        <v>36</v>
      </c>
      <c r="C47" s="120">
        <v>1</v>
      </c>
      <c r="D47" s="121" t="s">
        <v>37</v>
      </c>
      <c r="E47" s="116" t="s">
        <v>38</v>
      </c>
      <c r="F47" s="128" t="s">
        <v>39</v>
      </c>
      <c r="G47" s="129" t="s">
        <v>40</v>
      </c>
      <c r="H47" s="117">
        <v>0</v>
      </c>
      <c r="I47" s="301">
        <v>45901</v>
      </c>
      <c r="J47" s="753">
        <v>0</v>
      </c>
      <c r="K47" s="754">
        <v>0</v>
      </c>
      <c r="L47" s="754">
        <v>0</v>
      </c>
      <c r="M47" s="754">
        <v>0</v>
      </c>
      <c r="N47" s="754">
        <v>0</v>
      </c>
      <c r="O47" s="754">
        <v>0</v>
      </c>
      <c r="P47" s="754">
        <v>0</v>
      </c>
      <c r="Q47" s="754">
        <v>0</v>
      </c>
      <c r="R47" s="754">
        <v>0</v>
      </c>
      <c r="S47" s="755">
        <v>0</v>
      </c>
      <c r="T47" s="756">
        <v>0</v>
      </c>
      <c r="U47" s="754">
        <v>0</v>
      </c>
      <c r="V47" s="754">
        <v>0</v>
      </c>
      <c r="W47" s="754">
        <v>0</v>
      </c>
      <c r="X47" s="754">
        <v>0</v>
      </c>
      <c r="Y47" s="754">
        <v>0</v>
      </c>
      <c r="Z47" s="754">
        <v>0</v>
      </c>
      <c r="AA47" s="754">
        <v>0</v>
      </c>
      <c r="AB47" s="757">
        <v>0</v>
      </c>
    </row>
    <row r="48" spans="1:28" ht="17.399999999999999">
      <c r="A48" s="305" t="s">
        <v>4</v>
      </c>
      <c r="B48" s="309" t="s">
        <v>36</v>
      </c>
      <c r="C48" s="122">
        <v>2</v>
      </c>
      <c r="D48" s="123" t="s">
        <v>42</v>
      </c>
      <c r="E48" s="312" t="s">
        <v>38</v>
      </c>
      <c r="F48" s="313" t="s">
        <v>39</v>
      </c>
      <c r="G48" s="130" t="s">
        <v>43</v>
      </c>
      <c r="H48" s="112">
        <v>0</v>
      </c>
      <c r="I48" s="302">
        <v>45901</v>
      </c>
      <c r="J48" s="758">
        <v>0</v>
      </c>
      <c r="K48" s="759">
        <v>0</v>
      </c>
      <c r="L48" s="759">
        <v>0</v>
      </c>
      <c r="M48" s="759">
        <v>0</v>
      </c>
      <c r="N48" s="759">
        <v>0</v>
      </c>
      <c r="O48" s="759">
        <v>0</v>
      </c>
      <c r="P48" s="759">
        <v>0</v>
      </c>
      <c r="Q48" s="759">
        <v>0</v>
      </c>
      <c r="R48" s="759">
        <v>0</v>
      </c>
      <c r="S48" s="760">
        <v>0</v>
      </c>
      <c r="T48" s="761">
        <v>0</v>
      </c>
      <c r="U48" s="759">
        <v>0</v>
      </c>
      <c r="V48" s="759">
        <v>0</v>
      </c>
      <c r="W48" s="759">
        <v>0</v>
      </c>
      <c r="X48" s="759">
        <v>0</v>
      </c>
      <c r="Y48" s="759">
        <v>0</v>
      </c>
      <c r="Z48" s="759">
        <v>0</v>
      </c>
      <c r="AA48" s="759">
        <v>0</v>
      </c>
      <c r="AB48" s="762">
        <v>0</v>
      </c>
    </row>
    <row r="49" spans="1:28" ht="17.399999999999999">
      <c r="A49" s="305" t="s">
        <v>4</v>
      </c>
      <c r="B49" s="309" t="s">
        <v>36</v>
      </c>
      <c r="C49" s="122">
        <v>3</v>
      </c>
      <c r="D49" s="123" t="s">
        <v>44</v>
      </c>
      <c r="E49" s="312" t="s">
        <v>38</v>
      </c>
      <c r="F49" s="313" t="s">
        <v>39</v>
      </c>
      <c r="G49" s="130" t="s">
        <v>40</v>
      </c>
      <c r="H49" s="112">
        <v>4</v>
      </c>
      <c r="I49" s="302">
        <v>45901</v>
      </c>
      <c r="J49" s="758">
        <v>0</v>
      </c>
      <c r="K49" s="759">
        <v>0</v>
      </c>
      <c r="L49" s="759">
        <v>0</v>
      </c>
      <c r="M49" s="759">
        <v>0</v>
      </c>
      <c r="N49" s="759">
        <v>0</v>
      </c>
      <c r="O49" s="759">
        <v>0</v>
      </c>
      <c r="P49" s="759">
        <v>1</v>
      </c>
      <c r="Q49" s="759">
        <v>0</v>
      </c>
      <c r="R49" s="759">
        <v>0</v>
      </c>
      <c r="S49" s="760">
        <v>0</v>
      </c>
      <c r="T49" s="761">
        <v>0</v>
      </c>
      <c r="U49" s="759">
        <v>0</v>
      </c>
      <c r="V49" s="759">
        <v>0</v>
      </c>
      <c r="W49" s="759">
        <v>0</v>
      </c>
      <c r="X49" s="759">
        <v>0</v>
      </c>
      <c r="Y49" s="759">
        <v>0</v>
      </c>
      <c r="Z49" s="759">
        <v>0</v>
      </c>
      <c r="AA49" s="759">
        <v>0</v>
      </c>
      <c r="AB49" s="762">
        <v>0</v>
      </c>
    </row>
    <row r="50" spans="1:28" ht="17.399999999999999">
      <c r="A50" s="305" t="s">
        <v>4</v>
      </c>
      <c r="B50" s="309" t="s">
        <v>36</v>
      </c>
      <c r="C50" s="152">
        <v>4</v>
      </c>
      <c r="D50" s="153" t="s">
        <v>112</v>
      </c>
      <c r="E50" s="314" t="s">
        <v>38</v>
      </c>
      <c r="F50" s="315" t="s">
        <v>39</v>
      </c>
      <c r="G50" s="154" t="s">
        <v>40</v>
      </c>
      <c r="H50" s="155">
        <v>4</v>
      </c>
      <c r="I50" s="302">
        <v>45901</v>
      </c>
      <c r="J50" s="763"/>
      <c r="K50" s="764"/>
      <c r="L50" s="764"/>
      <c r="M50" s="764"/>
      <c r="N50" s="764"/>
      <c r="O50" s="764"/>
      <c r="P50" s="764"/>
      <c r="Q50" s="764"/>
      <c r="R50" s="764"/>
      <c r="S50" s="765"/>
      <c r="T50" s="766"/>
      <c r="U50" s="764"/>
      <c r="V50" s="764"/>
      <c r="W50" s="764"/>
      <c r="X50" s="764"/>
      <c r="Y50" s="764"/>
      <c r="Z50" s="764"/>
      <c r="AA50" s="764"/>
      <c r="AB50" s="767"/>
    </row>
    <row r="51" spans="1:28" ht="17.399999999999999">
      <c r="A51" s="306" t="s">
        <v>4</v>
      </c>
      <c r="B51" s="310" t="s">
        <v>46</v>
      </c>
      <c r="C51" s="120">
        <v>5</v>
      </c>
      <c r="D51" s="121" t="s">
        <v>47</v>
      </c>
      <c r="E51" s="148" t="s">
        <v>38</v>
      </c>
      <c r="F51" s="149" t="s">
        <v>48</v>
      </c>
      <c r="G51" s="129" t="s">
        <v>49</v>
      </c>
      <c r="H51" s="117">
        <v>0</v>
      </c>
      <c r="I51" s="302">
        <v>45901</v>
      </c>
      <c r="J51" s="768">
        <v>0</v>
      </c>
      <c r="K51" s="769">
        <v>0</v>
      </c>
      <c r="L51" s="769">
        <v>0</v>
      </c>
      <c r="M51" s="769">
        <v>0</v>
      </c>
      <c r="N51" s="769">
        <v>0</v>
      </c>
      <c r="O51" s="769">
        <v>0</v>
      </c>
      <c r="P51" s="769">
        <v>0</v>
      </c>
      <c r="Q51" s="769">
        <v>0</v>
      </c>
      <c r="R51" s="769">
        <v>0</v>
      </c>
      <c r="S51" s="770">
        <v>0</v>
      </c>
      <c r="T51" s="771">
        <v>0</v>
      </c>
      <c r="U51" s="769">
        <v>0</v>
      </c>
      <c r="V51" s="769">
        <v>0</v>
      </c>
      <c r="W51" s="769">
        <v>0</v>
      </c>
      <c r="X51" s="769">
        <v>0</v>
      </c>
      <c r="Y51" s="769">
        <v>0</v>
      </c>
      <c r="Z51" s="769">
        <v>0</v>
      </c>
      <c r="AA51" s="769">
        <v>0</v>
      </c>
      <c r="AB51" s="772">
        <v>0</v>
      </c>
    </row>
    <row r="52" spans="1:28" ht="17.399999999999999">
      <c r="A52" s="305" t="s">
        <v>4</v>
      </c>
      <c r="B52" s="309" t="s">
        <v>46</v>
      </c>
      <c r="C52" s="122">
        <v>6</v>
      </c>
      <c r="D52" s="123" t="s">
        <v>50</v>
      </c>
      <c r="E52" s="312" t="s">
        <v>38</v>
      </c>
      <c r="F52" s="313" t="s">
        <v>48</v>
      </c>
      <c r="G52" s="130" t="s">
        <v>49</v>
      </c>
      <c r="H52" s="112">
        <v>0</v>
      </c>
      <c r="I52" s="302">
        <v>45901</v>
      </c>
      <c r="J52" s="773">
        <v>0</v>
      </c>
      <c r="K52" s="774">
        <v>0</v>
      </c>
      <c r="L52" s="774">
        <v>0</v>
      </c>
      <c r="M52" s="774">
        <v>0</v>
      </c>
      <c r="N52" s="774">
        <v>0</v>
      </c>
      <c r="O52" s="774">
        <v>0</v>
      </c>
      <c r="P52" s="774">
        <v>0</v>
      </c>
      <c r="Q52" s="774">
        <v>0</v>
      </c>
      <c r="R52" s="774">
        <v>0</v>
      </c>
      <c r="S52" s="775">
        <v>0</v>
      </c>
      <c r="T52" s="776">
        <v>0</v>
      </c>
      <c r="U52" s="774">
        <v>0</v>
      </c>
      <c r="V52" s="774">
        <v>0</v>
      </c>
      <c r="W52" s="774">
        <v>0</v>
      </c>
      <c r="X52" s="774">
        <v>0</v>
      </c>
      <c r="Y52" s="774">
        <v>0</v>
      </c>
      <c r="Z52" s="774">
        <v>0</v>
      </c>
      <c r="AA52" s="774">
        <v>0</v>
      </c>
      <c r="AB52" s="777">
        <v>0</v>
      </c>
    </row>
    <row r="53" spans="1:28" ht="34.799999999999997">
      <c r="A53" s="305" t="s">
        <v>4</v>
      </c>
      <c r="B53" s="309" t="s">
        <v>46</v>
      </c>
      <c r="C53" s="122">
        <v>7</v>
      </c>
      <c r="D53" s="123" t="s">
        <v>51</v>
      </c>
      <c r="E53" s="312" t="s">
        <v>38</v>
      </c>
      <c r="F53" s="313" t="s">
        <v>48</v>
      </c>
      <c r="G53" s="130" t="s">
        <v>49</v>
      </c>
      <c r="H53" s="112">
        <v>0</v>
      </c>
      <c r="I53" s="302">
        <v>45901</v>
      </c>
      <c r="J53" s="773">
        <v>0</v>
      </c>
      <c r="K53" s="774">
        <v>0</v>
      </c>
      <c r="L53" s="774">
        <v>0</v>
      </c>
      <c r="M53" s="774">
        <v>0</v>
      </c>
      <c r="N53" s="774">
        <v>0</v>
      </c>
      <c r="O53" s="774">
        <v>0</v>
      </c>
      <c r="P53" s="774">
        <v>0</v>
      </c>
      <c r="Q53" s="774">
        <v>0</v>
      </c>
      <c r="R53" s="774">
        <v>0</v>
      </c>
      <c r="S53" s="775">
        <v>0</v>
      </c>
      <c r="T53" s="776">
        <v>0</v>
      </c>
      <c r="U53" s="774">
        <v>0</v>
      </c>
      <c r="V53" s="774">
        <v>0</v>
      </c>
      <c r="W53" s="774">
        <v>0</v>
      </c>
      <c r="X53" s="774">
        <v>0</v>
      </c>
      <c r="Y53" s="774">
        <v>0</v>
      </c>
      <c r="Z53" s="774">
        <v>0</v>
      </c>
      <c r="AA53" s="774">
        <v>0</v>
      </c>
      <c r="AB53" s="777">
        <v>0</v>
      </c>
    </row>
    <row r="54" spans="1:28" ht="17.399999999999999">
      <c r="A54" s="305" t="s">
        <v>4</v>
      </c>
      <c r="B54" s="309" t="s">
        <v>46</v>
      </c>
      <c r="C54" s="122">
        <v>8</v>
      </c>
      <c r="D54" s="123" t="s">
        <v>52</v>
      </c>
      <c r="E54" s="312" t="s">
        <v>38</v>
      </c>
      <c r="F54" s="313" t="s">
        <v>48</v>
      </c>
      <c r="G54" s="130" t="s">
        <v>49</v>
      </c>
      <c r="H54" s="112">
        <v>0</v>
      </c>
      <c r="I54" s="302">
        <v>45901</v>
      </c>
      <c r="J54" s="773">
        <v>0</v>
      </c>
      <c r="K54" s="774">
        <v>0</v>
      </c>
      <c r="L54" s="774">
        <v>0</v>
      </c>
      <c r="M54" s="774">
        <v>0</v>
      </c>
      <c r="N54" s="774">
        <v>0</v>
      </c>
      <c r="O54" s="774">
        <v>0</v>
      </c>
      <c r="P54" s="774">
        <v>0</v>
      </c>
      <c r="Q54" s="774">
        <v>0</v>
      </c>
      <c r="R54" s="774">
        <v>0</v>
      </c>
      <c r="S54" s="775">
        <v>0</v>
      </c>
      <c r="T54" s="776">
        <v>0</v>
      </c>
      <c r="U54" s="774">
        <v>0</v>
      </c>
      <c r="V54" s="774">
        <v>0</v>
      </c>
      <c r="W54" s="774">
        <v>0</v>
      </c>
      <c r="X54" s="774">
        <v>0</v>
      </c>
      <c r="Y54" s="774">
        <v>0</v>
      </c>
      <c r="Z54" s="774">
        <v>0</v>
      </c>
      <c r="AA54" s="774">
        <v>0</v>
      </c>
      <c r="AB54" s="777">
        <v>0</v>
      </c>
    </row>
    <row r="55" spans="1:28" ht="17.399999999999999">
      <c r="A55" s="307" t="s">
        <v>4</v>
      </c>
      <c r="B55" s="311" t="s">
        <v>46</v>
      </c>
      <c r="C55" s="132">
        <v>9</v>
      </c>
      <c r="D55" s="133" t="s">
        <v>53</v>
      </c>
      <c r="E55" s="316" t="s">
        <v>38</v>
      </c>
      <c r="F55" s="317" t="s">
        <v>48</v>
      </c>
      <c r="G55" s="134" t="s">
        <v>49</v>
      </c>
      <c r="H55" s="135">
        <v>0</v>
      </c>
      <c r="I55" s="303">
        <v>45901</v>
      </c>
      <c r="J55" s="778">
        <v>0</v>
      </c>
      <c r="K55" s="779">
        <v>0</v>
      </c>
      <c r="L55" s="779">
        <v>0</v>
      </c>
      <c r="M55" s="779">
        <v>0</v>
      </c>
      <c r="N55" s="779">
        <v>0</v>
      </c>
      <c r="O55" s="779">
        <v>0</v>
      </c>
      <c r="P55" s="779">
        <v>0</v>
      </c>
      <c r="Q55" s="779">
        <v>0</v>
      </c>
      <c r="R55" s="779">
        <v>0</v>
      </c>
      <c r="S55" s="780">
        <v>0</v>
      </c>
      <c r="T55" s="781">
        <v>0</v>
      </c>
      <c r="U55" s="779">
        <v>0</v>
      </c>
      <c r="V55" s="779">
        <v>0</v>
      </c>
      <c r="W55" s="779">
        <v>0</v>
      </c>
      <c r="X55" s="779">
        <v>0</v>
      </c>
      <c r="Y55" s="779">
        <v>0</v>
      </c>
      <c r="Z55" s="779">
        <v>0</v>
      </c>
      <c r="AA55" s="779">
        <v>0</v>
      </c>
      <c r="AB55" s="782">
        <v>0</v>
      </c>
    </row>
    <row r="56" spans="1:28" ht="17.399999999999999">
      <c r="A56" s="304" t="s">
        <v>4</v>
      </c>
      <c r="B56" s="308" t="s">
        <v>36</v>
      </c>
      <c r="C56" s="120">
        <v>1</v>
      </c>
      <c r="D56" s="121" t="s">
        <v>37</v>
      </c>
      <c r="E56" s="116" t="s">
        <v>38</v>
      </c>
      <c r="F56" s="128" t="s">
        <v>39</v>
      </c>
      <c r="G56" s="129" t="s">
        <v>40</v>
      </c>
      <c r="H56" s="117">
        <v>0</v>
      </c>
      <c r="I56" s="301">
        <v>45931</v>
      </c>
      <c r="J56" s="753">
        <v>0</v>
      </c>
      <c r="K56" s="754">
        <v>0</v>
      </c>
      <c r="L56" s="754">
        <v>0</v>
      </c>
      <c r="M56" s="754">
        <v>0</v>
      </c>
      <c r="N56" s="754">
        <v>0</v>
      </c>
      <c r="O56" s="754">
        <v>0</v>
      </c>
      <c r="P56" s="754">
        <v>0</v>
      </c>
      <c r="Q56" s="754">
        <v>0</v>
      </c>
      <c r="R56" s="754">
        <v>0</v>
      </c>
      <c r="S56" s="755">
        <v>0</v>
      </c>
      <c r="T56" s="756">
        <v>0</v>
      </c>
      <c r="U56" s="754">
        <v>0</v>
      </c>
      <c r="V56" s="754">
        <v>0</v>
      </c>
      <c r="W56" s="754">
        <v>0</v>
      </c>
      <c r="X56" s="754">
        <v>0</v>
      </c>
      <c r="Y56" s="754">
        <v>0</v>
      </c>
      <c r="Z56" s="754">
        <v>0</v>
      </c>
      <c r="AA56" s="754">
        <v>0</v>
      </c>
      <c r="AB56" s="757">
        <v>0</v>
      </c>
    </row>
    <row r="57" spans="1:28" ht="17.399999999999999">
      <c r="A57" s="305" t="s">
        <v>4</v>
      </c>
      <c r="B57" s="309" t="s">
        <v>36</v>
      </c>
      <c r="C57" s="122">
        <v>2</v>
      </c>
      <c r="D57" s="123" t="s">
        <v>42</v>
      </c>
      <c r="E57" s="312" t="s">
        <v>38</v>
      </c>
      <c r="F57" s="313" t="s">
        <v>39</v>
      </c>
      <c r="G57" s="130" t="s">
        <v>43</v>
      </c>
      <c r="H57" s="112">
        <v>0</v>
      </c>
      <c r="I57" s="302">
        <v>45931</v>
      </c>
      <c r="J57" s="758">
        <v>0</v>
      </c>
      <c r="K57" s="759">
        <v>0</v>
      </c>
      <c r="L57" s="759">
        <v>0</v>
      </c>
      <c r="M57" s="759">
        <v>0</v>
      </c>
      <c r="N57" s="759">
        <v>0</v>
      </c>
      <c r="O57" s="759">
        <v>0</v>
      </c>
      <c r="P57" s="759">
        <v>0</v>
      </c>
      <c r="Q57" s="759">
        <v>0</v>
      </c>
      <c r="R57" s="759">
        <v>0</v>
      </c>
      <c r="S57" s="760">
        <v>0</v>
      </c>
      <c r="T57" s="761">
        <v>0</v>
      </c>
      <c r="U57" s="759">
        <v>0</v>
      </c>
      <c r="V57" s="759">
        <v>0</v>
      </c>
      <c r="W57" s="759">
        <v>0</v>
      </c>
      <c r="X57" s="759">
        <v>0</v>
      </c>
      <c r="Y57" s="759">
        <v>0</v>
      </c>
      <c r="Z57" s="759">
        <v>0</v>
      </c>
      <c r="AA57" s="759">
        <v>0</v>
      </c>
      <c r="AB57" s="762">
        <v>0</v>
      </c>
    </row>
    <row r="58" spans="1:28" ht="17.399999999999999">
      <c r="A58" s="305" t="s">
        <v>4</v>
      </c>
      <c r="B58" s="309" t="s">
        <v>36</v>
      </c>
      <c r="C58" s="122">
        <v>3</v>
      </c>
      <c r="D58" s="123" t="s">
        <v>44</v>
      </c>
      <c r="E58" s="312" t="s">
        <v>38</v>
      </c>
      <c r="F58" s="313" t="s">
        <v>39</v>
      </c>
      <c r="G58" s="130" t="s">
        <v>40</v>
      </c>
      <c r="H58" s="112">
        <v>4</v>
      </c>
      <c r="I58" s="302">
        <v>45931</v>
      </c>
      <c r="J58" s="758">
        <v>0</v>
      </c>
      <c r="K58" s="759">
        <v>0</v>
      </c>
      <c r="L58" s="759">
        <v>0</v>
      </c>
      <c r="M58" s="759">
        <v>0</v>
      </c>
      <c r="N58" s="759">
        <v>0</v>
      </c>
      <c r="O58" s="759">
        <v>0</v>
      </c>
      <c r="P58" s="759">
        <v>0</v>
      </c>
      <c r="Q58" s="759">
        <v>0</v>
      </c>
      <c r="R58" s="759">
        <v>0</v>
      </c>
      <c r="S58" s="760">
        <v>0</v>
      </c>
      <c r="T58" s="761">
        <v>0</v>
      </c>
      <c r="U58" s="759">
        <v>0</v>
      </c>
      <c r="V58" s="759">
        <v>0</v>
      </c>
      <c r="W58" s="759">
        <v>0</v>
      </c>
      <c r="X58" s="759">
        <v>0</v>
      </c>
      <c r="Y58" s="759">
        <v>0</v>
      </c>
      <c r="Z58" s="759">
        <v>0</v>
      </c>
      <c r="AA58" s="759">
        <v>0</v>
      </c>
      <c r="AB58" s="762">
        <v>0</v>
      </c>
    </row>
    <row r="59" spans="1:28" ht="17.399999999999999">
      <c r="A59" s="305" t="s">
        <v>4</v>
      </c>
      <c r="B59" s="309" t="s">
        <v>36</v>
      </c>
      <c r="C59" s="136">
        <v>4</v>
      </c>
      <c r="D59" s="137" t="s">
        <v>112</v>
      </c>
      <c r="E59" s="314" t="s">
        <v>38</v>
      </c>
      <c r="F59" s="315" t="s">
        <v>39</v>
      </c>
      <c r="G59" s="138" t="s">
        <v>40</v>
      </c>
      <c r="H59" s="139">
        <v>4</v>
      </c>
      <c r="I59" s="302">
        <v>45931</v>
      </c>
      <c r="J59" s="790">
        <v>0</v>
      </c>
      <c r="K59" s="791">
        <v>0</v>
      </c>
      <c r="L59" s="791">
        <v>0</v>
      </c>
      <c r="M59" s="791">
        <v>0</v>
      </c>
      <c r="N59" s="792">
        <v>2</v>
      </c>
      <c r="O59" s="791">
        <v>0</v>
      </c>
      <c r="P59" s="792">
        <v>1</v>
      </c>
      <c r="Q59" s="791">
        <v>0</v>
      </c>
      <c r="R59" s="791">
        <v>0</v>
      </c>
      <c r="S59" s="793">
        <v>0</v>
      </c>
      <c r="T59" s="794">
        <v>0</v>
      </c>
      <c r="U59" s="791">
        <v>0</v>
      </c>
      <c r="V59" s="792">
        <v>2</v>
      </c>
      <c r="W59" s="791">
        <v>0</v>
      </c>
      <c r="X59" s="791">
        <v>0</v>
      </c>
      <c r="Y59" s="791">
        <v>0</v>
      </c>
      <c r="Z59" s="791">
        <v>0</v>
      </c>
      <c r="AA59" s="791">
        <v>0</v>
      </c>
      <c r="AB59" s="795">
        <v>0</v>
      </c>
    </row>
    <row r="60" spans="1:28" ht="17.399999999999999">
      <c r="A60" s="306" t="s">
        <v>4</v>
      </c>
      <c r="B60" s="310" t="s">
        <v>46</v>
      </c>
      <c r="C60" s="146">
        <v>5</v>
      </c>
      <c r="D60" s="147" t="s">
        <v>47</v>
      </c>
      <c r="E60" s="148" t="s">
        <v>38</v>
      </c>
      <c r="F60" s="149" t="s">
        <v>48</v>
      </c>
      <c r="G60" s="150" t="s">
        <v>49</v>
      </c>
      <c r="H60" s="151">
        <v>0</v>
      </c>
      <c r="I60" s="302">
        <v>45931</v>
      </c>
      <c r="J60" s="768">
        <v>0</v>
      </c>
      <c r="K60" s="769">
        <v>0</v>
      </c>
      <c r="L60" s="769">
        <v>0</v>
      </c>
      <c r="M60" s="769">
        <v>0</v>
      </c>
      <c r="N60" s="769">
        <v>0</v>
      </c>
      <c r="O60" s="769">
        <v>0</v>
      </c>
      <c r="P60" s="769">
        <v>0</v>
      </c>
      <c r="Q60" s="769">
        <v>0</v>
      </c>
      <c r="R60" s="769">
        <v>0</v>
      </c>
      <c r="S60" s="770">
        <v>0</v>
      </c>
      <c r="T60" s="771">
        <v>0</v>
      </c>
      <c r="U60" s="769">
        <v>0</v>
      </c>
      <c r="V60" s="769">
        <v>0</v>
      </c>
      <c r="W60" s="769">
        <v>0</v>
      </c>
      <c r="X60" s="769">
        <v>0</v>
      </c>
      <c r="Y60" s="769">
        <v>0</v>
      </c>
      <c r="Z60" s="769">
        <v>0</v>
      </c>
      <c r="AA60" s="769">
        <v>0</v>
      </c>
      <c r="AB60" s="772">
        <v>0</v>
      </c>
    </row>
    <row r="61" spans="1:28" ht="17.399999999999999">
      <c r="A61" s="305" t="s">
        <v>4</v>
      </c>
      <c r="B61" s="309" t="s">
        <v>46</v>
      </c>
      <c r="C61" s="122">
        <v>6</v>
      </c>
      <c r="D61" s="123" t="s">
        <v>50</v>
      </c>
      <c r="E61" s="312" t="s">
        <v>38</v>
      </c>
      <c r="F61" s="313" t="s">
        <v>48</v>
      </c>
      <c r="G61" s="130" t="s">
        <v>49</v>
      </c>
      <c r="H61" s="112">
        <v>0</v>
      </c>
      <c r="I61" s="302">
        <v>45931</v>
      </c>
      <c r="J61" s="773">
        <v>0</v>
      </c>
      <c r="K61" s="774">
        <v>0</v>
      </c>
      <c r="L61" s="774">
        <v>0</v>
      </c>
      <c r="M61" s="774">
        <v>0</v>
      </c>
      <c r="N61" s="774">
        <v>0</v>
      </c>
      <c r="O61" s="774">
        <v>0</v>
      </c>
      <c r="P61" s="774">
        <v>0</v>
      </c>
      <c r="Q61" s="774">
        <v>0</v>
      </c>
      <c r="R61" s="774">
        <v>0</v>
      </c>
      <c r="S61" s="775">
        <v>0</v>
      </c>
      <c r="T61" s="776">
        <v>0</v>
      </c>
      <c r="U61" s="774">
        <v>0</v>
      </c>
      <c r="V61" s="774">
        <v>0</v>
      </c>
      <c r="W61" s="774">
        <v>0</v>
      </c>
      <c r="X61" s="774">
        <v>0</v>
      </c>
      <c r="Y61" s="774">
        <v>0</v>
      </c>
      <c r="Z61" s="774">
        <v>0</v>
      </c>
      <c r="AA61" s="774">
        <v>0</v>
      </c>
      <c r="AB61" s="777">
        <v>0</v>
      </c>
    </row>
    <row r="62" spans="1:28" ht="34.799999999999997">
      <c r="A62" s="305" t="s">
        <v>4</v>
      </c>
      <c r="B62" s="309" t="s">
        <v>46</v>
      </c>
      <c r="C62" s="122">
        <v>7</v>
      </c>
      <c r="D62" s="123" t="s">
        <v>51</v>
      </c>
      <c r="E62" s="312" t="s">
        <v>38</v>
      </c>
      <c r="F62" s="313" t="s">
        <v>48</v>
      </c>
      <c r="G62" s="130" t="s">
        <v>49</v>
      </c>
      <c r="H62" s="112">
        <v>0</v>
      </c>
      <c r="I62" s="302">
        <v>45931</v>
      </c>
      <c r="J62" s="773">
        <v>0</v>
      </c>
      <c r="K62" s="774">
        <v>0</v>
      </c>
      <c r="L62" s="774">
        <v>0</v>
      </c>
      <c r="M62" s="774">
        <v>0</v>
      </c>
      <c r="N62" s="774">
        <v>0</v>
      </c>
      <c r="O62" s="774">
        <v>0</v>
      </c>
      <c r="P62" s="774">
        <v>0</v>
      </c>
      <c r="Q62" s="774">
        <v>0</v>
      </c>
      <c r="R62" s="774">
        <v>0</v>
      </c>
      <c r="S62" s="775">
        <v>0</v>
      </c>
      <c r="T62" s="776">
        <v>0</v>
      </c>
      <c r="U62" s="774">
        <v>0</v>
      </c>
      <c r="V62" s="774">
        <v>0</v>
      </c>
      <c r="W62" s="774">
        <v>0</v>
      </c>
      <c r="X62" s="796">
        <v>1</v>
      </c>
      <c r="Y62" s="774">
        <v>0</v>
      </c>
      <c r="Z62" s="774">
        <v>0</v>
      </c>
      <c r="AA62" s="774">
        <v>0</v>
      </c>
      <c r="AB62" s="777">
        <v>0</v>
      </c>
    </row>
    <row r="63" spans="1:28" ht="17.399999999999999">
      <c r="A63" s="305" t="s">
        <v>4</v>
      </c>
      <c r="B63" s="309" t="s">
        <v>46</v>
      </c>
      <c r="C63" s="122">
        <v>8</v>
      </c>
      <c r="D63" s="123" t="s">
        <v>52</v>
      </c>
      <c r="E63" s="312" t="s">
        <v>38</v>
      </c>
      <c r="F63" s="313" t="s">
        <v>48</v>
      </c>
      <c r="G63" s="130" t="s">
        <v>49</v>
      </c>
      <c r="H63" s="112">
        <v>0</v>
      </c>
      <c r="I63" s="302">
        <v>45931</v>
      </c>
      <c r="J63" s="773">
        <v>0</v>
      </c>
      <c r="K63" s="774">
        <v>0</v>
      </c>
      <c r="L63" s="774">
        <v>0</v>
      </c>
      <c r="M63" s="774">
        <v>0</v>
      </c>
      <c r="N63" s="774">
        <v>0</v>
      </c>
      <c r="O63" s="774">
        <v>0</v>
      </c>
      <c r="P63" s="774">
        <v>0</v>
      </c>
      <c r="Q63" s="774">
        <v>0</v>
      </c>
      <c r="R63" s="774">
        <v>0</v>
      </c>
      <c r="S63" s="775">
        <v>0</v>
      </c>
      <c r="T63" s="776">
        <v>0</v>
      </c>
      <c r="U63" s="774">
        <v>0</v>
      </c>
      <c r="V63" s="774">
        <v>0</v>
      </c>
      <c r="W63" s="774">
        <v>0</v>
      </c>
      <c r="X63" s="774">
        <v>0</v>
      </c>
      <c r="Y63" s="774">
        <v>0</v>
      </c>
      <c r="Z63" s="774">
        <v>0</v>
      </c>
      <c r="AA63" s="774">
        <v>0</v>
      </c>
      <c r="AB63" s="777">
        <v>0</v>
      </c>
    </row>
    <row r="64" spans="1:28" ht="17.399999999999999">
      <c r="A64" s="307" t="s">
        <v>4</v>
      </c>
      <c r="B64" s="311" t="s">
        <v>46</v>
      </c>
      <c r="C64" s="132">
        <v>9</v>
      </c>
      <c r="D64" s="133" t="s">
        <v>53</v>
      </c>
      <c r="E64" s="316" t="s">
        <v>38</v>
      </c>
      <c r="F64" s="317" t="s">
        <v>48</v>
      </c>
      <c r="G64" s="134" t="s">
        <v>49</v>
      </c>
      <c r="H64" s="135">
        <v>0</v>
      </c>
      <c r="I64" s="303">
        <v>45931</v>
      </c>
      <c r="J64" s="778">
        <v>0</v>
      </c>
      <c r="K64" s="779">
        <v>0</v>
      </c>
      <c r="L64" s="779">
        <v>0</v>
      </c>
      <c r="M64" s="779">
        <v>0</v>
      </c>
      <c r="N64" s="779">
        <v>0</v>
      </c>
      <c r="O64" s="779">
        <v>0</v>
      </c>
      <c r="P64" s="779">
        <v>0</v>
      </c>
      <c r="Q64" s="779">
        <v>0</v>
      </c>
      <c r="R64" s="779">
        <v>0</v>
      </c>
      <c r="S64" s="780">
        <v>0</v>
      </c>
      <c r="T64" s="781">
        <v>0</v>
      </c>
      <c r="U64" s="779">
        <v>0</v>
      </c>
      <c r="V64" s="779">
        <v>0</v>
      </c>
      <c r="W64" s="779">
        <v>0</v>
      </c>
      <c r="X64" s="779">
        <v>0</v>
      </c>
      <c r="Y64" s="779">
        <v>0</v>
      </c>
      <c r="Z64" s="779">
        <v>0</v>
      </c>
      <c r="AA64" s="779">
        <v>0</v>
      </c>
      <c r="AB64" s="782">
        <v>0</v>
      </c>
    </row>
    <row r="65" spans="1:28" ht="17.399999999999999">
      <c r="A65" s="304" t="s">
        <v>4</v>
      </c>
      <c r="B65" s="308" t="s">
        <v>36</v>
      </c>
      <c r="C65" s="120">
        <v>1</v>
      </c>
      <c r="D65" s="121" t="s">
        <v>37</v>
      </c>
      <c r="E65" s="116" t="s">
        <v>38</v>
      </c>
      <c r="F65" s="128" t="s">
        <v>39</v>
      </c>
      <c r="G65" s="129" t="s">
        <v>40</v>
      </c>
      <c r="H65" s="117">
        <v>0</v>
      </c>
      <c r="I65" s="301">
        <v>45962</v>
      </c>
      <c r="J65" s="753">
        <v>0</v>
      </c>
      <c r="K65" s="754">
        <v>0</v>
      </c>
      <c r="L65" s="754">
        <v>0</v>
      </c>
      <c r="M65" s="754">
        <v>0</v>
      </c>
      <c r="N65" s="754">
        <v>0</v>
      </c>
      <c r="O65" s="754">
        <v>0</v>
      </c>
      <c r="P65" s="754">
        <v>0</v>
      </c>
      <c r="Q65" s="754">
        <v>0</v>
      </c>
      <c r="R65" s="754">
        <v>0</v>
      </c>
      <c r="S65" s="755">
        <v>0</v>
      </c>
      <c r="T65" s="756">
        <v>0</v>
      </c>
      <c r="U65" s="754">
        <v>0</v>
      </c>
      <c r="V65" s="754">
        <v>0</v>
      </c>
      <c r="W65" s="754">
        <v>0</v>
      </c>
      <c r="X65" s="754">
        <v>0</v>
      </c>
      <c r="Y65" s="754">
        <v>0</v>
      </c>
      <c r="Z65" s="754">
        <v>0</v>
      </c>
      <c r="AA65" s="754">
        <v>0</v>
      </c>
      <c r="AB65" s="757">
        <v>0</v>
      </c>
    </row>
    <row r="66" spans="1:28" ht="17.399999999999999">
      <c r="A66" s="305" t="s">
        <v>4</v>
      </c>
      <c r="B66" s="309" t="s">
        <v>36</v>
      </c>
      <c r="C66" s="122">
        <v>2</v>
      </c>
      <c r="D66" s="123" t="s">
        <v>42</v>
      </c>
      <c r="E66" s="312" t="s">
        <v>38</v>
      </c>
      <c r="F66" s="313" t="s">
        <v>39</v>
      </c>
      <c r="G66" s="130" t="s">
        <v>43</v>
      </c>
      <c r="H66" s="112">
        <v>0</v>
      </c>
      <c r="I66" s="302">
        <v>45962</v>
      </c>
      <c r="J66" s="758">
        <v>0</v>
      </c>
      <c r="K66" s="759">
        <v>0</v>
      </c>
      <c r="L66" s="759">
        <v>0</v>
      </c>
      <c r="M66" s="759">
        <v>0</v>
      </c>
      <c r="N66" s="759">
        <v>0</v>
      </c>
      <c r="O66" s="759">
        <v>0</v>
      </c>
      <c r="P66" s="759">
        <v>0</v>
      </c>
      <c r="Q66" s="759">
        <v>0</v>
      </c>
      <c r="R66" s="759">
        <v>0</v>
      </c>
      <c r="S66" s="760">
        <v>0</v>
      </c>
      <c r="T66" s="761">
        <v>0</v>
      </c>
      <c r="U66" s="759">
        <v>0</v>
      </c>
      <c r="V66" s="759">
        <v>0</v>
      </c>
      <c r="W66" s="759">
        <v>0</v>
      </c>
      <c r="X66" s="759">
        <v>0</v>
      </c>
      <c r="Y66" s="759">
        <v>0</v>
      </c>
      <c r="Z66" s="759">
        <v>0</v>
      </c>
      <c r="AA66" s="759">
        <v>0</v>
      </c>
      <c r="AB66" s="762">
        <v>0</v>
      </c>
    </row>
    <row r="67" spans="1:28" ht="17.399999999999999">
      <c r="A67" s="305" t="s">
        <v>4</v>
      </c>
      <c r="B67" s="309" t="s">
        <v>36</v>
      </c>
      <c r="C67" s="122">
        <v>3</v>
      </c>
      <c r="D67" s="123" t="s">
        <v>44</v>
      </c>
      <c r="E67" s="312" t="s">
        <v>38</v>
      </c>
      <c r="F67" s="313" t="s">
        <v>39</v>
      </c>
      <c r="G67" s="130" t="s">
        <v>40</v>
      </c>
      <c r="H67" s="112">
        <v>4</v>
      </c>
      <c r="I67" s="302">
        <v>45962</v>
      </c>
      <c r="J67" s="797">
        <v>1</v>
      </c>
      <c r="K67" s="759">
        <v>0</v>
      </c>
      <c r="L67" s="759">
        <v>0</v>
      </c>
      <c r="M67" s="759">
        <v>0</v>
      </c>
      <c r="N67" s="759">
        <v>0</v>
      </c>
      <c r="O67" s="759">
        <v>0</v>
      </c>
      <c r="P67" s="759">
        <v>0</v>
      </c>
      <c r="Q67" s="759">
        <v>0</v>
      </c>
      <c r="R67" s="759">
        <v>0</v>
      </c>
      <c r="S67" s="760">
        <v>0</v>
      </c>
      <c r="T67" s="761">
        <v>0</v>
      </c>
      <c r="U67" s="759">
        <v>0</v>
      </c>
      <c r="V67" s="783">
        <v>1</v>
      </c>
      <c r="W67" s="759">
        <v>0</v>
      </c>
      <c r="X67" s="759">
        <v>0</v>
      </c>
      <c r="Y67" s="759">
        <v>0</v>
      </c>
      <c r="Z67" s="759">
        <v>0</v>
      </c>
      <c r="AA67" s="759">
        <v>0</v>
      </c>
      <c r="AB67" s="762">
        <v>0</v>
      </c>
    </row>
    <row r="68" spans="1:28" ht="17.399999999999999">
      <c r="A68" s="305" t="s">
        <v>4</v>
      </c>
      <c r="B68" s="309" t="s">
        <v>36</v>
      </c>
      <c r="C68" s="152">
        <v>4</v>
      </c>
      <c r="D68" s="153" t="s">
        <v>112</v>
      </c>
      <c r="E68" s="314" t="s">
        <v>38</v>
      </c>
      <c r="F68" s="315" t="s">
        <v>39</v>
      </c>
      <c r="G68" s="154" t="s">
        <v>40</v>
      </c>
      <c r="H68" s="155">
        <v>4</v>
      </c>
      <c r="I68" s="302">
        <v>45962</v>
      </c>
      <c r="J68" s="763"/>
      <c r="K68" s="764"/>
      <c r="L68" s="764"/>
      <c r="M68" s="764"/>
      <c r="N68" s="764"/>
      <c r="O68" s="764"/>
      <c r="P68" s="764"/>
      <c r="Q68" s="764"/>
      <c r="R68" s="764"/>
      <c r="S68" s="765"/>
      <c r="T68" s="766"/>
      <c r="U68" s="764"/>
      <c r="V68" s="764"/>
      <c r="W68" s="764"/>
      <c r="X68" s="764"/>
      <c r="Y68" s="764"/>
      <c r="Z68" s="764"/>
      <c r="AA68" s="764"/>
      <c r="AB68" s="767"/>
    </row>
    <row r="69" spans="1:28" ht="17.399999999999999">
      <c r="A69" s="306" t="s">
        <v>4</v>
      </c>
      <c r="B69" s="310" t="s">
        <v>46</v>
      </c>
      <c r="C69" s="120">
        <v>5</v>
      </c>
      <c r="D69" s="121" t="s">
        <v>47</v>
      </c>
      <c r="E69" s="148" t="s">
        <v>38</v>
      </c>
      <c r="F69" s="149" t="s">
        <v>48</v>
      </c>
      <c r="G69" s="129" t="s">
        <v>49</v>
      </c>
      <c r="H69" s="117">
        <v>0</v>
      </c>
      <c r="I69" s="302">
        <v>45962</v>
      </c>
      <c r="J69" s="798">
        <v>0</v>
      </c>
      <c r="K69" s="799">
        <v>0</v>
      </c>
      <c r="L69" s="799">
        <v>0</v>
      </c>
      <c r="M69" s="799">
        <v>0</v>
      </c>
      <c r="N69" s="799">
        <v>0</v>
      </c>
      <c r="O69" s="799">
        <v>0</v>
      </c>
      <c r="P69" s="799">
        <v>0</v>
      </c>
      <c r="Q69" s="799">
        <v>0</v>
      </c>
      <c r="R69" s="799">
        <v>0</v>
      </c>
      <c r="S69" s="800">
        <v>0</v>
      </c>
      <c r="T69" s="801">
        <v>0</v>
      </c>
      <c r="U69" s="802">
        <v>1</v>
      </c>
      <c r="V69" s="799">
        <v>0</v>
      </c>
      <c r="W69" s="799">
        <v>0</v>
      </c>
      <c r="X69" s="799">
        <v>0</v>
      </c>
      <c r="Y69" s="799">
        <v>0</v>
      </c>
      <c r="Z69" s="799">
        <v>0</v>
      </c>
      <c r="AA69" s="799">
        <v>0</v>
      </c>
      <c r="AB69" s="803">
        <v>0</v>
      </c>
    </row>
    <row r="70" spans="1:28" ht="17.399999999999999">
      <c r="A70" s="305" t="s">
        <v>4</v>
      </c>
      <c r="B70" s="309" t="s">
        <v>46</v>
      </c>
      <c r="C70" s="122">
        <v>6</v>
      </c>
      <c r="D70" s="123" t="s">
        <v>50</v>
      </c>
      <c r="E70" s="312" t="s">
        <v>38</v>
      </c>
      <c r="F70" s="313" t="s">
        <v>48</v>
      </c>
      <c r="G70" s="130" t="s">
        <v>49</v>
      </c>
      <c r="H70" s="112">
        <v>0</v>
      </c>
      <c r="I70" s="302">
        <v>45962</v>
      </c>
      <c r="J70" s="773">
        <v>0</v>
      </c>
      <c r="K70" s="774">
        <v>0</v>
      </c>
      <c r="L70" s="774">
        <v>0</v>
      </c>
      <c r="M70" s="774">
        <v>0</v>
      </c>
      <c r="N70" s="774">
        <v>0</v>
      </c>
      <c r="O70" s="774">
        <v>0</v>
      </c>
      <c r="P70" s="774">
        <v>0</v>
      </c>
      <c r="Q70" s="774">
        <v>0</v>
      </c>
      <c r="R70" s="774">
        <v>0</v>
      </c>
      <c r="S70" s="775">
        <v>0</v>
      </c>
      <c r="T70" s="776">
        <v>0</v>
      </c>
      <c r="U70" s="774">
        <v>0</v>
      </c>
      <c r="V70" s="774">
        <v>0</v>
      </c>
      <c r="W70" s="774">
        <v>0</v>
      </c>
      <c r="X70" s="774">
        <v>0</v>
      </c>
      <c r="Y70" s="774">
        <v>0</v>
      </c>
      <c r="Z70" s="774">
        <v>0</v>
      </c>
      <c r="AA70" s="774">
        <v>0</v>
      </c>
      <c r="AB70" s="777">
        <v>0</v>
      </c>
    </row>
    <row r="71" spans="1:28" ht="34.799999999999997">
      <c r="A71" s="305" t="s">
        <v>4</v>
      </c>
      <c r="B71" s="309" t="s">
        <v>46</v>
      </c>
      <c r="C71" s="122">
        <v>7</v>
      </c>
      <c r="D71" s="123" t="s">
        <v>51</v>
      </c>
      <c r="E71" s="312" t="s">
        <v>38</v>
      </c>
      <c r="F71" s="313" t="s">
        <v>48</v>
      </c>
      <c r="G71" s="130" t="s">
        <v>49</v>
      </c>
      <c r="H71" s="112">
        <v>0</v>
      </c>
      <c r="I71" s="302">
        <v>45962</v>
      </c>
      <c r="J71" s="773">
        <v>0</v>
      </c>
      <c r="K71" s="774">
        <v>0</v>
      </c>
      <c r="L71" s="774">
        <v>0</v>
      </c>
      <c r="M71" s="774">
        <v>0</v>
      </c>
      <c r="N71" s="774">
        <v>0</v>
      </c>
      <c r="O71" s="774">
        <v>0</v>
      </c>
      <c r="P71" s="774">
        <v>0</v>
      </c>
      <c r="Q71" s="774">
        <v>0</v>
      </c>
      <c r="R71" s="774">
        <v>0</v>
      </c>
      <c r="S71" s="775">
        <v>0</v>
      </c>
      <c r="T71" s="776">
        <v>0</v>
      </c>
      <c r="U71" s="774">
        <v>0</v>
      </c>
      <c r="V71" s="774">
        <v>0</v>
      </c>
      <c r="W71" s="774">
        <v>0</v>
      </c>
      <c r="X71" s="774">
        <v>0</v>
      </c>
      <c r="Y71" s="774">
        <v>0</v>
      </c>
      <c r="Z71" s="774">
        <v>0</v>
      </c>
      <c r="AA71" s="774">
        <v>0</v>
      </c>
      <c r="AB71" s="777">
        <v>0</v>
      </c>
    </row>
    <row r="72" spans="1:28" ht="17.399999999999999">
      <c r="A72" s="305" t="s">
        <v>4</v>
      </c>
      <c r="B72" s="309" t="s">
        <v>46</v>
      </c>
      <c r="C72" s="122">
        <v>8</v>
      </c>
      <c r="D72" s="123" t="s">
        <v>52</v>
      </c>
      <c r="E72" s="312" t="s">
        <v>38</v>
      </c>
      <c r="F72" s="313" t="s">
        <v>48</v>
      </c>
      <c r="G72" s="130" t="s">
        <v>49</v>
      </c>
      <c r="H72" s="112">
        <v>0</v>
      </c>
      <c r="I72" s="302">
        <v>45962</v>
      </c>
      <c r="J72" s="773">
        <v>0</v>
      </c>
      <c r="K72" s="774">
        <v>0</v>
      </c>
      <c r="L72" s="774">
        <v>0</v>
      </c>
      <c r="M72" s="774">
        <v>0</v>
      </c>
      <c r="N72" s="774">
        <v>0</v>
      </c>
      <c r="O72" s="774">
        <v>0</v>
      </c>
      <c r="P72" s="774">
        <v>0</v>
      </c>
      <c r="Q72" s="774">
        <v>0</v>
      </c>
      <c r="R72" s="774">
        <v>0</v>
      </c>
      <c r="S72" s="775">
        <v>0</v>
      </c>
      <c r="T72" s="776">
        <v>0</v>
      </c>
      <c r="U72" s="774">
        <v>0</v>
      </c>
      <c r="V72" s="774">
        <v>0</v>
      </c>
      <c r="W72" s="774">
        <v>0</v>
      </c>
      <c r="X72" s="774">
        <v>0</v>
      </c>
      <c r="Y72" s="774">
        <v>0</v>
      </c>
      <c r="Z72" s="774">
        <v>0</v>
      </c>
      <c r="AA72" s="774">
        <v>0</v>
      </c>
      <c r="AB72" s="777">
        <v>0</v>
      </c>
    </row>
    <row r="73" spans="1:28" ht="17.399999999999999">
      <c r="A73" s="307" t="s">
        <v>4</v>
      </c>
      <c r="B73" s="311" t="s">
        <v>46</v>
      </c>
      <c r="C73" s="136">
        <v>9</v>
      </c>
      <c r="D73" s="137" t="s">
        <v>53</v>
      </c>
      <c r="E73" s="316" t="s">
        <v>38</v>
      </c>
      <c r="F73" s="317" t="s">
        <v>48</v>
      </c>
      <c r="G73" s="138" t="s">
        <v>49</v>
      </c>
      <c r="H73" s="139">
        <v>0</v>
      </c>
      <c r="I73" s="303">
        <v>45962</v>
      </c>
      <c r="J73" s="804">
        <v>0</v>
      </c>
      <c r="K73" s="805">
        <v>0</v>
      </c>
      <c r="L73" s="806">
        <v>1</v>
      </c>
      <c r="M73" s="805">
        <v>0</v>
      </c>
      <c r="N73" s="805">
        <v>0</v>
      </c>
      <c r="O73" s="805">
        <v>0</v>
      </c>
      <c r="P73" s="805">
        <v>0</v>
      </c>
      <c r="Q73" s="805">
        <v>0</v>
      </c>
      <c r="R73" s="805">
        <v>0</v>
      </c>
      <c r="S73" s="807">
        <v>0</v>
      </c>
      <c r="T73" s="808">
        <v>0</v>
      </c>
      <c r="U73" s="805">
        <v>0</v>
      </c>
      <c r="V73" s="805">
        <v>0</v>
      </c>
      <c r="W73" s="805">
        <v>0</v>
      </c>
      <c r="X73" s="805">
        <v>0</v>
      </c>
      <c r="Y73" s="805">
        <v>0</v>
      </c>
      <c r="Z73" s="805">
        <v>0</v>
      </c>
      <c r="AA73" s="805">
        <v>0</v>
      </c>
      <c r="AB73" s="809">
        <v>0</v>
      </c>
    </row>
    <row r="74" spans="1:28" ht="17.399999999999999">
      <c r="A74" s="304" t="s">
        <v>4</v>
      </c>
      <c r="B74" s="308" t="s">
        <v>36</v>
      </c>
      <c r="C74" s="140">
        <v>1</v>
      </c>
      <c r="D74" s="141" t="s">
        <v>37</v>
      </c>
      <c r="E74" s="116" t="s">
        <v>38</v>
      </c>
      <c r="F74" s="128" t="s">
        <v>39</v>
      </c>
      <c r="G74" s="142" t="s">
        <v>40</v>
      </c>
      <c r="H74" s="143">
        <v>0</v>
      </c>
      <c r="I74" s="301">
        <v>45992</v>
      </c>
      <c r="J74" s="693">
        <v>0</v>
      </c>
      <c r="K74" s="810">
        <v>0</v>
      </c>
      <c r="L74" s="810">
        <v>0</v>
      </c>
      <c r="M74" s="810">
        <v>0</v>
      </c>
      <c r="N74" s="810">
        <v>0</v>
      </c>
      <c r="O74" s="810">
        <v>0</v>
      </c>
      <c r="P74" s="810">
        <v>0</v>
      </c>
      <c r="Q74" s="810">
        <v>0</v>
      </c>
      <c r="R74" s="810">
        <v>0</v>
      </c>
      <c r="S74" s="811">
        <v>0</v>
      </c>
      <c r="T74" s="812">
        <v>0</v>
      </c>
      <c r="U74" s="810">
        <v>0</v>
      </c>
      <c r="V74" s="810">
        <v>0</v>
      </c>
      <c r="W74" s="810">
        <v>0</v>
      </c>
      <c r="X74" s="810">
        <v>0</v>
      </c>
      <c r="Y74" s="810">
        <v>0</v>
      </c>
      <c r="Z74" s="810">
        <v>0</v>
      </c>
      <c r="AA74" s="810">
        <v>0</v>
      </c>
      <c r="AB74" s="813">
        <v>0</v>
      </c>
    </row>
    <row r="75" spans="1:28" ht="17.399999999999999">
      <c r="A75" s="305" t="s">
        <v>4</v>
      </c>
      <c r="B75" s="309" t="s">
        <v>36</v>
      </c>
      <c r="C75" s="122">
        <v>2</v>
      </c>
      <c r="D75" s="123" t="s">
        <v>42</v>
      </c>
      <c r="E75" s="312" t="s">
        <v>38</v>
      </c>
      <c r="F75" s="313" t="s">
        <v>39</v>
      </c>
      <c r="G75" s="130" t="s">
        <v>43</v>
      </c>
      <c r="H75" s="112">
        <v>0</v>
      </c>
      <c r="I75" s="302">
        <v>45992</v>
      </c>
      <c r="J75" s="661">
        <v>0</v>
      </c>
      <c r="K75" s="814">
        <v>0</v>
      </c>
      <c r="L75" s="814">
        <v>0</v>
      </c>
      <c r="M75" s="814">
        <v>0</v>
      </c>
      <c r="N75" s="814">
        <v>0</v>
      </c>
      <c r="O75" s="814">
        <v>0</v>
      </c>
      <c r="P75" s="814">
        <v>0</v>
      </c>
      <c r="Q75" s="814">
        <v>0</v>
      </c>
      <c r="R75" s="814">
        <v>0</v>
      </c>
      <c r="S75" s="815">
        <v>0</v>
      </c>
      <c r="T75" s="816">
        <v>0</v>
      </c>
      <c r="U75" s="814">
        <v>0</v>
      </c>
      <c r="V75" s="814">
        <v>0</v>
      </c>
      <c r="W75" s="814">
        <v>0</v>
      </c>
      <c r="X75" s="814">
        <v>0</v>
      </c>
      <c r="Y75" s="814">
        <v>0</v>
      </c>
      <c r="Z75" s="814">
        <v>0</v>
      </c>
      <c r="AA75" s="814">
        <v>0</v>
      </c>
      <c r="AB75" s="817">
        <v>0</v>
      </c>
    </row>
    <row r="76" spans="1:28" ht="17.399999999999999">
      <c r="A76" s="305" t="s">
        <v>4</v>
      </c>
      <c r="B76" s="309" t="s">
        <v>36</v>
      </c>
      <c r="C76" s="122">
        <v>3</v>
      </c>
      <c r="D76" s="123" t="s">
        <v>44</v>
      </c>
      <c r="E76" s="312" t="s">
        <v>38</v>
      </c>
      <c r="F76" s="313" t="s">
        <v>39</v>
      </c>
      <c r="G76" s="130" t="s">
        <v>40</v>
      </c>
      <c r="H76" s="112">
        <v>4</v>
      </c>
      <c r="I76" s="302">
        <v>45992</v>
      </c>
      <c r="J76" s="661">
        <v>0</v>
      </c>
      <c r="K76" s="814">
        <v>0</v>
      </c>
      <c r="L76" s="814">
        <v>0</v>
      </c>
      <c r="M76" s="814">
        <v>0</v>
      </c>
      <c r="N76" s="814">
        <v>0</v>
      </c>
      <c r="O76" s="814">
        <v>0</v>
      </c>
      <c r="P76" s="814">
        <v>0</v>
      </c>
      <c r="Q76" s="814">
        <v>0</v>
      </c>
      <c r="R76" s="814">
        <v>0</v>
      </c>
      <c r="S76" s="815">
        <v>0</v>
      </c>
      <c r="T76" s="816">
        <v>0</v>
      </c>
      <c r="U76" s="814">
        <v>0</v>
      </c>
      <c r="V76" s="814">
        <v>0</v>
      </c>
      <c r="W76" s="814">
        <v>0</v>
      </c>
      <c r="X76" s="814">
        <v>0</v>
      </c>
      <c r="Y76" s="814">
        <v>0</v>
      </c>
      <c r="Z76" s="814">
        <v>0</v>
      </c>
      <c r="AA76" s="814">
        <v>0</v>
      </c>
      <c r="AB76" s="817">
        <v>0</v>
      </c>
    </row>
    <row r="77" spans="1:28" ht="17.399999999999999">
      <c r="A77" s="305" t="s">
        <v>4</v>
      </c>
      <c r="B77" s="309" t="s">
        <v>36</v>
      </c>
      <c r="C77" s="136">
        <v>4</v>
      </c>
      <c r="D77" s="137" t="s">
        <v>112</v>
      </c>
      <c r="E77" s="314" t="s">
        <v>38</v>
      </c>
      <c r="F77" s="315" t="s">
        <v>39</v>
      </c>
      <c r="G77" s="138" t="s">
        <v>40</v>
      </c>
      <c r="H77" s="139">
        <v>4</v>
      </c>
      <c r="I77" s="302">
        <v>45992</v>
      </c>
      <c r="J77" s="763"/>
      <c r="K77" s="764"/>
      <c r="L77" s="764"/>
      <c r="M77" s="764"/>
      <c r="N77" s="764"/>
      <c r="O77" s="764"/>
      <c r="P77" s="764"/>
      <c r="Q77" s="764"/>
      <c r="R77" s="764"/>
      <c r="S77" s="765"/>
      <c r="T77" s="766"/>
      <c r="U77" s="764"/>
      <c r="V77" s="764"/>
      <c r="W77" s="764"/>
      <c r="X77" s="764"/>
      <c r="Y77" s="764"/>
      <c r="Z77" s="764"/>
      <c r="AA77" s="764"/>
      <c r="AB77" s="767"/>
    </row>
    <row r="78" spans="1:28" ht="17.399999999999999">
      <c r="A78" s="306" t="s">
        <v>4</v>
      </c>
      <c r="B78" s="310" t="s">
        <v>46</v>
      </c>
      <c r="C78" s="146">
        <v>5</v>
      </c>
      <c r="D78" s="147" t="s">
        <v>47</v>
      </c>
      <c r="E78" s="148" t="s">
        <v>38</v>
      </c>
      <c r="F78" s="149" t="s">
        <v>48</v>
      </c>
      <c r="G78" s="150" t="s">
        <v>49</v>
      </c>
      <c r="H78" s="151">
        <v>0</v>
      </c>
      <c r="I78" s="302">
        <v>45992</v>
      </c>
      <c r="J78" s="818">
        <v>0</v>
      </c>
      <c r="K78" s="819">
        <v>0</v>
      </c>
      <c r="L78" s="819">
        <v>0</v>
      </c>
      <c r="M78" s="819">
        <v>0</v>
      </c>
      <c r="N78" s="819">
        <v>0</v>
      </c>
      <c r="O78" s="819">
        <v>0</v>
      </c>
      <c r="P78" s="819">
        <v>0</v>
      </c>
      <c r="Q78" s="819">
        <v>0</v>
      </c>
      <c r="R78" s="819">
        <v>0</v>
      </c>
      <c r="S78" s="820">
        <v>0</v>
      </c>
      <c r="T78" s="821">
        <v>0</v>
      </c>
      <c r="U78" s="819">
        <v>0</v>
      </c>
      <c r="V78" s="819">
        <v>0</v>
      </c>
      <c r="W78" s="819">
        <v>0</v>
      </c>
      <c r="X78" s="819">
        <v>0</v>
      </c>
      <c r="Y78" s="819">
        <v>0</v>
      </c>
      <c r="Z78" s="819">
        <v>0</v>
      </c>
      <c r="AA78" s="819">
        <v>0</v>
      </c>
      <c r="AB78" s="822">
        <v>0</v>
      </c>
    </row>
    <row r="79" spans="1:28" ht="17.399999999999999">
      <c r="A79" s="305" t="s">
        <v>4</v>
      </c>
      <c r="B79" s="309" t="s">
        <v>46</v>
      </c>
      <c r="C79" s="122">
        <v>6</v>
      </c>
      <c r="D79" s="123" t="s">
        <v>50</v>
      </c>
      <c r="E79" s="312" t="s">
        <v>38</v>
      </c>
      <c r="F79" s="313" t="s">
        <v>48</v>
      </c>
      <c r="G79" s="130" t="s">
        <v>49</v>
      </c>
      <c r="H79" s="112">
        <v>0</v>
      </c>
      <c r="I79" s="302">
        <v>45992</v>
      </c>
      <c r="J79" s="823">
        <v>0</v>
      </c>
      <c r="K79" s="824">
        <v>0</v>
      </c>
      <c r="L79" s="824">
        <v>0</v>
      </c>
      <c r="M79" s="824">
        <v>0</v>
      </c>
      <c r="N79" s="825">
        <v>1</v>
      </c>
      <c r="O79" s="824">
        <v>0</v>
      </c>
      <c r="P79" s="824">
        <v>0</v>
      </c>
      <c r="Q79" s="824">
        <v>0</v>
      </c>
      <c r="R79" s="824">
        <v>0</v>
      </c>
      <c r="S79" s="826">
        <v>0</v>
      </c>
      <c r="T79" s="827">
        <v>0</v>
      </c>
      <c r="U79" s="824">
        <v>0</v>
      </c>
      <c r="V79" s="824">
        <v>0</v>
      </c>
      <c r="W79" s="824">
        <v>0</v>
      </c>
      <c r="X79" s="824">
        <v>0</v>
      </c>
      <c r="Y79" s="824">
        <v>0</v>
      </c>
      <c r="Z79" s="824">
        <v>0</v>
      </c>
      <c r="AA79" s="824">
        <v>0</v>
      </c>
      <c r="AB79" s="828">
        <v>0</v>
      </c>
    </row>
    <row r="80" spans="1:28" ht="34.799999999999997">
      <c r="A80" s="305" t="s">
        <v>4</v>
      </c>
      <c r="B80" s="309" t="s">
        <v>46</v>
      </c>
      <c r="C80" s="122">
        <v>7</v>
      </c>
      <c r="D80" s="123" t="s">
        <v>51</v>
      </c>
      <c r="E80" s="312" t="s">
        <v>38</v>
      </c>
      <c r="F80" s="313" t="s">
        <v>48</v>
      </c>
      <c r="G80" s="130" t="s">
        <v>49</v>
      </c>
      <c r="H80" s="112">
        <v>0</v>
      </c>
      <c r="I80" s="302">
        <v>45992</v>
      </c>
      <c r="J80" s="823">
        <v>0</v>
      </c>
      <c r="K80" s="824">
        <v>0</v>
      </c>
      <c r="L80" s="824">
        <v>0</v>
      </c>
      <c r="M80" s="824">
        <v>0</v>
      </c>
      <c r="N80" s="824">
        <v>0</v>
      </c>
      <c r="O80" s="824">
        <v>0</v>
      </c>
      <c r="P80" s="824">
        <v>0</v>
      </c>
      <c r="Q80" s="824">
        <v>0</v>
      </c>
      <c r="R80" s="824">
        <v>0</v>
      </c>
      <c r="S80" s="826">
        <v>0</v>
      </c>
      <c r="T80" s="827">
        <v>0</v>
      </c>
      <c r="U80" s="824">
        <v>0</v>
      </c>
      <c r="V80" s="824">
        <v>0</v>
      </c>
      <c r="W80" s="824">
        <v>0</v>
      </c>
      <c r="X80" s="824">
        <v>0</v>
      </c>
      <c r="Y80" s="824">
        <v>0</v>
      </c>
      <c r="Z80" s="824">
        <v>0</v>
      </c>
      <c r="AA80" s="824">
        <v>0</v>
      </c>
      <c r="AB80" s="828">
        <v>0</v>
      </c>
    </row>
    <row r="81" spans="1:28" ht="17.399999999999999">
      <c r="A81" s="305" t="s">
        <v>4</v>
      </c>
      <c r="B81" s="309" t="s">
        <v>46</v>
      </c>
      <c r="C81" s="122">
        <v>8</v>
      </c>
      <c r="D81" s="123" t="s">
        <v>52</v>
      </c>
      <c r="E81" s="312" t="s">
        <v>38</v>
      </c>
      <c r="F81" s="313" t="s">
        <v>48</v>
      </c>
      <c r="G81" s="130" t="s">
        <v>49</v>
      </c>
      <c r="H81" s="112">
        <v>0</v>
      </c>
      <c r="I81" s="302">
        <v>45992</v>
      </c>
      <c r="J81" s="823">
        <v>0</v>
      </c>
      <c r="K81" s="824">
        <v>0</v>
      </c>
      <c r="L81" s="824">
        <v>0</v>
      </c>
      <c r="M81" s="824">
        <v>0</v>
      </c>
      <c r="N81" s="824">
        <v>0</v>
      </c>
      <c r="O81" s="824">
        <v>0</v>
      </c>
      <c r="P81" s="824">
        <v>0</v>
      </c>
      <c r="Q81" s="824">
        <v>0</v>
      </c>
      <c r="R81" s="824">
        <v>0</v>
      </c>
      <c r="S81" s="826">
        <v>0</v>
      </c>
      <c r="T81" s="827">
        <v>0</v>
      </c>
      <c r="U81" s="824">
        <v>0</v>
      </c>
      <c r="V81" s="824">
        <v>0</v>
      </c>
      <c r="W81" s="824">
        <v>0</v>
      </c>
      <c r="X81" s="824">
        <v>0</v>
      </c>
      <c r="Y81" s="824">
        <v>0</v>
      </c>
      <c r="Z81" s="824">
        <v>0</v>
      </c>
      <c r="AA81" s="824">
        <v>0</v>
      </c>
      <c r="AB81" s="828">
        <v>0</v>
      </c>
    </row>
    <row r="82" spans="1:28" ht="17.399999999999999">
      <c r="A82" s="307" t="s">
        <v>4</v>
      </c>
      <c r="B82" s="311" t="s">
        <v>46</v>
      </c>
      <c r="C82" s="132">
        <v>9</v>
      </c>
      <c r="D82" s="133" t="s">
        <v>53</v>
      </c>
      <c r="E82" s="316" t="s">
        <v>38</v>
      </c>
      <c r="F82" s="317" t="s">
        <v>48</v>
      </c>
      <c r="G82" s="134" t="s">
        <v>49</v>
      </c>
      <c r="H82" s="135">
        <v>1</v>
      </c>
      <c r="I82" s="303">
        <v>45992</v>
      </c>
      <c r="J82" s="829">
        <v>0</v>
      </c>
      <c r="K82" s="830">
        <v>0</v>
      </c>
      <c r="L82" s="830">
        <v>0</v>
      </c>
      <c r="M82" s="830">
        <v>0</v>
      </c>
      <c r="N82" s="830">
        <v>0</v>
      </c>
      <c r="O82" s="830">
        <v>0</v>
      </c>
      <c r="P82" s="830">
        <v>0</v>
      </c>
      <c r="Q82" s="830">
        <v>0</v>
      </c>
      <c r="R82" s="830">
        <v>0</v>
      </c>
      <c r="S82" s="831">
        <v>0</v>
      </c>
      <c r="T82" s="832">
        <v>0</v>
      </c>
      <c r="U82" s="830">
        <v>0</v>
      </c>
      <c r="V82" s="830">
        <v>0</v>
      </c>
      <c r="W82" s="830">
        <v>0</v>
      </c>
      <c r="X82" s="830">
        <v>0</v>
      </c>
      <c r="Y82" s="830">
        <v>0</v>
      </c>
      <c r="Z82" s="830">
        <v>0</v>
      </c>
      <c r="AA82" s="830">
        <v>0</v>
      </c>
      <c r="AB82" s="833">
        <v>0</v>
      </c>
    </row>
    <row r="83" spans="1:28" ht="17.399999999999999">
      <c r="A83" s="304" t="s">
        <v>4</v>
      </c>
      <c r="B83" s="308" t="s">
        <v>36</v>
      </c>
      <c r="C83" s="120">
        <v>1</v>
      </c>
      <c r="D83" s="121" t="s">
        <v>37</v>
      </c>
      <c r="E83" s="116" t="s">
        <v>38</v>
      </c>
      <c r="F83" s="128" t="s">
        <v>39</v>
      </c>
      <c r="G83" s="129" t="s">
        <v>40</v>
      </c>
      <c r="H83" s="117">
        <v>0</v>
      </c>
      <c r="I83" s="301">
        <v>46023</v>
      </c>
      <c r="J83" s="834">
        <v>0</v>
      </c>
      <c r="K83" s="835">
        <v>0</v>
      </c>
      <c r="L83" s="835">
        <v>0</v>
      </c>
      <c r="M83" s="835">
        <v>0</v>
      </c>
      <c r="N83" s="835">
        <v>0</v>
      </c>
      <c r="O83" s="835">
        <v>0</v>
      </c>
      <c r="P83" s="835">
        <v>0</v>
      </c>
      <c r="Q83" s="835">
        <v>0</v>
      </c>
      <c r="R83" s="835">
        <v>0</v>
      </c>
      <c r="S83" s="836">
        <v>0</v>
      </c>
      <c r="T83" s="837">
        <v>0</v>
      </c>
      <c r="U83" s="835">
        <v>0</v>
      </c>
      <c r="V83" s="835">
        <v>0</v>
      </c>
      <c r="W83" s="835">
        <v>0</v>
      </c>
      <c r="X83" s="835">
        <v>0</v>
      </c>
      <c r="Y83" s="835">
        <v>0</v>
      </c>
      <c r="Z83" s="835">
        <v>0</v>
      </c>
      <c r="AA83" s="835">
        <v>0</v>
      </c>
      <c r="AB83" s="838">
        <v>0</v>
      </c>
    </row>
    <row r="84" spans="1:28" ht="17.399999999999999">
      <c r="A84" s="305" t="s">
        <v>4</v>
      </c>
      <c r="B84" s="309" t="s">
        <v>36</v>
      </c>
      <c r="C84" s="122">
        <v>2</v>
      </c>
      <c r="D84" s="123" t="s">
        <v>42</v>
      </c>
      <c r="E84" s="312" t="s">
        <v>38</v>
      </c>
      <c r="F84" s="313" t="s">
        <v>39</v>
      </c>
      <c r="G84" s="130" t="s">
        <v>43</v>
      </c>
      <c r="H84" s="112">
        <v>0</v>
      </c>
      <c r="I84" s="302">
        <v>46023</v>
      </c>
      <c r="J84" s="839">
        <v>0</v>
      </c>
      <c r="K84" s="840">
        <v>0</v>
      </c>
      <c r="L84" s="840">
        <v>0</v>
      </c>
      <c r="M84" s="840">
        <v>0</v>
      </c>
      <c r="N84" s="840">
        <v>0</v>
      </c>
      <c r="O84" s="840">
        <v>0</v>
      </c>
      <c r="P84" s="840">
        <v>0</v>
      </c>
      <c r="Q84" s="840">
        <v>0</v>
      </c>
      <c r="R84" s="840">
        <v>0</v>
      </c>
      <c r="S84" s="841">
        <v>0</v>
      </c>
      <c r="T84" s="842">
        <v>0</v>
      </c>
      <c r="U84" s="840">
        <v>0</v>
      </c>
      <c r="V84" s="840">
        <v>0</v>
      </c>
      <c r="W84" s="840">
        <v>0</v>
      </c>
      <c r="X84" s="840">
        <v>0</v>
      </c>
      <c r="Y84" s="840">
        <v>0</v>
      </c>
      <c r="Z84" s="840">
        <v>0</v>
      </c>
      <c r="AA84" s="840">
        <v>0</v>
      </c>
      <c r="AB84" s="843">
        <v>0</v>
      </c>
    </row>
    <row r="85" spans="1:28" ht="17.399999999999999">
      <c r="A85" s="305" t="s">
        <v>4</v>
      </c>
      <c r="B85" s="309" t="s">
        <v>36</v>
      </c>
      <c r="C85" s="122">
        <v>3</v>
      </c>
      <c r="D85" s="123" t="s">
        <v>44</v>
      </c>
      <c r="E85" s="312" t="s">
        <v>38</v>
      </c>
      <c r="F85" s="313" t="s">
        <v>39</v>
      </c>
      <c r="G85" s="130" t="s">
        <v>40</v>
      </c>
      <c r="H85" s="112">
        <v>4</v>
      </c>
      <c r="I85" s="302">
        <v>46023</v>
      </c>
      <c r="J85" s="839">
        <v>0</v>
      </c>
      <c r="K85" s="840">
        <v>0</v>
      </c>
      <c r="L85" s="840">
        <v>0</v>
      </c>
      <c r="M85" s="840">
        <v>0</v>
      </c>
      <c r="N85" s="840">
        <v>0</v>
      </c>
      <c r="O85" s="840">
        <v>0</v>
      </c>
      <c r="P85" s="840">
        <v>0</v>
      </c>
      <c r="Q85" s="840">
        <v>0</v>
      </c>
      <c r="R85" s="840">
        <v>0</v>
      </c>
      <c r="S85" s="841">
        <v>0</v>
      </c>
      <c r="T85" s="842">
        <v>0</v>
      </c>
      <c r="U85" s="840">
        <v>0</v>
      </c>
      <c r="V85" s="840">
        <v>0</v>
      </c>
      <c r="W85" s="840">
        <v>0</v>
      </c>
      <c r="X85" s="840">
        <v>0</v>
      </c>
      <c r="Y85" s="840">
        <v>0</v>
      </c>
      <c r="Z85" s="840">
        <v>0</v>
      </c>
      <c r="AA85" s="840">
        <v>0</v>
      </c>
      <c r="AB85" s="843">
        <v>0</v>
      </c>
    </row>
    <row r="86" spans="1:28" ht="17.399999999999999">
      <c r="A86" s="305" t="s">
        <v>4</v>
      </c>
      <c r="B86" s="309" t="s">
        <v>36</v>
      </c>
      <c r="C86" s="152">
        <v>4</v>
      </c>
      <c r="D86" s="153" t="s">
        <v>112</v>
      </c>
      <c r="E86" s="314" t="s">
        <v>38</v>
      </c>
      <c r="F86" s="315" t="s">
        <v>39</v>
      </c>
      <c r="G86" s="154" t="s">
        <v>40</v>
      </c>
      <c r="H86" s="155">
        <v>4</v>
      </c>
      <c r="I86" s="302">
        <v>46023</v>
      </c>
      <c r="J86" s="763"/>
      <c r="K86" s="764"/>
      <c r="L86" s="764"/>
      <c r="M86" s="764"/>
      <c r="N86" s="764"/>
      <c r="O86" s="764"/>
      <c r="P86" s="764"/>
      <c r="Q86" s="764"/>
      <c r="R86" s="764"/>
      <c r="S86" s="765"/>
      <c r="T86" s="766"/>
      <c r="U86" s="764"/>
      <c r="V86" s="764"/>
      <c r="W86" s="764"/>
      <c r="X86" s="764"/>
      <c r="Y86" s="764"/>
      <c r="Z86" s="764"/>
      <c r="AA86" s="764"/>
      <c r="AB86" s="767"/>
    </row>
    <row r="87" spans="1:28" ht="17.399999999999999">
      <c r="A87" s="306" t="s">
        <v>4</v>
      </c>
      <c r="B87" s="310" t="s">
        <v>46</v>
      </c>
      <c r="C87" s="120">
        <v>5</v>
      </c>
      <c r="D87" s="121" t="s">
        <v>47</v>
      </c>
      <c r="E87" s="148" t="s">
        <v>38</v>
      </c>
      <c r="F87" s="149" t="s">
        <v>48</v>
      </c>
      <c r="G87" s="129" t="s">
        <v>49</v>
      </c>
      <c r="H87" s="117">
        <v>0</v>
      </c>
      <c r="I87" s="302">
        <v>46023</v>
      </c>
      <c r="J87" s="834">
        <v>0</v>
      </c>
      <c r="K87" s="835">
        <v>0</v>
      </c>
      <c r="L87" s="835">
        <v>0</v>
      </c>
      <c r="M87" s="835">
        <v>0</v>
      </c>
      <c r="N87" s="835">
        <v>0</v>
      </c>
      <c r="O87" s="835">
        <v>0</v>
      </c>
      <c r="P87" s="835">
        <v>0</v>
      </c>
      <c r="Q87" s="835">
        <v>0</v>
      </c>
      <c r="R87" s="835">
        <v>0</v>
      </c>
      <c r="S87" s="836">
        <v>0</v>
      </c>
      <c r="T87" s="837">
        <v>0</v>
      </c>
      <c r="U87" s="835">
        <v>0</v>
      </c>
      <c r="V87" s="835">
        <v>0</v>
      </c>
      <c r="W87" s="835">
        <v>0</v>
      </c>
      <c r="X87" s="835">
        <v>0</v>
      </c>
      <c r="Y87" s="835">
        <v>0</v>
      </c>
      <c r="Z87" s="835">
        <v>0</v>
      </c>
      <c r="AA87" s="835">
        <v>0</v>
      </c>
      <c r="AB87" s="838">
        <v>0</v>
      </c>
    </row>
    <row r="88" spans="1:28" ht="17.399999999999999">
      <c r="A88" s="305" t="s">
        <v>4</v>
      </c>
      <c r="B88" s="309" t="s">
        <v>46</v>
      </c>
      <c r="C88" s="122">
        <v>6</v>
      </c>
      <c r="D88" s="123" t="s">
        <v>50</v>
      </c>
      <c r="E88" s="312" t="s">
        <v>38</v>
      </c>
      <c r="F88" s="313" t="s">
        <v>48</v>
      </c>
      <c r="G88" s="130" t="s">
        <v>49</v>
      </c>
      <c r="H88" s="112">
        <v>0</v>
      </c>
      <c r="I88" s="302">
        <v>46023</v>
      </c>
      <c r="J88" s="839">
        <v>0</v>
      </c>
      <c r="K88" s="840">
        <v>0</v>
      </c>
      <c r="L88" s="840">
        <v>0</v>
      </c>
      <c r="M88" s="840">
        <v>0</v>
      </c>
      <c r="N88" s="840">
        <v>0</v>
      </c>
      <c r="O88" s="840">
        <v>0</v>
      </c>
      <c r="P88" s="840">
        <v>0</v>
      </c>
      <c r="Q88" s="840">
        <v>0</v>
      </c>
      <c r="R88" s="840">
        <v>0</v>
      </c>
      <c r="S88" s="841">
        <v>0</v>
      </c>
      <c r="T88" s="842">
        <v>0</v>
      </c>
      <c r="U88" s="840">
        <v>0</v>
      </c>
      <c r="V88" s="840">
        <v>0</v>
      </c>
      <c r="W88" s="840">
        <v>0</v>
      </c>
      <c r="X88" s="840">
        <v>0</v>
      </c>
      <c r="Y88" s="840">
        <v>0</v>
      </c>
      <c r="Z88" s="840">
        <v>0</v>
      </c>
      <c r="AA88" s="840">
        <v>0</v>
      </c>
      <c r="AB88" s="843">
        <v>0</v>
      </c>
    </row>
    <row r="89" spans="1:28" ht="34.799999999999997">
      <c r="A89" s="305" t="s">
        <v>4</v>
      </c>
      <c r="B89" s="309" t="s">
        <v>46</v>
      </c>
      <c r="C89" s="122">
        <v>7</v>
      </c>
      <c r="D89" s="123" t="s">
        <v>51</v>
      </c>
      <c r="E89" s="312" t="s">
        <v>38</v>
      </c>
      <c r="F89" s="313" t="s">
        <v>48</v>
      </c>
      <c r="G89" s="130" t="s">
        <v>49</v>
      </c>
      <c r="H89" s="112">
        <v>0</v>
      </c>
      <c r="I89" s="302">
        <v>46023</v>
      </c>
      <c r="J89" s="839">
        <v>0</v>
      </c>
      <c r="K89" s="840">
        <v>0</v>
      </c>
      <c r="L89" s="840">
        <v>0</v>
      </c>
      <c r="M89" s="840">
        <v>0</v>
      </c>
      <c r="N89" s="840">
        <v>0</v>
      </c>
      <c r="O89" s="840">
        <v>0</v>
      </c>
      <c r="P89" s="840">
        <v>0</v>
      </c>
      <c r="Q89" s="840">
        <v>0</v>
      </c>
      <c r="R89" s="840">
        <v>0</v>
      </c>
      <c r="S89" s="841">
        <v>0</v>
      </c>
      <c r="T89" s="842">
        <v>0</v>
      </c>
      <c r="U89" s="840">
        <v>0</v>
      </c>
      <c r="V89" s="840">
        <v>0</v>
      </c>
      <c r="W89" s="840">
        <v>0</v>
      </c>
      <c r="X89" s="840">
        <v>0</v>
      </c>
      <c r="Y89" s="840">
        <v>0</v>
      </c>
      <c r="Z89" s="840">
        <v>0</v>
      </c>
      <c r="AA89" s="840">
        <v>0</v>
      </c>
      <c r="AB89" s="843">
        <v>0</v>
      </c>
    </row>
    <row r="90" spans="1:28" ht="17.399999999999999">
      <c r="A90" s="305" t="s">
        <v>4</v>
      </c>
      <c r="B90" s="309" t="s">
        <v>46</v>
      </c>
      <c r="C90" s="122">
        <v>8</v>
      </c>
      <c r="D90" s="123" t="s">
        <v>52</v>
      </c>
      <c r="E90" s="312" t="s">
        <v>38</v>
      </c>
      <c r="F90" s="313" t="s">
        <v>48</v>
      </c>
      <c r="G90" s="130" t="s">
        <v>49</v>
      </c>
      <c r="H90" s="112">
        <v>0</v>
      </c>
      <c r="I90" s="302">
        <v>46023</v>
      </c>
      <c r="J90" s="839">
        <v>0</v>
      </c>
      <c r="K90" s="840">
        <v>0</v>
      </c>
      <c r="L90" s="840">
        <v>0</v>
      </c>
      <c r="M90" s="840">
        <v>0</v>
      </c>
      <c r="N90" s="840">
        <v>0</v>
      </c>
      <c r="O90" s="840">
        <v>0</v>
      </c>
      <c r="P90" s="840">
        <v>0</v>
      </c>
      <c r="Q90" s="840">
        <v>0</v>
      </c>
      <c r="R90" s="840">
        <v>0</v>
      </c>
      <c r="S90" s="841">
        <v>0</v>
      </c>
      <c r="T90" s="842">
        <v>0</v>
      </c>
      <c r="U90" s="840">
        <v>0</v>
      </c>
      <c r="V90" s="840">
        <v>0</v>
      </c>
      <c r="W90" s="840">
        <v>0</v>
      </c>
      <c r="X90" s="2455">
        <v>1</v>
      </c>
      <c r="Y90" s="840">
        <v>0</v>
      </c>
      <c r="Z90" s="840">
        <v>0</v>
      </c>
      <c r="AA90" s="840">
        <v>0</v>
      </c>
      <c r="AB90" s="843">
        <v>0</v>
      </c>
    </row>
    <row r="91" spans="1:28" ht="24.75" customHeight="1">
      <c r="A91" s="307" t="s">
        <v>4</v>
      </c>
      <c r="B91" s="311" t="s">
        <v>46</v>
      </c>
      <c r="C91" s="132">
        <v>9</v>
      </c>
      <c r="D91" s="133" t="s">
        <v>53</v>
      </c>
      <c r="E91" s="316" t="s">
        <v>38</v>
      </c>
      <c r="F91" s="317" t="s">
        <v>48</v>
      </c>
      <c r="G91" s="134" t="s">
        <v>49</v>
      </c>
      <c r="H91" s="135">
        <v>1</v>
      </c>
      <c r="I91" s="303">
        <v>46023</v>
      </c>
      <c r="J91" s="844">
        <v>0</v>
      </c>
      <c r="K91" s="845">
        <v>0</v>
      </c>
      <c r="L91" s="845">
        <v>0</v>
      </c>
      <c r="M91" s="845">
        <v>0</v>
      </c>
      <c r="N91" s="845">
        <v>0</v>
      </c>
      <c r="O91" s="845">
        <v>0</v>
      </c>
      <c r="P91" s="845">
        <v>0</v>
      </c>
      <c r="Q91" s="845">
        <v>0</v>
      </c>
      <c r="R91" s="845">
        <v>0</v>
      </c>
      <c r="S91" s="846">
        <v>0</v>
      </c>
      <c r="T91" s="847">
        <v>0</v>
      </c>
      <c r="U91" s="845">
        <v>0</v>
      </c>
      <c r="V91" s="845">
        <v>0</v>
      </c>
      <c r="W91" s="845">
        <v>0</v>
      </c>
      <c r="X91" s="845">
        <v>0</v>
      </c>
      <c r="Y91" s="845">
        <v>0</v>
      </c>
      <c r="Z91" s="845">
        <v>0</v>
      </c>
      <c r="AA91" s="845">
        <v>0</v>
      </c>
      <c r="AB91" s="848">
        <v>0</v>
      </c>
    </row>
    <row r="92" spans="1:28" ht="17.399999999999999">
      <c r="A92" s="304" t="s">
        <v>4</v>
      </c>
      <c r="B92" s="308" t="s">
        <v>36</v>
      </c>
      <c r="C92" s="140">
        <v>1</v>
      </c>
      <c r="D92" s="141" t="s">
        <v>37</v>
      </c>
      <c r="E92" s="116" t="s">
        <v>38</v>
      </c>
      <c r="F92" s="128" t="s">
        <v>39</v>
      </c>
      <c r="G92" s="142" t="s">
        <v>40</v>
      </c>
      <c r="H92" s="143">
        <v>0</v>
      </c>
      <c r="I92" s="301">
        <v>46054</v>
      </c>
      <c r="J92" s="2414">
        <v>0</v>
      </c>
      <c r="K92" s="2415">
        <v>0</v>
      </c>
      <c r="L92" s="2415">
        <v>0</v>
      </c>
      <c r="M92" s="2415">
        <v>0</v>
      </c>
      <c r="N92" s="2415">
        <v>0</v>
      </c>
      <c r="O92" s="2415">
        <v>0</v>
      </c>
      <c r="P92" s="2415">
        <v>0</v>
      </c>
      <c r="Q92" s="2415">
        <v>0</v>
      </c>
      <c r="R92" s="2415">
        <v>0</v>
      </c>
      <c r="S92" s="2416">
        <v>0</v>
      </c>
      <c r="T92" s="2417">
        <v>0</v>
      </c>
      <c r="U92" s="2415">
        <v>0</v>
      </c>
      <c r="V92" s="2415">
        <v>0</v>
      </c>
      <c r="W92" s="2415">
        <v>0</v>
      </c>
      <c r="X92" s="2415">
        <v>0</v>
      </c>
      <c r="Y92" s="2415">
        <v>0</v>
      </c>
      <c r="Z92" s="2415">
        <v>0</v>
      </c>
      <c r="AA92" s="2415">
        <v>0</v>
      </c>
      <c r="AB92" s="2418">
        <v>0</v>
      </c>
    </row>
    <row r="93" spans="1:28" ht="17.399999999999999">
      <c r="A93" s="305" t="s">
        <v>4</v>
      </c>
      <c r="B93" s="309" t="s">
        <v>36</v>
      </c>
      <c r="C93" s="122">
        <v>2</v>
      </c>
      <c r="D93" s="123" t="s">
        <v>42</v>
      </c>
      <c r="E93" s="312" t="s">
        <v>38</v>
      </c>
      <c r="F93" s="313" t="s">
        <v>39</v>
      </c>
      <c r="G93" s="130" t="s">
        <v>43</v>
      </c>
      <c r="H93" s="112">
        <v>0</v>
      </c>
      <c r="I93" s="302">
        <v>46054</v>
      </c>
      <c r="J93" s="2399">
        <v>0</v>
      </c>
      <c r="K93" s="2400">
        <v>0</v>
      </c>
      <c r="L93" s="2400">
        <v>0</v>
      </c>
      <c r="M93" s="2400">
        <v>0</v>
      </c>
      <c r="N93" s="2400">
        <v>0</v>
      </c>
      <c r="O93" s="2400">
        <v>0</v>
      </c>
      <c r="P93" s="2400">
        <v>0</v>
      </c>
      <c r="Q93" s="2400">
        <v>0</v>
      </c>
      <c r="R93" s="2400">
        <v>0</v>
      </c>
      <c r="S93" s="2401">
        <v>0</v>
      </c>
      <c r="T93" s="2402">
        <v>0</v>
      </c>
      <c r="U93" s="2400">
        <v>0</v>
      </c>
      <c r="V93" s="2455">
        <v>1</v>
      </c>
      <c r="W93" s="2400">
        <v>0</v>
      </c>
      <c r="X93" s="2400">
        <v>0</v>
      </c>
      <c r="Y93" s="2400">
        <v>0</v>
      </c>
      <c r="Z93" s="2400">
        <v>0</v>
      </c>
      <c r="AA93" s="2400">
        <v>0</v>
      </c>
      <c r="AB93" s="2403">
        <v>0</v>
      </c>
    </row>
    <row r="94" spans="1:28" ht="17.399999999999999">
      <c r="A94" s="305" t="s">
        <v>4</v>
      </c>
      <c r="B94" s="309" t="s">
        <v>36</v>
      </c>
      <c r="C94" s="122">
        <v>3</v>
      </c>
      <c r="D94" s="123" t="s">
        <v>44</v>
      </c>
      <c r="E94" s="312" t="s">
        <v>38</v>
      </c>
      <c r="F94" s="313" t="s">
        <v>39</v>
      </c>
      <c r="G94" s="130" t="s">
        <v>40</v>
      </c>
      <c r="H94" s="112">
        <v>4</v>
      </c>
      <c r="I94" s="302">
        <v>46054</v>
      </c>
      <c r="J94" s="2399">
        <v>0</v>
      </c>
      <c r="K94" s="2400">
        <v>0</v>
      </c>
      <c r="L94" s="2400">
        <v>0</v>
      </c>
      <c r="M94" s="2400">
        <v>0</v>
      </c>
      <c r="N94" s="2400">
        <v>0</v>
      </c>
      <c r="O94" s="2400">
        <v>0</v>
      </c>
      <c r="P94" s="2400">
        <v>0</v>
      </c>
      <c r="Q94" s="2400">
        <v>0</v>
      </c>
      <c r="R94" s="2400">
        <v>0</v>
      </c>
      <c r="S94" s="2401">
        <v>0</v>
      </c>
      <c r="T94" s="2402">
        <v>0</v>
      </c>
      <c r="U94" s="2400">
        <v>0</v>
      </c>
      <c r="V94" s="2400">
        <v>0</v>
      </c>
      <c r="W94" s="2400">
        <v>0</v>
      </c>
      <c r="X94" s="2400">
        <v>0</v>
      </c>
      <c r="Y94" s="2400">
        <v>0</v>
      </c>
      <c r="Z94" s="2400">
        <v>0</v>
      </c>
      <c r="AA94" s="2400">
        <v>0</v>
      </c>
      <c r="AB94" s="2403">
        <v>0</v>
      </c>
    </row>
    <row r="95" spans="1:28" ht="17.399999999999999">
      <c r="A95" s="305" t="s">
        <v>4</v>
      </c>
      <c r="B95" s="309" t="s">
        <v>36</v>
      </c>
      <c r="C95" s="136">
        <v>4</v>
      </c>
      <c r="D95" s="137" t="s">
        <v>112</v>
      </c>
      <c r="E95" s="314" t="s">
        <v>38</v>
      </c>
      <c r="F95" s="315" t="s">
        <v>39</v>
      </c>
      <c r="G95" s="138" t="s">
        <v>40</v>
      </c>
      <c r="H95" s="139">
        <v>4</v>
      </c>
      <c r="I95" s="302">
        <v>46054</v>
      </c>
      <c r="J95" s="763"/>
      <c r="K95" s="764"/>
      <c r="L95" s="764"/>
      <c r="M95" s="764"/>
      <c r="N95" s="764"/>
      <c r="O95" s="764"/>
      <c r="P95" s="764"/>
      <c r="Q95" s="764"/>
      <c r="R95" s="764"/>
      <c r="S95" s="765"/>
      <c r="T95" s="766"/>
      <c r="U95" s="764"/>
      <c r="V95" s="764"/>
      <c r="W95" s="764"/>
      <c r="X95" s="764"/>
      <c r="Y95" s="764"/>
      <c r="Z95" s="764"/>
      <c r="AA95" s="764"/>
      <c r="AB95" s="767"/>
    </row>
    <row r="96" spans="1:28" ht="17.399999999999999">
      <c r="A96" s="306" t="s">
        <v>4</v>
      </c>
      <c r="B96" s="310" t="s">
        <v>46</v>
      </c>
      <c r="C96" s="146">
        <v>5</v>
      </c>
      <c r="D96" s="147" t="s">
        <v>47</v>
      </c>
      <c r="E96" s="148" t="s">
        <v>38</v>
      </c>
      <c r="F96" s="149" t="s">
        <v>48</v>
      </c>
      <c r="G96" s="150" t="s">
        <v>49</v>
      </c>
      <c r="H96" s="151">
        <v>0</v>
      </c>
      <c r="I96" s="302">
        <v>46054</v>
      </c>
      <c r="J96" s="2399">
        <v>0</v>
      </c>
      <c r="K96" s="2400">
        <v>0</v>
      </c>
      <c r="L96" s="2400">
        <v>0</v>
      </c>
      <c r="M96" s="2400">
        <v>0</v>
      </c>
      <c r="N96" s="2400">
        <v>0</v>
      </c>
      <c r="O96" s="2400">
        <v>0</v>
      </c>
      <c r="P96" s="2400">
        <v>0</v>
      </c>
      <c r="Q96" s="2400">
        <v>0</v>
      </c>
      <c r="R96" s="2400">
        <v>0</v>
      </c>
      <c r="S96" s="2401">
        <v>0</v>
      </c>
      <c r="T96" s="2402">
        <v>0</v>
      </c>
      <c r="U96" s="2400">
        <v>0</v>
      </c>
      <c r="V96" s="2400">
        <v>0</v>
      </c>
      <c r="W96" s="2400">
        <v>0</v>
      </c>
      <c r="X96" s="2400">
        <v>0</v>
      </c>
      <c r="Y96" s="2400">
        <v>0</v>
      </c>
      <c r="Z96" s="2400">
        <v>0</v>
      </c>
      <c r="AA96" s="2400">
        <v>0</v>
      </c>
      <c r="AB96" s="2403">
        <v>0</v>
      </c>
    </row>
    <row r="97" spans="1:28" ht="17.399999999999999">
      <c r="A97" s="305" t="s">
        <v>4</v>
      </c>
      <c r="B97" s="309" t="s">
        <v>46</v>
      </c>
      <c r="C97" s="122">
        <v>6</v>
      </c>
      <c r="D97" s="123" t="s">
        <v>50</v>
      </c>
      <c r="E97" s="312" t="s">
        <v>38</v>
      </c>
      <c r="F97" s="313" t="s">
        <v>48</v>
      </c>
      <c r="G97" s="130" t="s">
        <v>49</v>
      </c>
      <c r="H97" s="112">
        <v>0</v>
      </c>
      <c r="I97" s="302">
        <v>46054</v>
      </c>
      <c r="J97" s="2399">
        <v>0</v>
      </c>
      <c r="K97" s="2400">
        <v>0</v>
      </c>
      <c r="L97" s="2400">
        <v>0</v>
      </c>
      <c r="M97" s="2400">
        <v>0</v>
      </c>
      <c r="N97" s="2400">
        <v>0</v>
      </c>
      <c r="O97" s="2400">
        <v>0</v>
      </c>
      <c r="P97" s="2400">
        <v>0</v>
      </c>
      <c r="Q97" s="2400">
        <v>0</v>
      </c>
      <c r="R97" s="2400">
        <v>0</v>
      </c>
      <c r="S97" s="2401">
        <v>0</v>
      </c>
      <c r="T97" s="2402">
        <v>0</v>
      </c>
      <c r="U97" s="2400">
        <v>0</v>
      </c>
      <c r="V97" s="2400">
        <v>0</v>
      </c>
      <c r="W97" s="2400">
        <v>0</v>
      </c>
      <c r="X97" s="2400">
        <v>0</v>
      </c>
      <c r="Y97" s="2400">
        <v>0</v>
      </c>
      <c r="Z97" s="2400">
        <v>0</v>
      </c>
      <c r="AA97" s="2400">
        <v>0</v>
      </c>
      <c r="AB97" s="2403">
        <v>0</v>
      </c>
    </row>
    <row r="98" spans="1:28" ht="34.799999999999997">
      <c r="A98" s="305" t="s">
        <v>4</v>
      </c>
      <c r="B98" s="309" t="s">
        <v>46</v>
      </c>
      <c r="C98" s="122">
        <v>7</v>
      </c>
      <c r="D98" s="123" t="s">
        <v>51</v>
      </c>
      <c r="E98" s="312" t="s">
        <v>38</v>
      </c>
      <c r="F98" s="313" t="s">
        <v>48</v>
      </c>
      <c r="G98" s="130" t="s">
        <v>49</v>
      </c>
      <c r="H98" s="112">
        <v>0</v>
      </c>
      <c r="I98" s="302">
        <v>46054</v>
      </c>
      <c r="J98" s="2399">
        <v>0</v>
      </c>
      <c r="K98" s="2400">
        <v>0</v>
      </c>
      <c r="L98" s="2400">
        <v>0</v>
      </c>
      <c r="M98" s="2400">
        <v>0</v>
      </c>
      <c r="N98" s="2400">
        <v>0</v>
      </c>
      <c r="O98" s="2400">
        <v>0</v>
      </c>
      <c r="P98" s="2400">
        <v>0</v>
      </c>
      <c r="Q98" s="2400">
        <v>0</v>
      </c>
      <c r="R98" s="2400">
        <v>0</v>
      </c>
      <c r="S98" s="2401">
        <v>0</v>
      </c>
      <c r="T98" s="2402">
        <v>0</v>
      </c>
      <c r="U98" s="2400">
        <v>0</v>
      </c>
      <c r="V98" s="2400">
        <v>0</v>
      </c>
      <c r="W98" s="2400">
        <v>0</v>
      </c>
      <c r="X98" s="2400">
        <v>0</v>
      </c>
      <c r="Y98" s="2400">
        <v>0</v>
      </c>
      <c r="Z98" s="2400">
        <v>0</v>
      </c>
      <c r="AA98" s="2400">
        <v>0</v>
      </c>
      <c r="AB98" s="2403">
        <v>0</v>
      </c>
    </row>
    <row r="99" spans="1:28" ht="17.399999999999999">
      <c r="A99" s="305" t="s">
        <v>4</v>
      </c>
      <c r="B99" s="309" t="s">
        <v>46</v>
      </c>
      <c r="C99" s="122">
        <v>8</v>
      </c>
      <c r="D99" s="123" t="s">
        <v>52</v>
      </c>
      <c r="E99" s="312" t="s">
        <v>38</v>
      </c>
      <c r="F99" s="313" t="s">
        <v>48</v>
      </c>
      <c r="G99" s="130" t="s">
        <v>49</v>
      </c>
      <c r="H99" s="112">
        <v>0</v>
      </c>
      <c r="I99" s="302">
        <v>46054</v>
      </c>
      <c r="J99" s="2404">
        <v>0</v>
      </c>
      <c r="K99" s="2405">
        <v>0</v>
      </c>
      <c r="L99" s="2405">
        <v>0</v>
      </c>
      <c r="M99" s="2405">
        <v>0</v>
      </c>
      <c r="N99" s="2405">
        <v>0</v>
      </c>
      <c r="O99" s="2405">
        <v>0</v>
      </c>
      <c r="P99" s="2405">
        <v>0</v>
      </c>
      <c r="Q99" s="2405">
        <v>0</v>
      </c>
      <c r="R99" s="2405">
        <v>0</v>
      </c>
      <c r="S99" s="2406">
        <v>0</v>
      </c>
      <c r="T99" s="2407">
        <v>0</v>
      </c>
      <c r="U99" s="2405">
        <v>0</v>
      </c>
      <c r="V99" s="2405">
        <v>0</v>
      </c>
      <c r="W99" s="2405">
        <v>0</v>
      </c>
      <c r="X99" s="2405">
        <v>0</v>
      </c>
      <c r="Y99" s="2405">
        <v>0</v>
      </c>
      <c r="Z99" s="2405">
        <v>0</v>
      </c>
      <c r="AA99" s="2405">
        <v>0</v>
      </c>
      <c r="AB99" s="2408">
        <v>0</v>
      </c>
    </row>
    <row r="100" spans="1:28" ht="17.399999999999999">
      <c r="A100" s="307" t="s">
        <v>4</v>
      </c>
      <c r="B100" s="311" t="s">
        <v>46</v>
      </c>
      <c r="C100" s="132">
        <v>9</v>
      </c>
      <c r="D100" s="133" t="s">
        <v>53</v>
      </c>
      <c r="E100" s="316" t="s">
        <v>38</v>
      </c>
      <c r="F100" s="317" t="s">
        <v>48</v>
      </c>
      <c r="G100" s="134" t="s">
        <v>49</v>
      </c>
      <c r="H100" s="135">
        <v>0</v>
      </c>
      <c r="I100" s="303">
        <v>46054</v>
      </c>
      <c r="J100" s="2409">
        <v>0</v>
      </c>
      <c r="K100" s="2410">
        <v>0</v>
      </c>
      <c r="L100" s="2410">
        <v>0</v>
      </c>
      <c r="M100" s="2410">
        <v>0</v>
      </c>
      <c r="N100" s="2410">
        <v>0</v>
      </c>
      <c r="O100" s="2410">
        <v>0</v>
      </c>
      <c r="P100" s="2410">
        <v>0</v>
      </c>
      <c r="Q100" s="2410">
        <v>0</v>
      </c>
      <c r="R100" s="2410">
        <v>0</v>
      </c>
      <c r="S100" s="2411">
        <v>0</v>
      </c>
      <c r="T100" s="2412">
        <v>0</v>
      </c>
      <c r="U100" s="2410">
        <v>0</v>
      </c>
      <c r="V100" s="2410">
        <v>0</v>
      </c>
      <c r="W100" s="2410">
        <v>0</v>
      </c>
      <c r="X100" s="2410">
        <v>0</v>
      </c>
      <c r="Y100" s="2410">
        <v>0</v>
      </c>
      <c r="Z100" s="2410">
        <v>0</v>
      </c>
      <c r="AA100" s="2410">
        <v>0</v>
      </c>
      <c r="AB100" s="2413">
        <v>0</v>
      </c>
    </row>
    <row r="101" spans="1:28" ht="17.399999999999999">
      <c r="A101" s="304" t="s">
        <v>4</v>
      </c>
      <c r="B101" s="308" t="s">
        <v>36</v>
      </c>
      <c r="C101" s="120">
        <v>1</v>
      </c>
      <c r="D101" s="121" t="s">
        <v>37</v>
      </c>
      <c r="E101" s="116" t="s">
        <v>38</v>
      </c>
      <c r="F101" s="128" t="s">
        <v>39</v>
      </c>
      <c r="G101" s="129" t="s">
        <v>40</v>
      </c>
      <c r="H101" s="117">
        <v>0</v>
      </c>
      <c r="I101" s="301">
        <v>46082</v>
      </c>
      <c r="J101" s="753"/>
      <c r="K101" s="754"/>
      <c r="L101" s="754"/>
      <c r="M101" s="754"/>
      <c r="N101" s="754"/>
      <c r="O101" s="754"/>
      <c r="P101" s="754"/>
      <c r="Q101" s="754"/>
      <c r="R101" s="754"/>
      <c r="S101" s="755"/>
      <c r="T101" s="756"/>
      <c r="U101" s="754"/>
      <c r="V101" s="754"/>
      <c r="W101" s="754"/>
      <c r="X101" s="754"/>
      <c r="Y101" s="754"/>
      <c r="Z101" s="754"/>
      <c r="AA101" s="754"/>
      <c r="AB101" s="757"/>
    </row>
    <row r="102" spans="1:28" ht="17.399999999999999">
      <c r="A102" s="305" t="s">
        <v>4</v>
      </c>
      <c r="B102" s="309" t="s">
        <v>36</v>
      </c>
      <c r="C102" s="122">
        <v>2</v>
      </c>
      <c r="D102" s="123" t="s">
        <v>42</v>
      </c>
      <c r="E102" s="312" t="s">
        <v>38</v>
      </c>
      <c r="F102" s="313" t="s">
        <v>39</v>
      </c>
      <c r="G102" s="130" t="s">
        <v>43</v>
      </c>
      <c r="H102" s="112">
        <v>0</v>
      </c>
      <c r="I102" s="302">
        <v>46082</v>
      </c>
      <c r="J102" s="758"/>
      <c r="K102" s="759"/>
      <c r="L102" s="759"/>
      <c r="M102" s="759"/>
      <c r="N102" s="759"/>
      <c r="O102" s="759"/>
      <c r="P102" s="759"/>
      <c r="Q102" s="759"/>
      <c r="R102" s="759"/>
      <c r="S102" s="760"/>
      <c r="T102" s="761"/>
      <c r="U102" s="759"/>
      <c r="V102" s="759"/>
      <c r="W102" s="759"/>
      <c r="X102" s="759"/>
      <c r="Y102" s="759"/>
      <c r="Z102" s="759"/>
      <c r="AA102" s="759"/>
      <c r="AB102" s="762"/>
    </row>
    <row r="103" spans="1:28" ht="17.399999999999999">
      <c r="A103" s="305" t="s">
        <v>4</v>
      </c>
      <c r="B103" s="309" t="s">
        <v>36</v>
      </c>
      <c r="C103" s="122">
        <v>3</v>
      </c>
      <c r="D103" s="123" t="s">
        <v>44</v>
      </c>
      <c r="E103" s="312" t="s">
        <v>38</v>
      </c>
      <c r="F103" s="313" t="s">
        <v>39</v>
      </c>
      <c r="G103" s="130" t="s">
        <v>40</v>
      </c>
      <c r="H103" s="112">
        <v>4</v>
      </c>
      <c r="I103" s="302">
        <v>46082</v>
      </c>
      <c r="J103" s="758"/>
      <c r="K103" s="759"/>
      <c r="L103" s="759"/>
      <c r="M103" s="759"/>
      <c r="N103" s="759"/>
      <c r="O103" s="759"/>
      <c r="P103" s="759"/>
      <c r="Q103" s="759"/>
      <c r="R103" s="759"/>
      <c r="S103" s="760"/>
      <c r="T103" s="761"/>
      <c r="U103" s="759"/>
      <c r="V103" s="759"/>
      <c r="W103" s="759"/>
      <c r="X103" s="759"/>
      <c r="Y103" s="759"/>
      <c r="Z103" s="759"/>
      <c r="AA103" s="759"/>
      <c r="AB103" s="762"/>
    </row>
    <row r="104" spans="1:28" ht="17.399999999999999">
      <c r="A104" s="305" t="s">
        <v>4</v>
      </c>
      <c r="B104" s="309" t="s">
        <v>36</v>
      </c>
      <c r="C104" s="152">
        <v>4</v>
      </c>
      <c r="D104" s="153" t="s">
        <v>112</v>
      </c>
      <c r="E104" s="314" t="s">
        <v>38</v>
      </c>
      <c r="F104" s="315" t="s">
        <v>39</v>
      </c>
      <c r="G104" s="154" t="s">
        <v>40</v>
      </c>
      <c r="H104" s="155">
        <v>4</v>
      </c>
      <c r="I104" s="302">
        <v>46082</v>
      </c>
      <c r="J104" s="763"/>
      <c r="K104" s="764"/>
      <c r="L104" s="764"/>
      <c r="M104" s="764"/>
      <c r="N104" s="764"/>
      <c r="O104" s="764"/>
      <c r="P104" s="764"/>
      <c r="Q104" s="764"/>
      <c r="R104" s="764"/>
      <c r="S104" s="765"/>
      <c r="T104" s="766"/>
      <c r="U104" s="764"/>
      <c r="V104" s="764"/>
      <c r="W104" s="764"/>
      <c r="X104" s="764"/>
      <c r="Y104" s="764"/>
      <c r="Z104" s="764"/>
      <c r="AA104" s="764"/>
      <c r="AB104" s="767"/>
    </row>
    <row r="105" spans="1:28" ht="17.399999999999999">
      <c r="A105" s="306" t="s">
        <v>4</v>
      </c>
      <c r="B105" s="310" t="s">
        <v>46</v>
      </c>
      <c r="C105" s="120">
        <v>5</v>
      </c>
      <c r="D105" s="121" t="s">
        <v>47</v>
      </c>
      <c r="E105" s="148" t="s">
        <v>38</v>
      </c>
      <c r="F105" s="149" t="s">
        <v>48</v>
      </c>
      <c r="G105" s="129" t="s">
        <v>49</v>
      </c>
      <c r="H105" s="117">
        <v>0</v>
      </c>
      <c r="I105" s="302">
        <v>46082</v>
      </c>
      <c r="J105" s="753"/>
      <c r="K105" s="754"/>
      <c r="L105" s="754"/>
      <c r="M105" s="754"/>
      <c r="N105" s="754"/>
      <c r="O105" s="754"/>
      <c r="P105" s="754"/>
      <c r="Q105" s="754"/>
      <c r="R105" s="754"/>
      <c r="S105" s="755"/>
      <c r="T105" s="756"/>
      <c r="U105" s="754"/>
      <c r="V105" s="754"/>
      <c r="W105" s="754"/>
      <c r="X105" s="754"/>
      <c r="Y105" s="754"/>
      <c r="Z105" s="754"/>
      <c r="AA105" s="754"/>
      <c r="AB105" s="757"/>
    </row>
    <row r="106" spans="1:28" ht="17.399999999999999">
      <c r="A106" s="305" t="s">
        <v>4</v>
      </c>
      <c r="B106" s="309" t="s">
        <v>46</v>
      </c>
      <c r="C106" s="122">
        <v>6</v>
      </c>
      <c r="D106" s="123" t="s">
        <v>50</v>
      </c>
      <c r="E106" s="312" t="s">
        <v>38</v>
      </c>
      <c r="F106" s="313" t="s">
        <v>48</v>
      </c>
      <c r="G106" s="130" t="s">
        <v>49</v>
      </c>
      <c r="H106" s="112">
        <v>0</v>
      </c>
      <c r="I106" s="302">
        <v>46082</v>
      </c>
      <c r="J106" s="758"/>
      <c r="K106" s="759"/>
      <c r="L106" s="759"/>
      <c r="M106" s="759"/>
      <c r="N106" s="759"/>
      <c r="O106" s="759"/>
      <c r="P106" s="759"/>
      <c r="Q106" s="759"/>
      <c r="R106" s="759"/>
      <c r="S106" s="760"/>
      <c r="T106" s="761"/>
      <c r="U106" s="759"/>
      <c r="V106" s="759"/>
      <c r="W106" s="759"/>
      <c r="X106" s="759"/>
      <c r="Y106" s="759"/>
      <c r="Z106" s="759"/>
      <c r="AA106" s="759"/>
      <c r="AB106" s="762"/>
    </row>
    <row r="107" spans="1:28" ht="34.799999999999997">
      <c r="A107" s="305" t="s">
        <v>4</v>
      </c>
      <c r="B107" s="309" t="s">
        <v>46</v>
      </c>
      <c r="C107" s="122">
        <v>7</v>
      </c>
      <c r="D107" s="123" t="s">
        <v>51</v>
      </c>
      <c r="E107" s="312" t="s">
        <v>38</v>
      </c>
      <c r="F107" s="313" t="s">
        <v>48</v>
      </c>
      <c r="G107" s="130" t="s">
        <v>49</v>
      </c>
      <c r="H107" s="112">
        <v>0</v>
      </c>
      <c r="I107" s="302">
        <v>46082</v>
      </c>
      <c r="J107" s="758"/>
      <c r="K107" s="759"/>
      <c r="L107" s="759"/>
      <c r="M107" s="759"/>
      <c r="N107" s="759"/>
      <c r="O107" s="759"/>
      <c r="P107" s="759"/>
      <c r="Q107" s="759"/>
      <c r="R107" s="759"/>
      <c r="S107" s="760"/>
      <c r="T107" s="761"/>
      <c r="U107" s="759"/>
      <c r="V107" s="759"/>
      <c r="W107" s="759"/>
      <c r="X107" s="759"/>
      <c r="Y107" s="759"/>
      <c r="Z107" s="759"/>
      <c r="AA107" s="759"/>
      <c r="AB107" s="762"/>
    </row>
    <row r="108" spans="1:28" ht="17.399999999999999">
      <c r="A108" s="305" t="s">
        <v>4</v>
      </c>
      <c r="B108" s="309" t="s">
        <v>46</v>
      </c>
      <c r="C108" s="122">
        <v>8</v>
      </c>
      <c r="D108" s="123" t="s">
        <v>52</v>
      </c>
      <c r="E108" s="312" t="s">
        <v>38</v>
      </c>
      <c r="F108" s="313" t="s">
        <v>48</v>
      </c>
      <c r="G108" s="130" t="s">
        <v>49</v>
      </c>
      <c r="H108" s="112">
        <v>0</v>
      </c>
      <c r="I108" s="302">
        <v>46082</v>
      </c>
      <c r="J108" s="758"/>
      <c r="K108" s="759"/>
      <c r="L108" s="759"/>
      <c r="M108" s="759"/>
      <c r="N108" s="759"/>
      <c r="O108" s="759"/>
      <c r="P108" s="759"/>
      <c r="Q108" s="759"/>
      <c r="R108" s="759"/>
      <c r="S108" s="760"/>
      <c r="T108" s="761"/>
      <c r="U108" s="759"/>
      <c r="V108" s="759"/>
      <c r="W108" s="759"/>
      <c r="X108" s="759"/>
      <c r="Y108" s="759"/>
      <c r="Z108" s="759"/>
      <c r="AA108" s="759"/>
      <c r="AB108" s="762"/>
    </row>
    <row r="109" spans="1:28" ht="17.399999999999999">
      <c r="A109" s="307" t="s">
        <v>4</v>
      </c>
      <c r="B109" s="311" t="s">
        <v>46</v>
      </c>
      <c r="C109" s="124">
        <v>9</v>
      </c>
      <c r="D109" s="125" t="s">
        <v>53</v>
      </c>
      <c r="E109" s="316" t="s">
        <v>38</v>
      </c>
      <c r="F109" s="317" t="s">
        <v>48</v>
      </c>
      <c r="G109" s="131" t="s">
        <v>49</v>
      </c>
      <c r="H109" s="114">
        <v>0</v>
      </c>
      <c r="I109" s="303">
        <v>46082</v>
      </c>
      <c r="J109" s="855"/>
      <c r="K109" s="856"/>
      <c r="L109" s="856"/>
      <c r="M109" s="856"/>
      <c r="N109" s="856"/>
      <c r="O109" s="856"/>
      <c r="P109" s="856"/>
      <c r="Q109" s="856"/>
      <c r="R109" s="856"/>
      <c r="S109" s="857"/>
      <c r="T109" s="858"/>
      <c r="U109" s="856"/>
      <c r="V109" s="856"/>
      <c r="W109" s="856"/>
      <c r="X109" s="856"/>
      <c r="Y109" s="856"/>
      <c r="Z109" s="856"/>
      <c r="AA109" s="856"/>
      <c r="AB109" s="859"/>
    </row>
    <row r="110" spans="1:28" ht="34.35" customHeight="1">
      <c r="J110" s="860">
        <f t="shared" ref="J110:AB110" si="0">SUM(J1:J109)</f>
        <v>1</v>
      </c>
      <c r="K110" s="860">
        <f t="shared" si="0"/>
        <v>0</v>
      </c>
      <c r="L110" s="860">
        <f t="shared" si="0"/>
        <v>1</v>
      </c>
      <c r="M110" s="860">
        <f t="shared" si="0"/>
        <v>0</v>
      </c>
      <c r="N110" s="860">
        <f t="shared" si="0"/>
        <v>3</v>
      </c>
      <c r="O110" s="860">
        <f t="shared" si="0"/>
        <v>0</v>
      </c>
      <c r="P110" s="860">
        <f t="shared" si="0"/>
        <v>3</v>
      </c>
      <c r="Q110" s="860">
        <f t="shared" si="0"/>
        <v>0</v>
      </c>
      <c r="R110" s="860">
        <f t="shared" si="0"/>
        <v>1</v>
      </c>
      <c r="S110" s="860">
        <f t="shared" si="0"/>
        <v>1</v>
      </c>
      <c r="T110" s="860">
        <f t="shared" si="0"/>
        <v>1</v>
      </c>
      <c r="U110" s="860">
        <f t="shared" si="0"/>
        <v>2</v>
      </c>
      <c r="V110" s="860">
        <f t="shared" si="0"/>
        <v>4</v>
      </c>
      <c r="W110" s="860">
        <f t="shared" si="0"/>
        <v>0</v>
      </c>
      <c r="X110" s="860">
        <f t="shared" si="0"/>
        <v>2</v>
      </c>
      <c r="Y110" s="860">
        <f t="shared" si="0"/>
        <v>0</v>
      </c>
      <c r="Z110" s="860">
        <f t="shared" si="0"/>
        <v>0</v>
      </c>
      <c r="AA110" s="860">
        <f t="shared" si="0"/>
        <v>0</v>
      </c>
      <c r="AB110" s="860">
        <f t="shared" si="0"/>
        <v>0</v>
      </c>
    </row>
  </sheetData>
  <sheetProtection algorithmName="SHA-512" hashValue="QgWEyKwWXFZbzoMi2GJ4PWokTrP1/PyJ/PIfrc8TM9D/7yaxXacGIZyZFwBphX3eYXONkAgTECV7If6fMI0y7g==" saltValue="ovPGgwPf5uyCAe/44zKuLA==" spinCount="100000" sheet="1" formatCells="0" formatColumns="0" formatRows="0" sort="0" autoFilter="0" pivotTables="0"/>
  <autoFilter ref="A1:AC110" xr:uid="{F22031DC-498B-47EA-8C8E-65E6E450D62F}">
    <filterColumn colId="8">
      <filters>
        <dateGroupItem year="2025" month="8" dateTimeGrouping="month"/>
      </filters>
    </filterColumn>
  </autoFilter>
  <conditionalFormatting sqref="A5:I5 A14:B14 I14 A23:B23 I23 A32:B32 I32 A41:B41 I41 A50:B50 I50 A59:B59 I59 A68:B68 I68 A77:B77 I77 A86:B86 I86 A95:B95 I95 A104:B104 I104">
    <cfRule type="expression" dxfId="58" priority="10">
      <formula>"Month(I5)=Month(Today()-29)"</formula>
    </cfRule>
  </conditionalFormatting>
  <conditionalFormatting sqref="A2:AB2 A11:B11 I11 A20:B20 I20 A29:B29 I29 A38:B38 I38 A47:B47 I47 A56:B56 I56 A65:B65 I65 A74:B74 I74 A83:B83 I83 A92:B92 I92 A101:B101 I101">
    <cfRule type="expression" dxfId="57" priority="9">
      <formula>"month(I2)=Month(Today()-29)"</formula>
    </cfRule>
  </conditionalFormatting>
  <conditionalFormatting sqref="E11:F11 E20:F20 E29:F29 E38:F38 E47:F47 E56:F56 E65:F65 E74:F74 E83:F83 E92:F92 E101:F101">
    <cfRule type="expression" dxfId="56" priority="7">
      <formula>"month(I2)=Month(Today()-29)"</formula>
    </cfRule>
  </conditionalFormatting>
  <conditionalFormatting sqref="E14:F14 E23:F23 E32:F32 E41:F41 E50:F50 E59:F59 E68:F68 E77:F77 E86:F86 E95:F95 E104:F104">
    <cfRule type="expression" dxfId="55" priority="8">
      <formula>"Month(I5)=Month(Today()-29)"</formula>
    </cfRule>
  </conditionalFormatting>
  <conditionalFormatting sqref="J6">
    <cfRule type="expression" dxfId="54" priority="11">
      <formula>$J$6&gt;0</formula>
    </cfRule>
  </conditionalFormatting>
  <conditionalFormatting sqref="J15">
    <cfRule type="expression" dxfId="53" priority="3">
      <formula>$J$6&gt;0</formula>
    </cfRule>
  </conditionalFormatting>
  <conditionalFormatting sqref="J24">
    <cfRule type="expression" dxfId="52" priority="6">
      <formula>$J$6&gt;0</formula>
    </cfRule>
  </conditionalFormatting>
  <conditionalFormatting sqref="J33">
    <cfRule type="expression" dxfId="51" priority="2">
      <formula>$J$6&gt;0</formula>
    </cfRule>
  </conditionalFormatting>
  <conditionalFormatting sqref="J42">
    <cfRule type="expression" dxfId="50" priority="5">
      <formula>$J$6&gt;0</formula>
    </cfRule>
  </conditionalFormatting>
  <conditionalFormatting sqref="J51">
    <cfRule type="expression" dxfId="49" priority="4">
      <formula>$J$6&gt;0</formula>
    </cfRule>
  </conditionalFormatting>
  <conditionalFormatting sqref="J60">
    <cfRule type="expression" dxfId="48" priority="1">
      <formula>$J$6&gt;0</formula>
    </cfRule>
  </conditionalFormatting>
  <pageMargins left="0.7" right="0.7" top="0.75" bottom="0.75" header="0.3" footer="0.3"/>
  <headerFooter>
    <oddHeader>&amp;C&amp;"Calibri"&amp;10&amp;KFF0000 CONFIDENTIAL&amp;1#_x000D_</oddHead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4EBE8-A0EC-4544-87CD-BD65593A7F57}">
  <sheetPr codeName="Sheet4"/>
  <dimension ref="A1:U124"/>
  <sheetViews>
    <sheetView showGridLines="0" zoomScale="70" zoomScaleNormal="70" workbookViewId="0">
      <pane xSplit="1" ySplit="1" topLeftCell="C107" activePane="bottomRight" state="frozen"/>
      <selection pane="topRight" activeCell="D69" sqref="D69"/>
      <selection pane="bottomLeft" activeCell="D69" sqref="D69"/>
      <selection pane="bottomRight" activeCell="O109" sqref="O109"/>
    </sheetView>
  </sheetViews>
  <sheetFormatPr defaultColWidth="8.109375" defaultRowHeight="34.35" customHeight="1"/>
  <cols>
    <col min="1" max="1" width="8" style="108" customWidth="1"/>
    <col min="2" max="2" width="11.6640625" style="108" customWidth="1"/>
    <col min="3" max="3" width="5.6640625" style="108" customWidth="1"/>
    <col min="4" max="4" width="16.33203125" style="108" customWidth="1"/>
    <col min="5" max="5" width="7" style="109" customWidth="1"/>
    <col min="6" max="6" width="8.109375" style="108" customWidth="1"/>
    <col min="7" max="7" width="13.6640625" style="108" bestFit="1" customWidth="1"/>
    <col min="8" max="8" width="8.6640625" style="109" customWidth="1"/>
    <col min="9" max="9" width="8.33203125" style="109" customWidth="1"/>
    <col min="10" max="11" width="11.109375" style="1100" customWidth="1"/>
    <col min="12" max="13" width="12.109375" style="1100" customWidth="1"/>
    <col min="14" max="14" width="11.33203125" style="1100" customWidth="1"/>
    <col min="15" max="15" width="84.88671875" style="746" customWidth="1"/>
    <col min="16" max="16" width="92.6640625" style="746" customWidth="1"/>
    <col min="17" max="17" width="28.6640625" style="746" customWidth="1"/>
    <col min="18" max="18" width="32.6640625" style="746" customWidth="1"/>
    <col min="19" max="21" width="8.109375" style="746"/>
    <col min="22" max="16384" width="8.109375" style="103"/>
  </cols>
  <sheetData>
    <row r="1" spans="1:21" s="107" customFormat="1" ht="49.35" customHeight="1">
      <c r="A1" s="177" t="s">
        <v>1</v>
      </c>
      <c r="B1" s="178" t="s">
        <v>19</v>
      </c>
      <c r="C1" s="178" t="s">
        <v>20</v>
      </c>
      <c r="D1" s="178" t="s">
        <v>21</v>
      </c>
      <c r="E1" s="168" t="s">
        <v>22</v>
      </c>
      <c r="F1" s="861" t="s">
        <v>23</v>
      </c>
      <c r="G1" s="168" t="s">
        <v>24</v>
      </c>
      <c r="H1" s="351" t="s">
        <v>25</v>
      </c>
      <c r="I1" s="111" t="s">
        <v>26</v>
      </c>
      <c r="J1" s="1112" t="s">
        <v>27</v>
      </c>
      <c r="K1" s="1113" t="s">
        <v>28</v>
      </c>
      <c r="L1" s="648" t="s">
        <v>29</v>
      </c>
      <c r="M1" s="647" t="s">
        <v>30</v>
      </c>
      <c r="N1" s="1114" t="s">
        <v>31</v>
      </c>
      <c r="O1" s="1115" t="s">
        <v>32</v>
      </c>
      <c r="P1" s="1116" t="s">
        <v>33</v>
      </c>
      <c r="Q1" s="1117" t="s">
        <v>34</v>
      </c>
      <c r="R1" s="652" t="s">
        <v>35</v>
      </c>
      <c r="S1" s="1383"/>
      <c r="T1" s="1383"/>
      <c r="U1" s="1383"/>
    </row>
    <row r="2" spans="1:21" ht="17.399999999999999">
      <c r="A2" s="206" t="s">
        <v>6</v>
      </c>
      <c r="B2" s="209" t="s">
        <v>113</v>
      </c>
      <c r="C2" s="185">
        <v>1</v>
      </c>
      <c r="D2" s="186" t="s">
        <v>114</v>
      </c>
      <c r="E2" s="187" t="s">
        <v>38</v>
      </c>
      <c r="F2" s="188" t="s">
        <v>115</v>
      </c>
      <c r="G2" s="187" t="s">
        <v>116</v>
      </c>
      <c r="H2" s="341">
        <v>0</v>
      </c>
      <c r="I2" s="259">
        <v>45748</v>
      </c>
      <c r="J2" s="1308">
        <v>0</v>
      </c>
      <c r="K2" s="1270">
        <v>0</v>
      </c>
      <c r="L2" s="1309">
        <v>0</v>
      </c>
      <c r="M2" s="1310">
        <v>0</v>
      </c>
      <c r="N2" s="1311"/>
      <c r="O2" s="1312" t="s">
        <v>41</v>
      </c>
      <c r="P2" s="1313" t="s">
        <v>41</v>
      </c>
      <c r="Q2" s="1314" t="s">
        <v>41</v>
      </c>
      <c r="R2" s="1313" t="s">
        <v>41</v>
      </c>
    </row>
    <row r="3" spans="1:21" ht="17.399999999999999">
      <c r="A3" s="207" t="s">
        <v>6</v>
      </c>
      <c r="B3" s="210" t="s">
        <v>113</v>
      </c>
      <c r="C3" s="180">
        <v>2</v>
      </c>
      <c r="D3" s="189" t="s">
        <v>117</v>
      </c>
      <c r="E3" s="182" t="s">
        <v>38</v>
      </c>
      <c r="F3" s="183" t="s">
        <v>115</v>
      </c>
      <c r="G3" s="182" t="s">
        <v>116</v>
      </c>
      <c r="H3" s="342">
        <v>0</v>
      </c>
      <c r="I3" s="260">
        <v>45748</v>
      </c>
      <c r="J3" s="1315">
        <v>0</v>
      </c>
      <c r="K3" s="1119">
        <v>0</v>
      </c>
      <c r="L3" s="1316">
        <v>0</v>
      </c>
      <c r="M3" s="1121">
        <f>K3</f>
        <v>0</v>
      </c>
      <c r="N3" s="1141"/>
      <c r="O3" s="1317" t="s">
        <v>41</v>
      </c>
      <c r="P3" s="762" t="s">
        <v>41</v>
      </c>
      <c r="Q3" s="758" t="s">
        <v>41</v>
      </c>
      <c r="R3" s="762" t="s">
        <v>41</v>
      </c>
    </row>
    <row r="4" spans="1:21" ht="34.799999999999997">
      <c r="A4" s="207" t="s">
        <v>6</v>
      </c>
      <c r="B4" s="210" t="s">
        <v>113</v>
      </c>
      <c r="C4" s="180">
        <v>3</v>
      </c>
      <c r="D4" s="181" t="s">
        <v>118</v>
      </c>
      <c r="E4" s="182" t="s">
        <v>38</v>
      </c>
      <c r="F4" s="183" t="s">
        <v>115</v>
      </c>
      <c r="G4" s="182" t="s">
        <v>116</v>
      </c>
      <c r="H4" s="343">
        <v>4</v>
      </c>
      <c r="I4" s="260">
        <v>45748</v>
      </c>
      <c r="J4" s="1118">
        <v>0</v>
      </c>
      <c r="K4" s="1119">
        <v>0</v>
      </c>
      <c r="L4" s="1120">
        <v>0</v>
      </c>
      <c r="M4" s="1121">
        <v>0</v>
      </c>
      <c r="N4" s="1122"/>
      <c r="O4" s="1318" t="s">
        <v>41</v>
      </c>
      <c r="P4" s="1319" t="s">
        <v>41</v>
      </c>
      <c r="Q4" s="1320" t="s">
        <v>41</v>
      </c>
      <c r="R4" s="1319" t="s">
        <v>41</v>
      </c>
    </row>
    <row r="5" spans="1:21" ht="34.799999999999997">
      <c r="A5" s="207" t="s">
        <v>6</v>
      </c>
      <c r="B5" s="210" t="s">
        <v>113</v>
      </c>
      <c r="C5" s="180">
        <v>4</v>
      </c>
      <c r="D5" s="181" t="s">
        <v>119</v>
      </c>
      <c r="E5" s="182" t="s">
        <v>38</v>
      </c>
      <c r="F5" s="183" t="s">
        <v>115</v>
      </c>
      <c r="G5" s="182" t="s">
        <v>116</v>
      </c>
      <c r="H5" s="343">
        <v>9</v>
      </c>
      <c r="I5" s="260">
        <v>45748</v>
      </c>
      <c r="J5" s="1118">
        <v>0</v>
      </c>
      <c r="K5" s="1119">
        <v>0</v>
      </c>
      <c r="L5" s="1120">
        <v>0</v>
      </c>
      <c r="M5" s="1121">
        <v>0</v>
      </c>
      <c r="N5" s="1122"/>
      <c r="O5" s="1318" t="s">
        <v>41</v>
      </c>
      <c r="P5" s="1319" t="s">
        <v>41</v>
      </c>
      <c r="Q5" s="1320" t="s">
        <v>41</v>
      </c>
      <c r="R5" s="1319" t="s">
        <v>41</v>
      </c>
    </row>
    <row r="6" spans="1:21" ht="34.799999999999997">
      <c r="A6" s="207" t="s">
        <v>6</v>
      </c>
      <c r="B6" s="210" t="s">
        <v>113</v>
      </c>
      <c r="C6" s="180">
        <v>5</v>
      </c>
      <c r="D6" s="189" t="s">
        <v>120</v>
      </c>
      <c r="E6" s="182" t="s">
        <v>38</v>
      </c>
      <c r="F6" s="183" t="s">
        <v>115</v>
      </c>
      <c r="G6" s="182" t="s">
        <v>116</v>
      </c>
      <c r="H6" s="343">
        <v>6</v>
      </c>
      <c r="I6" s="260">
        <v>45748</v>
      </c>
      <c r="J6" s="1118">
        <v>1</v>
      </c>
      <c r="K6" s="1162">
        <v>1</v>
      </c>
      <c r="L6" s="1120">
        <v>1</v>
      </c>
      <c r="M6" s="1121">
        <v>1</v>
      </c>
      <c r="N6" s="1122"/>
      <c r="O6" s="1123" t="s">
        <v>121</v>
      </c>
      <c r="P6" s="1124" t="s">
        <v>122</v>
      </c>
      <c r="Q6" s="758" t="s">
        <v>123</v>
      </c>
      <c r="R6" s="762" t="s">
        <v>124</v>
      </c>
    </row>
    <row r="7" spans="1:21" ht="34.799999999999997">
      <c r="A7" s="207" t="s">
        <v>6</v>
      </c>
      <c r="B7" s="210" t="s">
        <v>113</v>
      </c>
      <c r="C7" s="180">
        <v>6</v>
      </c>
      <c r="D7" s="181" t="s">
        <v>125</v>
      </c>
      <c r="E7" s="182" t="s">
        <v>38</v>
      </c>
      <c r="F7" s="183" t="s">
        <v>126</v>
      </c>
      <c r="G7" s="182" t="s">
        <v>127</v>
      </c>
      <c r="H7" s="344">
        <v>6</v>
      </c>
      <c r="I7" s="260">
        <v>45748</v>
      </c>
      <c r="J7" s="1118">
        <v>1</v>
      </c>
      <c r="K7" s="1162">
        <v>1</v>
      </c>
      <c r="L7" s="1120">
        <v>1</v>
      </c>
      <c r="M7" s="1121">
        <v>1</v>
      </c>
      <c r="N7" s="1122"/>
      <c r="O7" s="1123" t="s">
        <v>128</v>
      </c>
      <c r="P7" s="1124" t="s">
        <v>122</v>
      </c>
      <c r="Q7" s="758" t="s">
        <v>123</v>
      </c>
      <c r="R7" s="762" t="s">
        <v>124</v>
      </c>
    </row>
    <row r="8" spans="1:21" ht="17.399999999999999">
      <c r="A8" s="207" t="s">
        <v>6</v>
      </c>
      <c r="B8" s="211" t="s">
        <v>113</v>
      </c>
      <c r="C8" s="190">
        <v>7</v>
      </c>
      <c r="D8" s="191" t="s">
        <v>129</v>
      </c>
      <c r="E8" s="192" t="s">
        <v>38</v>
      </c>
      <c r="F8" s="193" t="s">
        <v>126</v>
      </c>
      <c r="G8" s="192" t="s">
        <v>130</v>
      </c>
      <c r="H8" s="345">
        <v>5</v>
      </c>
      <c r="I8" s="260">
        <v>45748</v>
      </c>
      <c r="J8" s="1151">
        <v>0</v>
      </c>
      <c r="K8" s="1152">
        <v>0</v>
      </c>
      <c r="L8" s="1153">
        <v>0</v>
      </c>
      <c r="M8" s="1154">
        <v>0</v>
      </c>
      <c r="N8" s="1155"/>
      <c r="O8" s="1156" t="s">
        <v>41</v>
      </c>
      <c r="P8" s="1157" t="s">
        <v>41</v>
      </c>
      <c r="Q8" s="1158" t="s">
        <v>41</v>
      </c>
      <c r="R8" s="1157" t="s">
        <v>41</v>
      </c>
    </row>
    <row r="9" spans="1:21" ht="34.799999999999997">
      <c r="A9" s="207" t="s">
        <v>6</v>
      </c>
      <c r="B9" s="212" t="s">
        <v>131</v>
      </c>
      <c r="C9" s="194">
        <v>8</v>
      </c>
      <c r="D9" s="195" t="s">
        <v>132</v>
      </c>
      <c r="E9" s="196" t="s">
        <v>133</v>
      </c>
      <c r="F9" s="197" t="s">
        <v>134</v>
      </c>
      <c r="G9" s="196" t="s">
        <v>135</v>
      </c>
      <c r="H9" s="346">
        <v>5.6228257045651073E-3</v>
      </c>
      <c r="I9" s="260">
        <v>45748</v>
      </c>
      <c r="J9" s="1145">
        <v>5.9582829557401863E-3</v>
      </c>
      <c r="K9" s="1321">
        <v>5.2307054558416721E-3</v>
      </c>
      <c r="L9" s="1147">
        <v>5.9582829557401863E-3</v>
      </c>
      <c r="M9" s="1148">
        <v>5.2307054558416721E-3</v>
      </c>
      <c r="N9" s="1175"/>
      <c r="O9" s="756"/>
      <c r="P9" s="1322" t="s">
        <v>41</v>
      </c>
      <c r="Q9" s="1323" t="s">
        <v>41</v>
      </c>
      <c r="R9" s="1322" t="s">
        <v>41</v>
      </c>
    </row>
    <row r="10" spans="1:21" ht="34.799999999999997">
      <c r="A10" s="207" t="s">
        <v>6</v>
      </c>
      <c r="B10" s="210" t="s">
        <v>131</v>
      </c>
      <c r="C10" s="180">
        <v>9</v>
      </c>
      <c r="D10" s="181" t="s">
        <v>132</v>
      </c>
      <c r="E10" s="182" t="s">
        <v>136</v>
      </c>
      <c r="F10" s="183" t="s">
        <v>134</v>
      </c>
      <c r="G10" s="182" t="s">
        <v>135</v>
      </c>
      <c r="H10" s="356">
        <v>162.9</v>
      </c>
      <c r="I10" s="260">
        <v>45748</v>
      </c>
      <c r="J10" s="1324">
        <v>12.986191831243399</v>
      </c>
      <c r="K10" s="1325">
        <v>11.310827774700002</v>
      </c>
      <c r="L10" s="1326">
        <v>12.986191831243399</v>
      </c>
      <c r="M10" s="1327">
        <v>11.3108277747</v>
      </c>
      <c r="N10" s="1141"/>
      <c r="O10" s="761"/>
      <c r="P10" s="1328" t="s">
        <v>41</v>
      </c>
      <c r="Q10" s="758"/>
      <c r="R10" s="762"/>
    </row>
    <row r="11" spans="1:21" ht="17.399999999999999">
      <c r="A11" s="207" t="s">
        <v>6</v>
      </c>
      <c r="B11" s="210" t="s">
        <v>131</v>
      </c>
      <c r="C11" s="216">
        <v>10</v>
      </c>
      <c r="D11" s="217" t="s">
        <v>137</v>
      </c>
      <c r="E11" s="218" t="s">
        <v>136</v>
      </c>
      <c r="F11" s="219" t="s">
        <v>138</v>
      </c>
      <c r="G11" s="218" t="s">
        <v>135</v>
      </c>
      <c r="H11" s="347">
        <v>231.81399999999999</v>
      </c>
      <c r="I11" s="261">
        <v>45748</v>
      </c>
      <c r="J11" s="1329">
        <v>11.49</v>
      </c>
      <c r="K11" s="1330">
        <v>5.97</v>
      </c>
      <c r="L11" s="1331">
        <f>J11</f>
        <v>11.49</v>
      </c>
      <c r="M11" s="1332">
        <f>K11</f>
        <v>5.97</v>
      </c>
      <c r="N11" s="1137"/>
      <c r="O11" s="794"/>
      <c r="P11" s="795"/>
      <c r="Q11" s="790"/>
      <c r="R11" s="795"/>
    </row>
    <row r="12" spans="1:21" ht="17.399999999999999">
      <c r="A12" s="220" t="s">
        <v>6</v>
      </c>
      <c r="B12" s="221" t="s">
        <v>113</v>
      </c>
      <c r="C12" s="222">
        <v>1</v>
      </c>
      <c r="D12" s="223" t="s">
        <v>114</v>
      </c>
      <c r="E12" s="224" t="s">
        <v>38</v>
      </c>
      <c r="F12" s="225" t="s">
        <v>115</v>
      </c>
      <c r="G12" s="224" t="s">
        <v>116</v>
      </c>
      <c r="H12" s="348">
        <v>0</v>
      </c>
      <c r="I12" s="262">
        <v>45778</v>
      </c>
      <c r="J12" s="1167">
        <v>0</v>
      </c>
      <c r="K12" s="1292">
        <v>0</v>
      </c>
      <c r="L12" s="1169">
        <f>L2+J12</f>
        <v>0</v>
      </c>
      <c r="M12" s="1170">
        <f>M2+K12</f>
        <v>0</v>
      </c>
      <c r="N12" s="1333">
        <v>0</v>
      </c>
      <c r="O12" s="850" t="s">
        <v>41</v>
      </c>
      <c r="P12" s="851" t="s">
        <v>41</v>
      </c>
      <c r="Q12" s="849" t="s">
        <v>41</v>
      </c>
      <c r="R12" s="851" t="s">
        <v>41</v>
      </c>
    </row>
    <row r="13" spans="1:21" ht="34.799999999999997">
      <c r="A13" s="207" t="s">
        <v>6</v>
      </c>
      <c r="B13" s="210" t="s">
        <v>113</v>
      </c>
      <c r="C13" s="180">
        <v>2</v>
      </c>
      <c r="D13" s="189" t="s">
        <v>117</v>
      </c>
      <c r="E13" s="182" t="s">
        <v>38</v>
      </c>
      <c r="F13" s="183" t="s">
        <v>115</v>
      </c>
      <c r="G13" s="182" t="s">
        <v>116</v>
      </c>
      <c r="H13" s="342">
        <v>0</v>
      </c>
      <c r="I13" s="260">
        <v>45778</v>
      </c>
      <c r="J13" s="1315">
        <v>0</v>
      </c>
      <c r="K13" s="1162">
        <v>1</v>
      </c>
      <c r="L13" s="1316">
        <v>0</v>
      </c>
      <c r="M13" s="1121">
        <f t="shared" ref="M13:M18" si="0">M3+K13</f>
        <v>1</v>
      </c>
      <c r="N13" s="1334" t="s">
        <v>41</v>
      </c>
      <c r="O13" s="1123" t="s">
        <v>139</v>
      </c>
      <c r="P13" s="762" t="s">
        <v>41</v>
      </c>
      <c r="Q13" s="758" t="s">
        <v>41</v>
      </c>
      <c r="R13" s="762" t="s">
        <v>41</v>
      </c>
    </row>
    <row r="14" spans="1:21" ht="34.799999999999997">
      <c r="A14" s="207" t="s">
        <v>6</v>
      </c>
      <c r="B14" s="210" t="s">
        <v>113</v>
      </c>
      <c r="C14" s="180">
        <v>3</v>
      </c>
      <c r="D14" s="181" t="s">
        <v>118</v>
      </c>
      <c r="E14" s="182" t="s">
        <v>38</v>
      </c>
      <c r="F14" s="183" t="s">
        <v>115</v>
      </c>
      <c r="G14" s="182" t="s">
        <v>116</v>
      </c>
      <c r="H14" s="343">
        <v>4</v>
      </c>
      <c r="I14" s="260">
        <v>45778</v>
      </c>
      <c r="J14" s="1118">
        <v>0</v>
      </c>
      <c r="K14" s="1119">
        <v>0</v>
      </c>
      <c r="L14" s="1120">
        <f>L4+J14</f>
        <v>0</v>
      </c>
      <c r="M14" s="1121">
        <f t="shared" si="0"/>
        <v>0</v>
      </c>
      <c r="N14" s="1125">
        <v>0</v>
      </c>
      <c r="O14" s="761" t="s">
        <v>41</v>
      </c>
      <c r="P14" s="762" t="s">
        <v>41</v>
      </c>
      <c r="Q14" s="758" t="s">
        <v>41</v>
      </c>
      <c r="R14" s="762" t="s">
        <v>41</v>
      </c>
    </row>
    <row r="15" spans="1:21" ht="34.799999999999997">
      <c r="A15" s="207" t="s">
        <v>6</v>
      </c>
      <c r="B15" s="210" t="s">
        <v>113</v>
      </c>
      <c r="C15" s="180">
        <v>4</v>
      </c>
      <c r="D15" s="181" t="s">
        <v>119</v>
      </c>
      <c r="E15" s="182" t="s">
        <v>38</v>
      </c>
      <c r="F15" s="183" t="s">
        <v>115</v>
      </c>
      <c r="G15" s="182" t="s">
        <v>116</v>
      </c>
      <c r="H15" s="343">
        <v>9</v>
      </c>
      <c r="I15" s="260">
        <v>45778</v>
      </c>
      <c r="J15" s="1118">
        <v>0</v>
      </c>
      <c r="K15" s="1119">
        <v>0</v>
      </c>
      <c r="L15" s="1120">
        <f>L5+J15</f>
        <v>0</v>
      </c>
      <c r="M15" s="1121">
        <f t="shared" si="0"/>
        <v>0</v>
      </c>
      <c r="N15" s="1125">
        <v>0</v>
      </c>
      <c r="O15" s="761" t="s">
        <v>41</v>
      </c>
      <c r="P15" s="762" t="s">
        <v>41</v>
      </c>
      <c r="Q15" s="758" t="s">
        <v>41</v>
      </c>
      <c r="R15" s="762" t="s">
        <v>41</v>
      </c>
    </row>
    <row r="16" spans="1:21" ht="17.399999999999999">
      <c r="A16" s="207" t="s">
        <v>6</v>
      </c>
      <c r="B16" s="210" t="s">
        <v>113</v>
      </c>
      <c r="C16" s="180">
        <v>5</v>
      </c>
      <c r="D16" s="189" t="s">
        <v>120</v>
      </c>
      <c r="E16" s="182" t="s">
        <v>38</v>
      </c>
      <c r="F16" s="183" t="s">
        <v>115</v>
      </c>
      <c r="G16" s="182" t="s">
        <v>116</v>
      </c>
      <c r="H16" s="343">
        <v>6</v>
      </c>
      <c r="I16" s="260">
        <v>45778</v>
      </c>
      <c r="J16" s="1118">
        <v>0</v>
      </c>
      <c r="K16" s="1119">
        <v>0</v>
      </c>
      <c r="L16" s="1120">
        <f>L6+J16</f>
        <v>1</v>
      </c>
      <c r="M16" s="1121">
        <f t="shared" si="0"/>
        <v>1</v>
      </c>
      <c r="N16" s="1125">
        <v>0</v>
      </c>
      <c r="O16" s="761" t="s">
        <v>41</v>
      </c>
      <c r="P16" s="762" t="s">
        <v>41</v>
      </c>
      <c r="Q16" s="758" t="s">
        <v>41</v>
      </c>
      <c r="R16" s="1335" t="s">
        <v>41</v>
      </c>
    </row>
    <row r="17" spans="1:18" ht="104.4">
      <c r="A17" s="207" t="s">
        <v>6</v>
      </c>
      <c r="B17" s="210" t="s">
        <v>113</v>
      </c>
      <c r="C17" s="180">
        <v>6</v>
      </c>
      <c r="D17" s="181" t="s">
        <v>125</v>
      </c>
      <c r="E17" s="182" t="s">
        <v>38</v>
      </c>
      <c r="F17" s="183" t="s">
        <v>126</v>
      </c>
      <c r="G17" s="182" t="s">
        <v>127</v>
      </c>
      <c r="H17" s="344">
        <v>6</v>
      </c>
      <c r="I17" s="260">
        <v>45778</v>
      </c>
      <c r="J17" s="1118">
        <v>0</v>
      </c>
      <c r="K17" s="1162">
        <v>1</v>
      </c>
      <c r="L17" s="1120">
        <f>L7+J17</f>
        <v>1</v>
      </c>
      <c r="M17" s="1121">
        <f t="shared" si="0"/>
        <v>2</v>
      </c>
      <c r="N17" s="1125">
        <v>0</v>
      </c>
      <c r="O17" s="1123" t="s">
        <v>140</v>
      </c>
      <c r="P17" s="1124" t="s">
        <v>141</v>
      </c>
      <c r="Q17" s="758" t="s">
        <v>123</v>
      </c>
      <c r="R17" s="1335" t="s">
        <v>41</v>
      </c>
    </row>
    <row r="18" spans="1:18" ht="17.399999999999999">
      <c r="A18" s="207" t="s">
        <v>6</v>
      </c>
      <c r="B18" s="211" t="s">
        <v>113</v>
      </c>
      <c r="C18" s="190">
        <v>7</v>
      </c>
      <c r="D18" s="191" t="s">
        <v>129</v>
      </c>
      <c r="E18" s="192" t="s">
        <v>38</v>
      </c>
      <c r="F18" s="193" t="s">
        <v>126</v>
      </c>
      <c r="G18" s="192" t="s">
        <v>130</v>
      </c>
      <c r="H18" s="345">
        <v>5</v>
      </c>
      <c r="I18" s="260">
        <v>45778</v>
      </c>
      <c r="J18" s="1151">
        <v>1</v>
      </c>
      <c r="K18" s="1152">
        <v>0</v>
      </c>
      <c r="L18" s="1153">
        <f>L8+J18</f>
        <v>1</v>
      </c>
      <c r="M18" s="1154">
        <f t="shared" si="0"/>
        <v>0</v>
      </c>
      <c r="N18" s="1336">
        <v>0</v>
      </c>
      <c r="O18" s="1156" t="s">
        <v>41</v>
      </c>
      <c r="P18" s="1157" t="s">
        <v>41</v>
      </c>
      <c r="Q18" s="1158" t="s">
        <v>41</v>
      </c>
      <c r="R18" s="1157" t="s">
        <v>41</v>
      </c>
    </row>
    <row r="19" spans="1:18" ht="34.799999999999997">
      <c r="A19" s="207" t="s">
        <v>6</v>
      </c>
      <c r="B19" s="212" t="s">
        <v>131</v>
      </c>
      <c r="C19" s="194">
        <v>8</v>
      </c>
      <c r="D19" s="195" t="s">
        <v>132</v>
      </c>
      <c r="E19" s="196" t="s">
        <v>133</v>
      </c>
      <c r="F19" s="197" t="s">
        <v>134</v>
      </c>
      <c r="G19" s="196" t="s">
        <v>135</v>
      </c>
      <c r="H19" s="346">
        <v>5.6228257045651073E-3</v>
      </c>
      <c r="I19" s="260">
        <v>45778</v>
      </c>
      <c r="J19" s="1145">
        <v>5.8639174103008208E-3</v>
      </c>
      <c r="K19" s="1321">
        <v>5.0061577479954874E-3</v>
      </c>
      <c r="L19" s="1147">
        <v>5.9100000000000003E-3</v>
      </c>
      <c r="M19" s="1148">
        <v>5.0877077682586003E-3</v>
      </c>
      <c r="N19" s="1175"/>
      <c r="O19" s="1337" t="s">
        <v>142</v>
      </c>
      <c r="P19" s="1338" t="s">
        <v>41</v>
      </c>
      <c r="Q19" s="753" t="s">
        <v>41</v>
      </c>
      <c r="R19" s="757" t="s">
        <v>41</v>
      </c>
    </row>
    <row r="20" spans="1:18" ht="52.2">
      <c r="A20" s="207" t="s">
        <v>6</v>
      </c>
      <c r="B20" s="210" t="s">
        <v>131</v>
      </c>
      <c r="C20" s="180">
        <v>9</v>
      </c>
      <c r="D20" s="181" t="s">
        <v>132</v>
      </c>
      <c r="E20" s="182" t="s">
        <v>136</v>
      </c>
      <c r="F20" s="183" t="s">
        <v>134</v>
      </c>
      <c r="G20" s="182" t="s">
        <v>135</v>
      </c>
      <c r="H20" s="356">
        <v>162.9</v>
      </c>
      <c r="I20" s="260">
        <v>45778</v>
      </c>
      <c r="J20" s="1324">
        <f>13.36+2.5503257599287</f>
        <v>15.9103257599287</v>
      </c>
      <c r="K20" s="1325">
        <v>13.632414266799994</v>
      </c>
      <c r="L20" s="1326">
        <f>J20+J10</f>
        <v>28.896517591172099</v>
      </c>
      <c r="M20" s="1327">
        <v>24.943242041499996</v>
      </c>
      <c r="N20" s="1141"/>
      <c r="O20" s="1142" t="s">
        <v>143</v>
      </c>
      <c r="P20" s="1080" t="s">
        <v>41</v>
      </c>
      <c r="Q20" s="758" t="s">
        <v>41</v>
      </c>
      <c r="R20" s="762" t="s">
        <v>41</v>
      </c>
    </row>
    <row r="21" spans="1:18" ht="17.399999999999999">
      <c r="A21" s="208" t="s">
        <v>6</v>
      </c>
      <c r="B21" s="213" t="s">
        <v>131</v>
      </c>
      <c r="C21" s="198">
        <v>10</v>
      </c>
      <c r="D21" s="199" t="s">
        <v>137</v>
      </c>
      <c r="E21" s="200" t="s">
        <v>136</v>
      </c>
      <c r="F21" s="201" t="s">
        <v>138</v>
      </c>
      <c r="G21" s="200" t="s">
        <v>135</v>
      </c>
      <c r="H21" s="349">
        <v>231.81399999999999</v>
      </c>
      <c r="I21" s="261">
        <v>45778</v>
      </c>
      <c r="J21" s="1339">
        <v>11.54</v>
      </c>
      <c r="K21" s="1340">
        <v>7.25</v>
      </c>
      <c r="L21" s="1341">
        <f>L11+J21</f>
        <v>23.03</v>
      </c>
      <c r="M21" s="1342">
        <f>M11+K21</f>
        <v>13.219999999999999</v>
      </c>
      <c r="N21" s="1343"/>
      <c r="O21" s="853"/>
      <c r="P21" s="854"/>
      <c r="Q21" s="852"/>
      <c r="R21" s="854"/>
    </row>
    <row r="22" spans="1:18" ht="17.399999999999999">
      <c r="A22" s="220" t="s">
        <v>6</v>
      </c>
      <c r="B22" s="221" t="s">
        <v>113</v>
      </c>
      <c r="C22" s="222">
        <v>1</v>
      </c>
      <c r="D22" s="223" t="s">
        <v>114</v>
      </c>
      <c r="E22" s="224" t="s">
        <v>38</v>
      </c>
      <c r="F22" s="225" t="s">
        <v>115</v>
      </c>
      <c r="G22" s="224" t="s">
        <v>116</v>
      </c>
      <c r="H22" s="348">
        <v>0</v>
      </c>
      <c r="I22" s="262">
        <v>45809</v>
      </c>
      <c r="J22" s="1167">
        <v>0</v>
      </c>
      <c r="K22" s="1292">
        <v>0</v>
      </c>
      <c r="L22" s="1169">
        <f>L12+J22</f>
        <v>0</v>
      </c>
      <c r="M22" s="1170">
        <f>M12+K22</f>
        <v>0</v>
      </c>
      <c r="N22" s="1333">
        <v>0</v>
      </c>
      <c r="O22" s="850" t="s">
        <v>41</v>
      </c>
      <c r="P22" s="851" t="s">
        <v>41</v>
      </c>
      <c r="Q22" s="849" t="s">
        <v>41</v>
      </c>
      <c r="R22" s="851" t="s">
        <v>41</v>
      </c>
    </row>
    <row r="23" spans="1:18" ht="249.75" customHeight="1">
      <c r="A23" s="207" t="s">
        <v>6</v>
      </c>
      <c r="B23" s="210" t="s">
        <v>113</v>
      </c>
      <c r="C23" s="180">
        <v>2</v>
      </c>
      <c r="D23" s="189" t="s">
        <v>117</v>
      </c>
      <c r="E23" s="182" t="s">
        <v>38</v>
      </c>
      <c r="F23" s="183" t="s">
        <v>115</v>
      </c>
      <c r="G23" s="182" t="s">
        <v>116</v>
      </c>
      <c r="H23" s="342">
        <v>0</v>
      </c>
      <c r="I23" s="260">
        <v>45809</v>
      </c>
      <c r="J23" s="1126">
        <v>0</v>
      </c>
      <c r="K23" s="1119">
        <v>0</v>
      </c>
      <c r="L23" s="1127">
        <v>0</v>
      </c>
      <c r="M23" s="1121">
        <f t="shared" ref="M23:M28" si="1">M13+K23</f>
        <v>1</v>
      </c>
      <c r="N23" s="1334" t="s">
        <v>41</v>
      </c>
      <c r="O23" s="1123" t="s">
        <v>144</v>
      </c>
      <c r="P23" s="1124" t="s">
        <v>145</v>
      </c>
      <c r="Q23" s="1344" t="s">
        <v>41</v>
      </c>
      <c r="R23" s="1335" t="s">
        <v>41</v>
      </c>
    </row>
    <row r="24" spans="1:18" ht="34.799999999999997">
      <c r="A24" s="207" t="s">
        <v>6</v>
      </c>
      <c r="B24" s="210" t="s">
        <v>113</v>
      </c>
      <c r="C24" s="180">
        <v>3</v>
      </c>
      <c r="D24" s="181" t="s">
        <v>118</v>
      </c>
      <c r="E24" s="182" t="s">
        <v>38</v>
      </c>
      <c r="F24" s="183" t="s">
        <v>115</v>
      </c>
      <c r="G24" s="182" t="s">
        <v>116</v>
      </c>
      <c r="H24" s="343">
        <v>4</v>
      </c>
      <c r="I24" s="260">
        <v>45809</v>
      </c>
      <c r="J24" s="1118">
        <v>2</v>
      </c>
      <c r="K24" s="1119">
        <v>0</v>
      </c>
      <c r="L24" s="1120">
        <f>L14+J24</f>
        <v>2</v>
      </c>
      <c r="M24" s="1121">
        <f t="shared" si="1"/>
        <v>0</v>
      </c>
      <c r="N24" s="1125">
        <v>0</v>
      </c>
      <c r="O24" s="761" t="s">
        <v>41</v>
      </c>
      <c r="P24" s="762" t="s">
        <v>41</v>
      </c>
      <c r="Q24" s="758" t="s">
        <v>41</v>
      </c>
      <c r="R24" s="762" t="s">
        <v>41</v>
      </c>
    </row>
    <row r="25" spans="1:18" ht="34.799999999999997">
      <c r="A25" s="207" t="s">
        <v>6</v>
      </c>
      <c r="B25" s="210" t="s">
        <v>113</v>
      </c>
      <c r="C25" s="180">
        <v>4</v>
      </c>
      <c r="D25" s="181" t="s">
        <v>119</v>
      </c>
      <c r="E25" s="182" t="s">
        <v>38</v>
      </c>
      <c r="F25" s="183" t="s">
        <v>115</v>
      </c>
      <c r="G25" s="182" t="s">
        <v>116</v>
      </c>
      <c r="H25" s="343">
        <v>9</v>
      </c>
      <c r="I25" s="260">
        <v>45809</v>
      </c>
      <c r="J25" s="1118">
        <v>2</v>
      </c>
      <c r="K25" s="1119">
        <v>0</v>
      </c>
      <c r="L25" s="1120">
        <f>L15+J25</f>
        <v>2</v>
      </c>
      <c r="M25" s="1121">
        <f t="shared" si="1"/>
        <v>0</v>
      </c>
      <c r="N25" s="1125">
        <v>0</v>
      </c>
      <c r="O25" s="761" t="s">
        <v>41</v>
      </c>
      <c r="P25" s="762" t="s">
        <v>41</v>
      </c>
      <c r="Q25" s="758" t="s">
        <v>41</v>
      </c>
      <c r="R25" s="762" t="s">
        <v>41</v>
      </c>
    </row>
    <row r="26" spans="1:18" ht="191.4">
      <c r="A26" s="207" t="s">
        <v>6</v>
      </c>
      <c r="B26" s="210" t="s">
        <v>113</v>
      </c>
      <c r="C26" s="180">
        <v>5</v>
      </c>
      <c r="D26" s="189" t="s">
        <v>120</v>
      </c>
      <c r="E26" s="182" t="s">
        <v>38</v>
      </c>
      <c r="F26" s="183" t="s">
        <v>115</v>
      </c>
      <c r="G26" s="182" t="s">
        <v>116</v>
      </c>
      <c r="H26" s="343">
        <v>6</v>
      </c>
      <c r="I26" s="260">
        <v>45809</v>
      </c>
      <c r="J26" s="1118">
        <v>0</v>
      </c>
      <c r="K26" s="1162">
        <v>2</v>
      </c>
      <c r="L26" s="1120">
        <f>L16+J26</f>
        <v>1</v>
      </c>
      <c r="M26" s="1121">
        <f t="shared" si="1"/>
        <v>3</v>
      </c>
      <c r="N26" s="1125">
        <v>0</v>
      </c>
      <c r="O26" s="1123" t="s">
        <v>146</v>
      </c>
      <c r="P26" s="1143" t="s">
        <v>147</v>
      </c>
      <c r="Q26" s="1161" t="s">
        <v>148</v>
      </c>
      <c r="R26" s="1335" t="s">
        <v>41</v>
      </c>
    </row>
    <row r="27" spans="1:18" ht="87">
      <c r="A27" s="207" t="s">
        <v>6</v>
      </c>
      <c r="B27" s="210" t="s">
        <v>113</v>
      </c>
      <c r="C27" s="180">
        <v>5</v>
      </c>
      <c r="D27" s="181" t="s">
        <v>125</v>
      </c>
      <c r="E27" s="182" t="s">
        <v>38</v>
      </c>
      <c r="F27" s="183" t="s">
        <v>126</v>
      </c>
      <c r="G27" s="182" t="s">
        <v>127</v>
      </c>
      <c r="H27" s="344">
        <v>6</v>
      </c>
      <c r="I27" s="260">
        <v>45809</v>
      </c>
      <c r="J27" s="1118">
        <v>0</v>
      </c>
      <c r="K27" s="1162">
        <v>1</v>
      </c>
      <c r="L27" s="1120">
        <f>L17+J27</f>
        <v>1</v>
      </c>
      <c r="M27" s="1574">
        <f>M17+K27</f>
        <v>3</v>
      </c>
      <c r="N27" s="1125">
        <v>0</v>
      </c>
      <c r="O27" s="1123" t="s">
        <v>149</v>
      </c>
      <c r="P27" s="817" t="s">
        <v>150</v>
      </c>
      <c r="Q27" s="661" t="s">
        <v>150</v>
      </c>
      <c r="R27" s="1335" t="s">
        <v>41</v>
      </c>
    </row>
    <row r="28" spans="1:18" ht="17.399999999999999">
      <c r="A28" s="207" t="s">
        <v>6</v>
      </c>
      <c r="B28" s="211" t="s">
        <v>113</v>
      </c>
      <c r="C28" s="190">
        <v>7</v>
      </c>
      <c r="D28" s="191" t="s">
        <v>129</v>
      </c>
      <c r="E28" s="192" t="s">
        <v>38</v>
      </c>
      <c r="F28" s="193" t="s">
        <v>126</v>
      </c>
      <c r="G28" s="192" t="s">
        <v>130</v>
      </c>
      <c r="H28" s="345">
        <v>5</v>
      </c>
      <c r="I28" s="260">
        <v>45809</v>
      </c>
      <c r="J28" s="1151">
        <v>0</v>
      </c>
      <c r="K28" s="1152">
        <v>0</v>
      </c>
      <c r="L28" s="1153">
        <f>L18+J28</f>
        <v>1</v>
      </c>
      <c r="M28" s="1154">
        <f t="shared" si="1"/>
        <v>0</v>
      </c>
      <c r="N28" s="1336">
        <v>0</v>
      </c>
      <c r="O28" s="1156" t="s">
        <v>41</v>
      </c>
      <c r="P28" s="1157" t="s">
        <v>41</v>
      </c>
      <c r="Q28" s="1158" t="s">
        <v>41</v>
      </c>
      <c r="R28" s="1157" t="s">
        <v>41</v>
      </c>
    </row>
    <row r="29" spans="1:18" ht="34.799999999999997">
      <c r="A29" s="207" t="s">
        <v>6</v>
      </c>
      <c r="B29" s="212" t="s">
        <v>131</v>
      </c>
      <c r="C29" s="194">
        <v>8</v>
      </c>
      <c r="D29" s="195" t="s">
        <v>132</v>
      </c>
      <c r="E29" s="196" t="s">
        <v>133</v>
      </c>
      <c r="F29" s="197" t="s">
        <v>134</v>
      </c>
      <c r="G29" s="196" t="s">
        <v>135</v>
      </c>
      <c r="H29" s="346">
        <v>5.6228257045651073E-3</v>
      </c>
      <c r="I29" s="260">
        <v>45809</v>
      </c>
      <c r="J29" s="1145">
        <v>5.4773615308016457E-3</v>
      </c>
      <c r="K29" s="1321">
        <v>5.1383660879234577E-3</v>
      </c>
      <c r="L29" s="1147">
        <v>5.7600000000000004E-3</v>
      </c>
      <c r="M29" s="1148">
        <v>5.1059363305658552E-3</v>
      </c>
      <c r="N29" s="1149">
        <v>5.4225879154936292E-3</v>
      </c>
      <c r="O29" s="1337" t="s">
        <v>151</v>
      </c>
      <c r="P29" s="1345" t="s">
        <v>41</v>
      </c>
      <c r="Q29" s="753" t="s">
        <v>41</v>
      </c>
      <c r="R29" s="757" t="s">
        <v>41</v>
      </c>
    </row>
    <row r="30" spans="1:18" ht="87">
      <c r="A30" s="207" t="s">
        <v>6</v>
      </c>
      <c r="B30" s="210" t="s">
        <v>131</v>
      </c>
      <c r="C30" s="180">
        <v>9</v>
      </c>
      <c r="D30" s="181" t="s">
        <v>132</v>
      </c>
      <c r="E30" s="182" t="s">
        <v>136</v>
      </c>
      <c r="F30" s="183" t="s">
        <v>134</v>
      </c>
      <c r="G30" s="182" t="s">
        <v>135</v>
      </c>
      <c r="H30" s="356">
        <v>162.9</v>
      </c>
      <c r="I30" s="260">
        <v>45809</v>
      </c>
      <c r="J30" s="1138">
        <f>13.93+1.02844058747246</f>
        <v>14.95844058747246</v>
      </c>
      <c r="K30" s="1346">
        <v>14.16</v>
      </c>
      <c r="L30" s="1120">
        <v>44.568766347401159</v>
      </c>
      <c r="M30" s="1121">
        <v>39.103282803900001</v>
      </c>
      <c r="N30" s="1141">
        <v>13.790699999999999</v>
      </c>
      <c r="O30" s="1123" t="s">
        <v>152</v>
      </c>
      <c r="P30" s="1347" t="s">
        <v>41</v>
      </c>
      <c r="Q30" s="758" t="s">
        <v>41</v>
      </c>
      <c r="R30" s="762" t="s">
        <v>41</v>
      </c>
    </row>
    <row r="31" spans="1:18" ht="17.399999999999999">
      <c r="A31" s="208" t="s">
        <v>6</v>
      </c>
      <c r="B31" s="213" t="s">
        <v>131</v>
      </c>
      <c r="C31" s="198">
        <v>10</v>
      </c>
      <c r="D31" s="199" t="s">
        <v>137</v>
      </c>
      <c r="E31" s="200" t="s">
        <v>136</v>
      </c>
      <c r="F31" s="201" t="s">
        <v>138</v>
      </c>
      <c r="G31" s="200" t="s">
        <v>135</v>
      </c>
      <c r="H31" s="349">
        <v>231.81399999999999</v>
      </c>
      <c r="I31" s="261">
        <v>45809</v>
      </c>
      <c r="J31" s="1348">
        <v>5.09</v>
      </c>
      <c r="K31" s="1298">
        <v>7.98</v>
      </c>
      <c r="L31" s="1349">
        <f>L21+J31</f>
        <v>28.12</v>
      </c>
      <c r="M31" s="1350">
        <f>M21+K31</f>
        <v>21.2</v>
      </c>
      <c r="N31" s="1343"/>
      <c r="O31" s="853"/>
      <c r="P31" s="854"/>
      <c r="Q31" s="852"/>
      <c r="R31" s="854"/>
    </row>
    <row r="32" spans="1:18" ht="17.399999999999999">
      <c r="A32" s="220" t="s">
        <v>6</v>
      </c>
      <c r="B32" s="221" t="s">
        <v>113</v>
      </c>
      <c r="C32" s="222">
        <v>1</v>
      </c>
      <c r="D32" s="223" t="s">
        <v>114</v>
      </c>
      <c r="E32" s="224" t="s">
        <v>38</v>
      </c>
      <c r="F32" s="225" t="s">
        <v>115</v>
      </c>
      <c r="G32" s="224" t="s">
        <v>116</v>
      </c>
      <c r="H32" s="348">
        <v>0</v>
      </c>
      <c r="I32" s="262">
        <v>45839</v>
      </c>
      <c r="J32" s="1167">
        <v>0</v>
      </c>
      <c r="K32" s="1292">
        <v>0</v>
      </c>
      <c r="L32" s="1169">
        <f>L22+J32</f>
        <v>0</v>
      </c>
      <c r="M32" s="1170">
        <f>M22+K32</f>
        <v>0</v>
      </c>
      <c r="N32" s="1333">
        <v>0</v>
      </c>
      <c r="O32" s="850" t="s">
        <v>41</v>
      </c>
      <c r="P32" s="851" t="s">
        <v>41</v>
      </c>
      <c r="Q32" s="849" t="s">
        <v>41</v>
      </c>
      <c r="R32" s="851" t="s">
        <v>41</v>
      </c>
    </row>
    <row r="33" spans="1:18" ht="17.399999999999999">
      <c r="A33" s="207" t="s">
        <v>6</v>
      </c>
      <c r="B33" s="210" t="s">
        <v>113</v>
      </c>
      <c r="C33" s="180">
        <v>2</v>
      </c>
      <c r="D33" s="189" t="s">
        <v>117</v>
      </c>
      <c r="E33" s="182" t="s">
        <v>38</v>
      </c>
      <c r="F33" s="183" t="s">
        <v>115</v>
      </c>
      <c r="G33" s="182" t="s">
        <v>116</v>
      </c>
      <c r="H33" s="342">
        <v>0</v>
      </c>
      <c r="I33" s="260">
        <v>45839</v>
      </c>
      <c r="J33" s="1126">
        <v>0</v>
      </c>
      <c r="K33" s="1119">
        <v>0</v>
      </c>
      <c r="L33" s="1127">
        <v>0</v>
      </c>
      <c r="M33" s="1121">
        <f t="shared" ref="M33:M38" si="2">M23+K33</f>
        <v>1</v>
      </c>
      <c r="N33" s="1125">
        <v>0</v>
      </c>
      <c r="O33" s="761" t="s">
        <v>41</v>
      </c>
      <c r="P33" s="762" t="s">
        <v>41</v>
      </c>
      <c r="Q33" s="758" t="s">
        <v>41</v>
      </c>
      <c r="R33" s="762" t="s">
        <v>41</v>
      </c>
    </row>
    <row r="34" spans="1:18" ht="52.2">
      <c r="A34" s="207" t="s">
        <v>6</v>
      </c>
      <c r="B34" s="210" t="s">
        <v>113</v>
      </c>
      <c r="C34" s="180">
        <v>3</v>
      </c>
      <c r="D34" s="181" t="s">
        <v>118</v>
      </c>
      <c r="E34" s="182" t="s">
        <v>38</v>
      </c>
      <c r="F34" s="183" t="s">
        <v>115</v>
      </c>
      <c r="G34" s="182" t="s">
        <v>116</v>
      </c>
      <c r="H34" s="343">
        <v>4</v>
      </c>
      <c r="I34" s="260">
        <v>45839</v>
      </c>
      <c r="J34" s="1118">
        <v>0</v>
      </c>
      <c r="K34" s="1162">
        <v>1</v>
      </c>
      <c r="L34" s="1120">
        <f>L24+J34</f>
        <v>2</v>
      </c>
      <c r="M34" s="1121">
        <f t="shared" si="2"/>
        <v>1</v>
      </c>
      <c r="N34" s="1125">
        <v>0</v>
      </c>
      <c r="O34" s="1123" t="s">
        <v>153</v>
      </c>
      <c r="P34" s="1124" t="s">
        <v>154</v>
      </c>
      <c r="Q34" s="758" t="s">
        <v>123</v>
      </c>
      <c r="R34" s="762" t="s">
        <v>41</v>
      </c>
    </row>
    <row r="35" spans="1:18" ht="34.799999999999997">
      <c r="A35" s="207" t="s">
        <v>6</v>
      </c>
      <c r="B35" s="210" t="s">
        <v>113</v>
      </c>
      <c r="C35" s="180">
        <v>4</v>
      </c>
      <c r="D35" s="181" t="s">
        <v>119</v>
      </c>
      <c r="E35" s="182" t="s">
        <v>38</v>
      </c>
      <c r="F35" s="183" t="s">
        <v>115</v>
      </c>
      <c r="G35" s="182" t="s">
        <v>116</v>
      </c>
      <c r="H35" s="343">
        <v>9</v>
      </c>
      <c r="I35" s="260">
        <v>45839</v>
      </c>
      <c r="J35" s="1118">
        <v>0</v>
      </c>
      <c r="K35" s="1162">
        <v>1</v>
      </c>
      <c r="L35" s="1120">
        <f>L25+J35</f>
        <v>2</v>
      </c>
      <c r="M35" s="1121">
        <f t="shared" si="2"/>
        <v>1</v>
      </c>
      <c r="N35" s="1125">
        <v>0</v>
      </c>
      <c r="O35" s="761" t="s">
        <v>155</v>
      </c>
      <c r="P35" s="1124" t="s">
        <v>154</v>
      </c>
      <c r="Q35" s="758" t="s">
        <v>123</v>
      </c>
      <c r="R35" s="762" t="s">
        <v>41</v>
      </c>
    </row>
    <row r="36" spans="1:18" ht="17.399999999999999">
      <c r="A36" s="207" t="s">
        <v>6</v>
      </c>
      <c r="B36" s="210" t="s">
        <v>113</v>
      </c>
      <c r="C36" s="180">
        <v>5</v>
      </c>
      <c r="D36" s="189" t="s">
        <v>120</v>
      </c>
      <c r="E36" s="182" t="s">
        <v>38</v>
      </c>
      <c r="F36" s="183" t="s">
        <v>115</v>
      </c>
      <c r="G36" s="182" t="s">
        <v>116</v>
      </c>
      <c r="H36" s="343">
        <v>6</v>
      </c>
      <c r="I36" s="260">
        <v>45839</v>
      </c>
      <c r="J36" s="1118">
        <v>1</v>
      </c>
      <c r="K36" s="1119">
        <v>0</v>
      </c>
      <c r="L36" s="1120">
        <f>L26+J36</f>
        <v>2</v>
      </c>
      <c r="M36" s="1121">
        <f t="shared" si="2"/>
        <v>3</v>
      </c>
      <c r="N36" s="1125">
        <v>0</v>
      </c>
      <c r="O36" s="761" t="s">
        <v>41</v>
      </c>
      <c r="P36" s="762" t="s">
        <v>41</v>
      </c>
      <c r="Q36" s="758" t="s">
        <v>41</v>
      </c>
      <c r="R36" s="762" t="s">
        <v>41</v>
      </c>
    </row>
    <row r="37" spans="1:18" ht="34.799999999999997">
      <c r="A37" s="207" t="s">
        <v>6</v>
      </c>
      <c r="B37" s="210" t="s">
        <v>113</v>
      </c>
      <c r="C37" s="180">
        <v>6</v>
      </c>
      <c r="D37" s="181" t="s">
        <v>125</v>
      </c>
      <c r="E37" s="182" t="s">
        <v>38</v>
      </c>
      <c r="F37" s="183" t="s">
        <v>156</v>
      </c>
      <c r="G37" s="182" t="s">
        <v>127</v>
      </c>
      <c r="H37" s="344">
        <v>6</v>
      </c>
      <c r="I37" s="260">
        <v>45839</v>
      </c>
      <c r="J37" s="1118">
        <v>1</v>
      </c>
      <c r="K37" s="1119">
        <v>0</v>
      </c>
      <c r="L37" s="1120">
        <f>L27+J37</f>
        <v>2</v>
      </c>
      <c r="M37" s="1121">
        <f t="shared" si="2"/>
        <v>3</v>
      </c>
      <c r="N37" s="1125">
        <v>0</v>
      </c>
      <c r="O37" s="761" t="s">
        <v>41</v>
      </c>
      <c r="P37" s="762" t="s">
        <v>41</v>
      </c>
      <c r="Q37" s="758" t="s">
        <v>41</v>
      </c>
      <c r="R37" s="762" t="s">
        <v>41</v>
      </c>
    </row>
    <row r="38" spans="1:18" ht="17.399999999999999">
      <c r="A38" s="207" t="s">
        <v>6</v>
      </c>
      <c r="B38" s="211" t="s">
        <v>113</v>
      </c>
      <c r="C38" s="190">
        <v>7</v>
      </c>
      <c r="D38" s="191" t="s">
        <v>129</v>
      </c>
      <c r="E38" s="192" t="s">
        <v>38</v>
      </c>
      <c r="F38" s="193" t="s">
        <v>126</v>
      </c>
      <c r="G38" s="192" t="s">
        <v>130</v>
      </c>
      <c r="H38" s="345">
        <v>5</v>
      </c>
      <c r="I38" s="260">
        <v>45839</v>
      </c>
      <c r="J38" s="1151">
        <v>0</v>
      </c>
      <c r="K38" s="1152">
        <v>0</v>
      </c>
      <c r="L38" s="1153">
        <f>L28+J38</f>
        <v>1</v>
      </c>
      <c r="M38" s="1154">
        <f t="shared" si="2"/>
        <v>0</v>
      </c>
      <c r="N38" s="1336">
        <v>0</v>
      </c>
      <c r="O38" s="1156" t="s">
        <v>41</v>
      </c>
      <c r="P38" s="1157" t="s">
        <v>41</v>
      </c>
      <c r="Q38" s="1158" t="s">
        <v>41</v>
      </c>
      <c r="R38" s="1157" t="s">
        <v>41</v>
      </c>
    </row>
    <row r="39" spans="1:18" ht="34.799999999999997">
      <c r="A39" s="207" t="s">
        <v>6</v>
      </c>
      <c r="B39" s="212" t="s">
        <v>131</v>
      </c>
      <c r="C39" s="194">
        <v>8</v>
      </c>
      <c r="D39" s="195" t="s">
        <v>132</v>
      </c>
      <c r="E39" s="196" t="s">
        <v>133</v>
      </c>
      <c r="F39" s="197" t="s">
        <v>134</v>
      </c>
      <c r="G39" s="196" t="s">
        <v>135</v>
      </c>
      <c r="H39" s="346">
        <v>5.6228257045651073E-3</v>
      </c>
      <c r="I39" s="260">
        <v>45839</v>
      </c>
      <c r="J39" s="1145">
        <v>5.545056069092268E-3</v>
      </c>
      <c r="K39" s="1321">
        <v>4.9511746578715099E-3</v>
      </c>
      <c r="L39" s="1147">
        <v>5.7000000000000002E-3</v>
      </c>
      <c r="M39" s="1148">
        <v>5.0662797807861631E-3</v>
      </c>
      <c r="N39" s="1149">
        <f>J39*90%</f>
        <v>4.9905504621830417E-3</v>
      </c>
      <c r="O39" s="1337" t="s">
        <v>157</v>
      </c>
      <c r="P39" s="757" t="s">
        <v>41</v>
      </c>
      <c r="Q39" s="753" t="s">
        <v>41</v>
      </c>
      <c r="R39" s="757" t="s">
        <v>41</v>
      </c>
    </row>
    <row r="40" spans="1:18" ht="34.799999999999997">
      <c r="A40" s="207" t="s">
        <v>6</v>
      </c>
      <c r="B40" s="210" t="s">
        <v>131</v>
      </c>
      <c r="C40" s="180">
        <v>9</v>
      </c>
      <c r="D40" s="181" t="s">
        <v>132</v>
      </c>
      <c r="E40" s="182" t="s">
        <v>136</v>
      </c>
      <c r="F40" s="183" t="s">
        <v>134</v>
      </c>
      <c r="G40" s="182" t="s">
        <v>135</v>
      </c>
      <c r="H40" s="356">
        <v>162.9</v>
      </c>
      <c r="I40" s="260">
        <v>45839</v>
      </c>
      <c r="J40" s="1138">
        <f>13.46+1.1011339975315</f>
        <v>14.561133997531501</v>
      </c>
      <c r="K40" s="1346">
        <f>13063704.3917/1000000</f>
        <v>13.0637043917</v>
      </c>
      <c r="L40" s="1120">
        <v>54.449999999999996</v>
      </c>
      <c r="M40" s="1121">
        <v>52.16</v>
      </c>
      <c r="N40" s="1141">
        <f>J40*90%</f>
        <v>13.105020597778351</v>
      </c>
      <c r="O40" s="1123" t="s">
        <v>158</v>
      </c>
      <c r="P40" s="1080" t="s">
        <v>41</v>
      </c>
      <c r="Q40" s="758" t="s">
        <v>41</v>
      </c>
      <c r="R40" s="762" t="s">
        <v>41</v>
      </c>
    </row>
    <row r="41" spans="1:18" ht="17.399999999999999">
      <c r="A41" s="208" t="s">
        <v>6</v>
      </c>
      <c r="B41" s="213" t="s">
        <v>131</v>
      </c>
      <c r="C41" s="198">
        <v>10</v>
      </c>
      <c r="D41" s="199" t="s">
        <v>137</v>
      </c>
      <c r="E41" s="200" t="s">
        <v>136</v>
      </c>
      <c r="F41" s="201" t="s">
        <v>138</v>
      </c>
      <c r="G41" s="200" t="s">
        <v>135</v>
      </c>
      <c r="H41" s="349">
        <v>231.81399999999999</v>
      </c>
      <c r="I41" s="261">
        <v>45839</v>
      </c>
      <c r="J41" s="1348">
        <v>5.17</v>
      </c>
      <c r="K41" s="1298">
        <v>9.14</v>
      </c>
      <c r="L41" s="1349">
        <f>L31+J41</f>
        <v>33.29</v>
      </c>
      <c r="M41" s="1350">
        <f>M31+K41</f>
        <v>30.34</v>
      </c>
      <c r="N41" s="1343"/>
      <c r="O41" s="853" t="s">
        <v>41</v>
      </c>
      <c r="P41" s="854" t="s">
        <v>41</v>
      </c>
      <c r="Q41" s="852" t="s">
        <v>41</v>
      </c>
      <c r="R41" s="854" t="s">
        <v>41</v>
      </c>
    </row>
    <row r="42" spans="1:18" ht="17.399999999999999">
      <c r="A42" s="227" t="s">
        <v>6</v>
      </c>
      <c r="B42" s="212" t="s">
        <v>113</v>
      </c>
      <c r="C42" s="194">
        <v>1</v>
      </c>
      <c r="D42" s="195" t="s">
        <v>114</v>
      </c>
      <c r="E42" s="196" t="s">
        <v>38</v>
      </c>
      <c r="F42" s="197" t="s">
        <v>115</v>
      </c>
      <c r="G42" s="196" t="s">
        <v>116</v>
      </c>
      <c r="H42" s="352">
        <v>0</v>
      </c>
      <c r="I42" s="262">
        <v>45870</v>
      </c>
      <c r="J42" s="1128">
        <v>0</v>
      </c>
      <c r="K42" s="1129">
        <v>0</v>
      </c>
      <c r="L42" s="1130">
        <f>L32+J42</f>
        <v>0</v>
      </c>
      <c r="M42" s="1131">
        <f>M32+K42</f>
        <v>0</v>
      </c>
      <c r="N42" s="1132">
        <v>0</v>
      </c>
      <c r="O42" s="756" t="s">
        <v>41</v>
      </c>
      <c r="P42" s="757" t="s">
        <v>41</v>
      </c>
      <c r="Q42" s="753" t="s">
        <v>41</v>
      </c>
      <c r="R42" s="757" t="s">
        <v>41</v>
      </c>
    </row>
    <row r="43" spans="1:18" ht="34.799999999999997">
      <c r="A43" s="207" t="s">
        <v>6</v>
      </c>
      <c r="B43" s="210" t="s">
        <v>113</v>
      </c>
      <c r="C43" s="180">
        <v>2</v>
      </c>
      <c r="D43" s="189" t="s">
        <v>117</v>
      </c>
      <c r="E43" s="182" t="s">
        <v>38</v>
      </c>
      <c r="F43" s="183" t="s">
        <v>115</v>
      </c>
      <c r="G43" s="182" t="s">
        <v>116</v>
      </c>
      <c r="H43" s="342">
        <v>0</v>
      </c>
      <c r="I43" s="260">
        <v>45870</v>
      </c>
      <c r="J43" s="1126">
        <v>0</v>
      </c>
      <c r="K43" s="1119">
        <v>0</v>
      </c>
      <c r="L43" s="1127">
        <v>0</v>
      </c>
      <c r="M43" s="1121">
        <f t="shared" ref="M43:M48" si="3">M33+K43</f>
        <v>1</v>
      </c>
      <c r="N43" s="1125">
        <v>0</v>
      </c>
      <c r="O43" s="1123" t="s">
        <v>159</v>
      </c>
      <c r="P43" s="1124" t="s">
        <v>160</v>
      </c>
      <c r="Q43" s="1161" t="s">
        <v>161</v>
      </c>
      <c r="R43" s="1351" t="s">
        <v>162</v>
      </c>
    </row>
    <row r="44" spans="1:18" ht="69.599999999999994">
      <c r="A44" s="207" t="s">
        <v>6</v>
      </c>
      <c r="B44" s="210" t="s">
        <v>113</v>
      </c>
      <c r="C44" s="180">
        <v>3</v>
      </c>
      <c r="D44" s="181" t="s">
        <v>118</v>
      </c>
      <c r="E44" s="182" t="s">
        <v>38</v>
      </c>
      <c r="F44" s="183" t="s">
        <v>115</v>
      </c>
      <c r="G44" s="182" t="s">
        <v>116</v>
      </c>
      <c r="H44" s="343">
        <v>4</v>
      </c>
      <c r="I44" s="260">
        <v>45870</v>
      </c>
      <c r="J44" s="1118">
        <v>1</v>
      </c>
      <c r="K44" s="1162">
        <v>1</v>
      </c>
      <c r="L44" s="1120">
        <f>L34+J44</f>
        <v>3</v>
      </c>
      <c r="M44" s="1121">
        <f t="shared" si="3"/>
        <v>2</v>
      </c>
      <c r="N44" s="1125">
        <v>0</v>
      </c>
      <c r="O44" s="1123" t="s">
        <v>163</v>
      </c>
      <c r="P44" s="1124" t="s">
        <v>164</v>
      </c>
      <c r="Q44" s="758" t="s">
        <v>165</v>
      </c>
      <c r="R44" s="762" t="s">
        <v>166</v>
      </c>
    </row>
    <row r="45" spans="1:18" ht="121.8">
      <c r="A45" s="207" t="s">
        <v>6</v>
      </c>
      <c r="B45" s="210" t="s">
        <v>113</v>
      </c>
      <c r="C45" s="180">
        <v>4</v>
      </c>
      <c r="D45" s="181" t="s">
        <v>119</v>
      </c>
      <c r="E45" s="182" t="s">
        <v>38</v>
      </c>
      <c r="F45" s="183" t="s">
        <v>115</v>
      </c>
      <c r="G45" s="182" t="s">
        <v>116</v>
      </c>
      <c r="H45" s="343">
        <v>9</v>
      </c>
      <c r="I45" s="260">
        <v>45870</v>
      </c>
      <c r="J45" s="1118">
        <v>2</v>
      </c>
      <c r="K45" s="1162">
        <v>2</v>
      </c>
      <c r="L45" s="1120">
        <f>L35+J45</f>
        <v>4</v>
      </c>
      <c r="M45" s="1121">
        <f t="shared" si="3"/>
        <v>3</v>
      </c>
      <c r="N45" s="1125">
        <v>0</v>
      </c>
      <c r="O45" s="1123" t="s">
        <v>167</v>
      </c>
      <c r="P45" s="1124" t="s">
        <v>164</v>
      </c>
      <c r="Q45" s="758" t="s">
        <v>165</v>
      </c>
      <c r="R45" s="762" t="s">
        <v>166</v>
      </c>
    </row>
    <row r="46" spans="1:18" ht="52.2">
      <c r="A46" s="207" t="s">
        <v>6</v>
      </c>
      <c r="B46" s="210" t="s">
        <v>113</v>
      </c>
      <c r="C46" s="180">
        <v>5</v>
      </c>
      <c r="D46" s="189" t="s">
        <v>120</v>
      </c>
      <c r="E46" s="182" t="s">
        <v>38</v>
      </c>
      <c r="F46" s="183" t="s">
        <v>115</v>
      </c>
      <c r="G46" s="182" t="s">
        <v>116</v>
      </c>
      <c r="H46" s="343">
        <v>6</v>
      </c>
      <c r="I46" s="260">
        <v>45870</v>
      </c>
      <c r="J46" s="1118">
        <v>0</v>
      </c>
      <c r="K46" s="1162">
        <v>1</v>
      </c>
      <c r="L46" s="1120">
        <f>L36+J46</f>
        <v>2</v>
      </c>
      <c r="M46" s="1121">
        <f t="shared" si="3"/>
        <v>4</v>
      </c>
      <c r="N46" s="1125">
        <v>0</v>
      </c>
      <c r="O46" s="1123" t="s">
        <v>168</v>
      </c>
      <c r="P46" s="1124" t="s">
        <v>169</v>
      </c>
      <c r="Q46" s="1161" t="s">
        <v>170</v>
      </c>
      <c r="R46" s="762" t="s">
        <v>41</v>
      </c>
    </row>
    <row r="47" spans="1:18" ht="34.799999999999997">
      <c r="A47" s="207" t="s">
        <v>6</v>
      </c>
      <c r="B47" s="210" t="s">
        <v>113</v>
      </c>
      <c r="C47" s="180">
        <v>6</v>
      </c>
      <c r="D47" s="181" t="s">
        <v>125</v>
      </c>
      <c r="E47" s="182" t="s">
        <v>38</v>
      </c>
      <c r="F47" s="183" t="s">
        <v>156</v>
      </c>
      <c r="G47" s="182" t="s">
        <v>127</v>
      </c>
      <c r="H47" s="344">
        <v>6</v>
      </c>
      <c r="I47" s="260">
        <v>45870</v>
      </c>
      <c r="J47" s="1118">
        <v>0</v>
      </c>
      <c r="K47" s="1162">
        <v>3</v>
      </c>
      <c r="L47" s="1120">
        <f>L37+J47</f>
        <v>2</v>
      </c>
      <c r="M47" s="1121">
        <f t="shared" si="3"/>
        <v>6</v>
      </c>
      <c r="N47" s="1125">
        <v>0</v>
      </c>
      <c r="O47" s="761" t="s">
        <v>171</v>
      </c>
      <c r="P47" s="1124" t="s">
        <v>172</v>
      </c>
      <c r="Q47" s="758"/>
      <c r="R47" s="762"/>
    </row>
    <row r="48" spans="1:18" ht="17.399999999999999">
      <c r="A48" s="207" t="s">
        <v>6</v>
      </c>
      <c r="B48" s="211" t="s">
        <v>113</v>
      </c>
      <c r="C48" s="190">
        <v>7</v>
      </c>
      <c r="D48" s="191" t="s">
        <v>129</v>
      </c>
      <c r="E48" s="192" t="s">
        <v>38</v>
      </c>
      <c r="F48" s="193" t="s">
        <v>126</v>
      </c>
      <c r="G48" s="192" t="s">
        <v>130</v>
      </c>
      <c r="H48" s="345">
        <v>5</v>
      </c>
      <c r="I48" s="260">
        <v>45870</v>
      </c>
      <c r="J48" s="1151">
        <v>1</v>
      </c>
      <c r="K48" s="1152">
        <v>0</v>
      </c>
      <c r="L48" s="1153">
        <f>L38+J48</f>
        <v>2</v>
      </c>
      <c r="M48" s="1154">
        <f t="shared" si="3"/>
        <v>0</v>
      </c>
      <c r="N48" s="1336">
        <v>0</v>
      </c>
      <c r="O48" s="1156" t="s">
        <v>41</v>
      </c>
      <c r="P48" s="1157" t="s">
        <v>41</v>
      </c>
      <c r="Q48" s="1158" t="s">
        <v>41</v>
      </c>
      <c r="R48" s="1157" t="s">
        <v>41</v>
      </c>
    </row>
    <row r="49" spans="1:18" ht="34.799999999999997">
      <c r="A49" s="207" t="s">
        <v>6</v>
      </c>
      <c r="B49" s="212" t="s">
        <v>131</v>
      </c>
      <c r="C49" s="194">
        <v>8</v>
      </c>
      <c r="D49" s="195" t="s">
        <v>132</v>
      </c>
      <c r="E49" s="196" t="s">
        <v>133</v>
      </c>
      <c r="F49" s="197" t="s">
        <v>134</v>
      </c>
      <c r="G49" s="196" t="s">
        <v>135</v>
      </c>
      <c r="H49" s="346">
        <v>5.6228257045651073E-3</v>
      </c>
      <c r="I49" s="260">
        <v>45870</v>
      </c>
      <c r="J49" s="1145">
        <v>5.5181784622687201E-3</v>
      </c>
      <c r="K49" s="1352">
        <v>6.3445382305509397E-3</v>
      </c>
      <c r="L49" s="1147">
        <v>5.6600000000000001E-3</v>
      </c>
      <c r="M49" s="1353">
        <v>5.3181505490856526E-3</v>
      </c>
      <c r="N49" s="1149">
        <f>J49*101%</f>
        <v>5.5733602468914078E-3</v>
      </c>
      <c r="O49" s="1337" t="s">
        <v>173</v>
      </c>
      <c r="P49" s="757" t="s">
        <v>41</v>
      </c>
      <c r="Q49" s="753" t="s">
        <v>41</v>
      </c>
      <c r="R49" s="757" t="s">
        <v>41</v>
      </c>
    </row>
    <row r="50" spans="1:18" ht="278.39999999999998">
      <c r="A50" s="207" t="s">
        <v>6</v>
      </c>
      <c r="B50" s="210" t="s">
        <v>131</v>
      </c>
      <c r="C50" s="180">
        <v>9</v>
      </c>
      <c r="D50" s="181" t="s">
        <v>132</v>
      </c>
      <c r="E50" s="182" t="s">
        <v>136</v>
      </c>
      <c r="F50" s="183" t="s">
        <v>134</v>
      </c>
      <c r="G50" s="182" t="s">
        <v>135</v>
      </c>
      <c r="H50" s="356">
        <v>162.9</v>
      </c>
      <c r="I50" s="260">
        <v>45870</v>
      </c>
      <c r="J50" s="1138">
        <v>14.03</v>
      </c>
      <c r="K50" s="1139">
        <v>15.265475983499998</v>
      </c>
      <c r="L50" s="1120">
        <v>68.47999999999999</v>
      </c>
      <c r="M50" s="1121">
        <v>67.432463179099997</v>
      </c>
      <c r="N50" s="1141">
        <f>J50*110%</f>
        <v>15.433</v>
      </c>
      <c r="O50" s="1142" t="s">
        <v>174</v>
      </c>
      <c r="P50" s="762" t="s">
        <v>41</v>
      </c>
      <c r="Q50" s="758" t="s">
        <v>41</v>
      </c>
      <c r="R50" s="762" t="s">
        <v>41</v>
      </c>
    </row>
    <row r="51" spans="1:18" ht="17.399999999999999">
      <c r="A51" s="207" t="s">
        <v>6</v>
      </c>
      <c r="B51" s="210" t="s">
        <v>131</v>
      </c>
      <c r="C51" s="216">
        <v>10</v>
      </c>
      <c r="D51" s="217" t="s">
        <v>137</v>
      </c>
      <c r="E51" s="218" t="s">
        <v>136</v>
      </c>
      <c r="F51" s="219" t="s">
        <v>138</v>
      </c>
      <c r="G51" s="218" t="s">
        <v>135</v>
      </c>
      <c r="H51" s="347">
        <v>231.81399999999999</v>
      </c>
      <c r="I51" s="260">
        <v>45870</v>
      </c>
      <c r="J51" s="1133">
        <v>5.27</v>
      </c>
      <c r="K51" s="1134">
        <v>9.67</v>
      </c>
      <c r="L51" s="1135">
        <f>L41+J51</f>
        <v>38.56</v>
      </c>
      <c r="M51" s="1136">
        <f>M41+L51</f>
        <v>68.900000000000006</v>
      </c>
      <c r="N51" s="1137"/>
      <c r="O51" s="794"/>
      <c r="P51" s="795"/>
      <c r="Q51" s="790"/>
      <c r="R51" s="795"/>
    </row>
    <row r="52" spans="1:18" ht="17.399999999999999">
      <c r="A52" s="220" t="s">
        <v>6</v>
      </c>
      <c r="B52" s="221" t="s">
        <v>113</v>
      </c>
      <c r="C52" s="222">
        <v>1</v>
      </c>
      <c r="D52" s="223" t="s">
        <v>114</v>
      </c>
      <c r="E52" s="224" t="s">
        <v>38</v>
      </c>
      <c r="F52" s="225" t="s">
        <v>115</v>
      </c>
      <c r="G52" s="224" t="s">
        <v>116</v>
      </c>
      <c r="H52" s="348">
        <v>0</v>
      </c>
      <c r="I52" s="262">
        <v>45901</v>
      </c>
      <c r="J52" s="1167">
        <v>0</v>
      </c>
      <c r="K52" s="1292">
        <v>0</v>
      </c>
      <c r="L52" s="1169">
        <f>L42+J52</f>
        <v>0</v>
      </c>
      <c r="M52" s="1170">
        <f>M42+K52</f>
        <v>0</v>
      </c>
      <c r="N52" s="1333">
        <v>0</v>
      </c>
      <c r="O52" s="850" t="s">
        <v>41</v>
      </c>
      <c r="P52" s="851" t="s">
        <v>41</v>
      </c>
      <c r="Q52" s="849" t="s">
        <v>41</v>
      </c>
      <c r="R52" s="851" t="s">
        <v>41</v>
      </c>
    </row>
    <row r="53" spans="1:18" ht="17.399999999999999">
      <c r="A53" s="207" t="s">
        <v>6</v>
      </c>
      <c r="B53" s="210" t="s">
        <v>113</v>
      </c>
      <c r="C53" s="180">
        <v>2</v>
      </c>
      <c r="D53" s="189" t="s">
        <v>117</v>
      </c>
      <c r="E53" s="182" t="s">
        <v>38</v>
      </c>
      <c r="F53" s="183" t="s">
        <v>115</v>
      </c>
      <c r="G53" s="182" t="s">
        <v>116</v>
      </c>
      <c r="H53" s="342">
        <v>0</v>
      </c>
      <c r="I53" s="260">
        <v>45901</v>
      </c>
      <c r="J53" s="1126">
        <v>0</v>
      </c>
      <c r="K53" s="1119">
        <v>0</v>
      </c>
      <c r="L53" s="1127">
        <v>0</v>
      </c>
      <c r="M53" s="1121">
        <f t="shared" ref="M53:M58" si="4">M43+K53</f>
        <v>1</v>
      </c>
      <c r="N53" s="1125">
        <v>0</v>
      </c>
      <c r="O53" s="761" t="s">
        <v>41</v>
      </c>
      <c r="P53" s="762" t="s">
        <v>41</v>
      </c>
      <c r="Q53" s="758" t="s">
        <v>41</v>
      </c>
      <c r="R53" s="762" t="s">
        <v>41</v>
      </c>
    </row>
    <row r="54" spans="1:18" ht="34.799999999999997">
      <c r="A54" s="207" t="s">
        <v>6</v>
      </c>
      <c r="B54" s="210" t="s">
        <v>113</v>
      </c>
      <c r="C54" s="180">
        <v>3</v>
      </c>
      <c r="D54" s="181" t="s">
        <v>118</v>
      </c>
      <c r="E54" s="182" t="s">
        <v>38</v>
      </c>
      <c r="F54" s="183" t="s">
        <v>115</v>
      </c>
      <c r="G54" s="182" t="s">
        <v>116</v>
      </c>
      <c r="H54" s="343">
        <v>4</v>
      </c>
      <c r="I54" s="260">
        <v>45901</v>
      </c>
      <c r="J54" s="1118">
        <v>0</v>
      </c>
      <c r="K54" s="1119">
        <v>0</v>
      </c>
      <c r="L54" s="1120">
        <f>L44+J54</f>
        <v>3</v>
      </c>
      <c r="M54" s="1121">
        <f t="shared" si="4"/>
        <v>2</v>
      </c>
      <c r="N54" s="1125">
        <v>0</v>
      </c>
      <c r="O54" s="761" t="s">
        <v>41</v>
      </c>
      <c r="P54" s="762" t="s">
        <v>41</v>
      </c>
      <c r="Q54" s="758" t="s">
        <v>41</v>
      </c>
      <c r="R54" s="762" t="s">
        <v>41</v>
      </c>
    </row>
    <row r="55" spans="1:18" ht="34.799999999999997">
      <c r="A55" s="207" t="s">
        <v>6</v>
      </c>
      <c r="B55" s="210" t="s">
        <v>113</v>
      </c>
      <c r="C55" s="180">
        <v>4</v>
      </c>
      <c r="D55" s="181" t="s">
        <v>119</v>
      </c>
      <c r="E55" s="182" t="s">
        <v>38</v>
      </c>
      <c r="F55" s="183" t="s">
        <v>115</v>
      </c>
      <c r="G55" s="182" t="s">
        <v>116</v>
      </c>
      <c r="H55" s="343">
        <v>9</v>
      </c>
      <c r="I55" s="260">
        <v>45901</v>
      </c>
      <c r="J55" s="1118">
        <v>1</v>
      </c>
      <c r="K55" s="1119">
        <v>0</v>
      </c>
      <c r="L55" s="1120">
        <f>L45+J55</f>
        <v>5</v>
      </c>
      <c r="M55" s="1121">
        <f t="shared" si="4"/>
        <v>3</v>
      </c>
      <c r="N55" s="1125">
        <v>0</v>
      </c>
      <c r="O55" s="761" t="s">
        <v>41</v>
      </c>
      <c r="P55" s="762" t="s">
        <v>41</v>
      </c>
      <c r="Q55" s="758" t="s">
        <v>41</v>
      </c>
      <c r="R55" s="762" t="s">
        <v>41</v>
      </c>
    </row>
    <row r="56" spans="1:18" ht="156.6">
      <c r="A56" s="207" t="s">
        <v>6</v>
      </c>
      <c r="B56" s="210" t="s">
        <v>113</v>
      </c>
      <c r="C56" s="180">
        <v>5</v>
      </c>
      <c r="D56" s="189" t="s">
        <v>120</v>
      </c>
      <c r="E56" s="182" t="s">
        <v>38</v>
      </c>
      <c r="F56" s="183" t="s">
        <v>115</v>
      </c>
      <c r="G56" s="182" t="s">
        <v>116</v>
      </c>
      <c r="H56" s="343">
        <v>6</v>
      </c>
      <c r="I56" s="260">
        <v>45901</v>
      </c>
      <c r="J56" s="1118">
        <v>1</v>
      </c>
      <c r="K56" s="1162">
        <v>2</v>
      </c>
      <c r="L56" s="1120">
        <f>L46+J56</f>
        <v>3</v>
      </c>
      <c r="M56" s="1121">
        <f t="shared" si="4"/>
        <v>6</v>
      </c>
      <c r="N56" s="1125">
        <v>0</v>
      </c>
      <c r="O56" s="1123" t="s">
        <v>175</v>
      </c>
      <c r="P56" s="1124" t="s">
        <v>176</v>
      </c>
      <c r="Q56" s="1354" t="s">
        <v>177</v>
      </c>
      <c r="R56" s="1355" t="s">
        <v>178</v>
      </c>
    </row>
    <row r="57" spans="1:18" ht="34.799999999999997">
      <c r="A57" s="207" t="s">
        <v>6</v>
      </c>
      <c r="B57" s="210" t="s">
        <v>113</v>
      </c>
      <c r="C57" s="180">
        <v>6</v>
      </c>
      <c r="D57" s="181" t="s">
        <v>125</v>
      </c>
      <c r="E57" s="182" t="s">
        <v>38</v>
      </c>
      <c r="F57" s="183" t="s">
        <v>156</v>
      </c>
      <c r="G57" s="182" t="s">
        <v>127</v>
      </c>
      <c r="H57" s="344">
        <v>6</v>
      </c>
      <c r="I57" s="260">
        <v>45901</v>
      </c>
      <c r="J57" s="1118">
        <v>1</v>
      </c>
      <c r="K57" s="1595">
        <v>1</v>
      </c>
      <c r="L57" s="1120">
        <f>L47+J57</f>
        <v>3</v>
      </c>
      <c r="M57" s="1121">
        <f t="shared" si="4"/>
        <v>7</v>
      </c>
      <c r="N57" s="1125">
        <v>0</v>
      </c>
      <c r="O57" s="761" t="s">
        <v>41</v>
      </c>
      <c r="P57" s="762" t="s">
        <v>41</v>
      </c>
      <c r="Q57" s="758" t="s">
        <v>41</v>
      </c>
      <c r="R57" s="762" t="s">
        <v>41</v>
      </c>
    </row>
    <row r="58" spans="1:18" ht="17.399999999999999">
      <c r="A58" s="207" t="s">
        <v>6</v>
      </c>
      <c r="B58" s="211" t="s">
        <v>113</v>
      </c>
      <c r="C58" s="190">
        <v>7</v>
      </c>
      <c r="D58" s="191" t="s">
        <v>129</v>
      </c>
      <c r="E58" s="192" t="s">
        <v>38</v>
      </c>
      <c r="F58" s="193" t="s">
        <v>126</v>
      </c>
      <c r="G58" s="192" t="s">
        <v>130</v>
      </c>
      <c r="H58" s="345">
        <v>5</v>
      </c>
      <c r="I58" s="260">
        <v>45901</v>
      </c>
      <c r="J58" s="1151">
        <v>0</v>
      </c>
      <c r="K58" s="1152">
        <v>0</v>
      </c>
      <c r="L58" s="1153">
        <f>L48+J58</f>
        <v>2</v>
      </c>
      <c r="M58" s="1154">
        <f t="shared" si="4"/>
        <v>0</v>
      </c>
      <c r="N58" s="1336">
        <v>0</v>
      </c>
      <c r="O58" s="1156" t="s">
        <v>41</v>
      </c>
      <c r="P58" s="1157" t="s">
        <v>41</v>
      </c>
      <c r="Q58" s="1158" t="s">
        <v>41</v>
      </c>
      <c r="R58" s="1157" t="s">
        <v>41</v>
      </c>
    </row>
    <row r="59" spans="1:18" ht="34.799999999999997">
      <c r="A59" s="207" t="s">
        <v>6</v>
      </c>
      <c r="B59" s="212" t="s">
        <v>131</v>
      </c>
      <c r="C59" s="194">
        <v>8</v>
      </c>
      <c r="D59" s="195" t="s">
        <v>132</v>
      </c>
      <c r="E59" s="196" t="s">
        <v>133</v>
      </c>
      <c r="F59" s="197" t="s">
        <v>134</v>
      </c>
      <c r="G59" s="196" t="s">
        <v>135</v>
      </c>
      <c r="H59" s="346">
        <v>5.6228257045651073E-3</v>
      </c>
      <c r="I59" s="260">
        <v>45901</v>
      </c>
      <c r="J59" s="1145">
        <v>5.4872326324687656E-3</v>
      </c>
      <c r="K59" s="1146">
        <v>5.5807653817929763E-3</v>
      </c>
      <c r="L59" s="1147">
        <v>5.6299999999999996E-3</v>
      </c>
      <c r="M59" s="1148">
        <v>5.3171500731646615E-3</v>
      </c>
      <c r="N59" s="1149"/>
      <c r="O59" s="1337" t="s">
        <v>179</v>
      </c>
      <c r="P59" s="757" t="s">
        <v>41</v>
      </c>
      <c r="Q59" s="753" t="s">
        <v>41</v>
      </c>
      <c r="R59" s="757" t="s">
        <v>41</v>
      </c>
    </row>
    <row r="60" spans="1:18" ht="409.6">
      <c r="A60" s="207" t="s">
        <v>6</v>
      </c>
      <c r="B60" s="210" t="s">
        <v>131</v>
      </c>
      <c r="C60" s="180">
        <v>9</v>
      </c>
      <c r="D60" s="181" t="s">
        <v>132</v>
      </c>
      <c r="E60" s="182" t="s">
        <v>136</v>
      </c>
      <c r="F60" s="183" t="s">
        <v>134</v>
      </c>
      <c r="G60" s="182" t="s">
        <v>135</v>
      </c>
      <c r="H60" s="356">
        <v>162.9</v>
      </c>
      <c r="I60" s="260">
        <v>45901</v>
      </c>
      <c r="J60" s="1138">
        <v>15.6225504770785</v>
      </c>
      <c r="K60" s="1139">
        <v>15.9442524005</v>
      </c>
      <c r="L60" s="1140">
        <v>84.102550477078495</v>
      </c>
      <c r="M60" s="1121">
        <v>83.376715579600003</v>
      </c>
      <c r="N60" s="1141"/>
      <c r="O60" s="1142" t="s">
        <v>180</v>
      </c>
      <c r="P60" s="1143" t="s">
        <v>181</v>
      </c>
      <c r="Q60" s="661" t="s">
        <v>182</v>
      </c>
      <c r="R60" s="1144" t="s">
        <v>162</v>
      </c>
    </row>
    <row r="61" spans="1:18" ht="17.399999999999999">
      <c r="A61" s="208" t="s">
        <v>6</v>
      </c>
      <c r="B61" s="213" t="s">
        <v>131</v>
      </c>
      <c r="C61" s="198">
        <v>10</v>
      </c>
      <c r="D61" s="199" t="s">
        <v>137</v>
      </c>
      <c r="E61" s="200" t="s">
        <v>136</v>
      </c>
      <c r="F61" s="201" t="s">
        <v>138</v>
      </c>
      <c r="G61" s="200" t="s">
        <v>135</v>
      </c>
      <c r="H61" s="349">
        <v>231.81399999999999</v>
      </c>
      <c r="I61" s="261">
        <v>45901</v>
      </c>
      <c r="J61" s="1348">
        <v>4.76</v>
      </c>
      <c r="K61" s="1298">
        <v>6</v>
      </c>
      <c r="L61" s="1349">
        <f>L51+J61</f>
        <v>43.32</v>
      </c>
      <c r="M61" s="1350">
        <f>M51+K61</f>
        <v>74.900000000000006</v>
      </c>
      <c r="N61" s="1343"/>
      <c r="O61" s="853" t="s">
        <v>41</v>
      </c>
      <c r="P61" s="854" t="s">
        <v>41</v>
      </c>
      <c r="Q61" s="852" t="s">
        <v>41</v>
      </c>
      <c r="R61" s="854" t="s">
        <v>41</v>
      </c>
    </row>
    <row r="62" spans="1:18" ht="17.399999999999999">
      <c r="A62" s="220" t="s">
        <v>6</v>
      </c>
      <c r="B62" s="221" t="s">
        <v>113</v>
      </c>
      <c r="C62" s="222">
        <v>1</v>
      </c>
      <c r="D62" s="223" t="s">
        <v>114</v>
      </c>
      <c r="E62" s="224" t="s">
        <v>38</v>
      </c>
      <c r="F62" s="225" t="s">
        <v>115</v>
      </c>
      <c r="G62" s="224" t="s">
        <v>116</v>
      </c>
      <c r="H62" s="348">
        <v>0</v>
      </c>
      <c r="I62" s="262">
        <v>45931</v>
      </c>
      <c r="J62" s="1167">
        <v>0</v>
      </c>
      <c r="K62" s="1292">
        <v>0</v>
      </c>
      <c r="L62" s="1169">
        <f>L52+J62</f>
        <v>0</v>
      </c>
      <c r="M62" s="1170">
        <f>M52+K62</f>
        <v>0</v>
      </c>
      <c r="N62" s="1333">
        <v>0</v>
      </c>
      <c r="O62" s="850"/>
      <c r="P62" s="851"/>
      <c r="Q62" s="849"/>
      <c r="R62" s="851"/>
    </row>
    <row r="63" spans="1:18" ht="17.399999999999999">
      <c r="A63" s="207" t="s">
        <v>6</v>
      </c>
      <c r="B63" s="210" t="s">
        <v>113</v>
      </c>
      <c r="C63" s="180">
        <v>2</v>
      </c>
      <c r="D63" s="189" t="s">
        <v>117</v>
      </c>
      <c r="E63" s="182" t="s">
        <v>38</v>
      </c>
      <c r="F63" s="183" t="s">
        <v>115</v>
      </c>
      <c r="G63" s="182" t="s">
        <v>116</v>
      </c>
      <c r="H63" s="342">
        <v>0</v>
      </c>
      <c r="I63" s="260">
        <v>45931</v>
      </c>
      <c r="J63" s="1126">
        <v>0</v>
      </c>
      <c r="K63" s="1119">
        <v>0</v>
      </c>
      <c r="L63" s="1127">
        <v>0</v>
      </c>
      <c r="M63" s="1121">
        <f t="shared" ref="M63:M68" si="5">M53+K63</f>
        <v>1</v>
      </c>
      <c r="N63" s="1125">
        <v>0</v>
      </c>
      <c r="O63" s="761"/>
      <c r="P63" s="762"/>
      <c r="Q63" s="758"/>
      <c r="R63" s="762"/>
    </row>
    <row r="64" spans="1:18" ht="34.799999999999997">
      <c r="A64" s="207" t="s">
        <v>6</v>
      </c>
      <c r="B64" s="210" t="s">
        <v>113</v>
      </c>
      <c r="C64" s="180">
        <v>3</v>
      </c>
      <c r="D64" s="181" t="s">
        <v>118</v>
      </c>
      <c r="E64" s="182" t="s">
        <v>38</v>
      </c>
      <c r="F64" s="183" t="s">
        <v>115</v>
      </c>
      <c r="G64" s="182" t="s">
        <v>116</v>
      </c>
      <c r="H64" s="343">
        <v>4</v>
      </c>
      <c r="I64" s="260">
        <v>45931</v>
      </c>
      <c r="J64" s="1118">
        <v>0</v>
      </c>
      <c r="K64" s="1119">
        <v>0</v>
      </c>
      <c r="L64" s="1120">
        <f>L54+J64</f>
        <v>3</v>
      </c>
      <c r="M64" s="1121">
        <f t="shared" si="5"/>
        <v>2</v>
      </c>
      <c r="N64" s="1125">
        <v>0</v>
      </c>
      <c r="O64" s="761"/>
      <c r="P64" s="762"/>
      <c r="Q64" s="758"/>
      <c r="R64" s="762"/>
    </row>
    <row r="65" spans="1:18" ht="34.799999999999997">
      <c r="A65" s="207" t="s">
        <v>6</v>
      </c>
      <c r="B65" s="210" t="s">
        <v>113</v>
      </c>
      <c r="C65" s="180">
        <v>4</v>
      </c>
      <c r="D65" s="181" t="s">
        <v>119</v>
      </c>
      <c r="E65" s="182" t="s">
        <v>38</v>
      </c>
      <c r="F65" s="183" t="s">
        <v>115</v>
      </c>
      <c r="G65" s="182" t="s">
        <v>116</v>
      </c>
      <c r="H65" s="343">
        <v>9</v>
      </c>
      <c r="I65" s="260">
        <v>45931</v>
      </c>
      <c r="J65" s="1118">
        <v>0</v>
      </c>
      <c r="K65" s="1162">
        <v>1</v>
      </c>
      <c r="L65" s="1120">
        <f>L55+J65</f>
        <v>5</v>
      </c>
      <c r="M65" s="1121">
        <f t="shared" si="5"/>
        <v>4</v>
      </c>
      <c r="N65" s="1125">
        <v>0</v>
      </c>
      <c r="O65" s="761" t="s">
        <v>183</v>
      </c>
      <c r="P65" s="762" t="s">
        <v>184</v>
      </c>
      <c r="Q65" s="758" t="s">
        <v>123</v>
      </c>
      <c r="R65" s="762" t="s">
        <v>166</v>
      </c>
    </row>
    <row r="66" spans="1:18" ht="121.8">
      <c r="A66" s="207" t="s">
        <v>6</v>
      </c>
      <c r="B66" s="210" t="s">
        <v>113</v>
      </c>
      <c r="C66" s="180">
        <v>5</v>
      </c>
      <c r="D66" s="189" t="s">
        <v>120</v>
      </c>
      <c r="E66" s="182" t="s">
        <v>38</v>
      </c>
      <c r="F66" s="183" t="s">
        <v>115</v>
      </c>
      <c r="G66" s="182" t="s">
        <v>116</v>
      </c>
      <c r="H66" s="343">
        <v>6</v>
      </c>
      <c r="I66" s="260">
        <v>45931</v>
      </c>
      <c r="J66" s="1118">
        <v>0</v>
      </c>
      <c r="K66" s="1162">
        <v>1</v>
      </c>
      <c r="L66" s="1120">
        <f>L56+J66</f>
        <v>3</v>
      </c>
      <c r="M66" s="1121">
        <f t="shared" si="5"/>
        <v>7</v>
      </c>
      <c r="N66" s="1125">
        <v>0</v>
      </c>
      <c r="O66" s="1123" t="s">
        <v>185</v>
      </c>
      <c r="P66" s="762" t="s">
        <v>182</v>
      </c>
      <c r="Q66" s="758" t="s">
        <v>123</v>
      </c>
      <c r="R66" s="762" t="s">
        <v>166</v>
      </c>
    </row>
    <row r="67" spans="1:18" ht="34.799999999999997">
      <c r="A67" s="207" t="s">
        <v>6</v>
      </c>
      <c r="B67" s="210" t="s">
        <v>113</v>
      </c>
      <c r="C67" s="180">
        <v>6</v>
      </c>
      <c r="D67" s="181" t="s">
        <v>125</v>
      </c>
      <c r="E67" s="182" t="s">
        <v>38</v>
      </c>
      <c r="F67" s="183" t="s">
        <v>156</v>
      </c>
      <c r="G67" s="182" t="s">
        <v>127</v>
      </c>
      <c r="H67" s="344">
        <v>6</v>
      </c>
      <c r="I67" s="260">
        <v>45931</v>
      </c>
      <c r="J67" s="1118">
        <v>0</v>
      </c>
      <c r="K67" s="1119">
        <v>0</v>
      </c>
      <c r="L67" s="1120">
        <f>L57+J67</f>
        <v>3</v>
      </c>
      <c r="M67" s="1121">
        <f t="shared" si="5"/>
        <v>7</v>
      </c>
      <c r="N67" s="1141"/>
      <c r="O67" s="761"/>
      <c r="P67" s="762"/>
      <c r="Q67" s="758"/>
      <c r="R67" s="762"/>
    </row>
    <row r="68" spans="1:18" ht="17.399999999999999">
      <c r="A68" s="207" t="s">
        <v>6</v>
      </c>
      <c r="B68" s="211" t="s">
        <v>113</v>
      </c>
      <c r="C68" s="190">
        <v>7</v>
      </c>
      <c r="D68" s="191" t="s">
        <v>129</v>
      </c>
      <c r="E68" s="192" t="s">
        <v>38</v>
      </c>
      <c r="F68" s="193" t="s">
        <v>126</v>
      </c>
      <c r="G68" s="192" t="s">
        <v>130</v>
      </c>
      <c r="H68" s="345">
        <v>5</v>
      </c>
      <c r="I68" s="260">
        <v>45931</v>
      </c>
      <c r="J68" s="1151">
        <v>1</v>
      </c>
      <c r="K68" s="1152">
        <v>0</v>
      </c>
      <c r="L68" s="1153">
        <f>L58+J68</f>
        <v>3</v>
      </c>
      <c r="M68" s="1154">
        <f t="shared" si="5"/>
        <v>0</v>
      </c>
      <c r="N68" s="1336">
        <v>0</v>
      </c>
      <c r="O68" s="1156"/>
      <c r="P68" s="1157"/>
      <c r="Q68" s="1158"/>
      <c r="R68" s="1157"/>
    </row>
    <row r="69" spans="1:18" ht="34.799999999999997">
      <c r="A69" s="207" t="s">
        <v>6</v>
      </c>
      <c r="B69" s="212" t="s">
        <v>131</v>
      </c>
      <c r="C69" s="194">
        <v>8</v>
      </c>
      <c r="D69" s="195" t="s">
        <v>132</v>
      </c>
      <c r="E69" s="196" t="s">
        <v>133</v>
      </c>
      <c r="F69" s="197" t="s">
        <v>134</v>
      </c>
      <c r="G69" s="196" t="s">
        <v>135</v>
      </c>
      <c r="H69" s="357">
        <v>5.6228257045651073E-3</v>
      </c>
      <c r="I69" s="260">
        <v>45931</v>
      </c>
      <c r="J69" s="1145">
        <v>5.4224593142935843E-3</v>
      </c>
      <c r="K69" s="1146">
        <v>5.6249987359830384E-3</v>
      </c>
      <c r="L69" s="1147">
        <v>5.5999999999999999E-3</v>
      </c>
      <c r="M69" s="1148">
        <v>5.3605957080683818E-3</v>
      </c>
      <c r="N69" s="1149"/>
      <c r="O69" s="1150" t="s">
        <v>186</v>
      </c>
      <c r="P69" s="757" t="s">
        <v>41</v>
      </c>
      <c r="Q69" s="753" t="s">
        <v>41</v>
      </c>
      <c r="R69" s="757" t="s">
        <v>41</v>
      </c>
    </row>
    <row r="70" spans="1:18" ht="156.6">
      <c r="A70" s="207" t="s">
        <v>6</v>
      </c>
      <c r="B70" s="210" t="s">
        <v>131</v>
      </c>
      <c r="C70" s="180">
        <v>9</v>
      </c>
      <c r="D70" s="181" t="s">
        <v>132</v>
      </c>
      <c r="E70" s="182" t="s">
        <v>136</v>
      </c>
      <c r="F70" s="183" t="s">
        <v>134</v>
      </c>
      <c r="G70" s="182" t="s">
        <v>135</v>
      </c>
      <c r="H70" s="358">
        <v>162.9</v>
      </c>
      <c r="I70" s="260">
        <v>45931</v>
      </c>
      <c r="J70" s="1138">
        <f>14041415.252639/1000000</f>
        <v>14.041415252639</v>
      </c>
      <c r="K70" s="1139">
        <f>14493324.5709/1000000</f>
        <v>14.4933245709</v>
      </c>
      <c r="L70" s="1120">
        <f>J70+L60</f>
        <v>98.143965729717493</v>
      </c>
      <c r="M70" s="1121">
        <f>K70+M60</f>
        <v>97.870040150500003</v>
      </c>
      <c r="N70" s="1141"/>
      <c r="O70" s="1142" t="s">
        <v>187</v>
      </c>
      <c r="P70" s="1143" t="s">
        <v>188</v>
      </c>
      <c r="Q70" s="661" t="s">
        <v>189</v>
      </c>
      <c r="R70" s="817" t="s">
        <v>162</v>
      </c>
    </row>
    <row r="71" spans="1:18" ht="69.599999999999994">
      <c r="A71" s="208" t="s">
        <v>6</v>
      </c>
      <c r="B71" s="213" t="s">
        <v>131</v>
      </c>
      <c r="C71" s="198">
        <v>10</v>
      </c>
      <c r="D71" s="199" t="s">
        <v>137</v>
      </c>
      <c r="E71" s="200" t="s">
        <v>136</v>
      </c>
      <c r="F71" s="201" t="s">
        <v>138</v>
      </c>
      <c r="G71" s="200" t="s">
        <v>135</v>
      </c>
      <c r="H71" s="349">
        <v>231.81399999999999</v>
      </c>
      <c r="I71" s="261">
        <v>45931</v>
      </c>
      <c r="J71" s="1348">
        <v>4.46</v>
      </c>
      <c r="K71" s="1298">
        <v>6.27</v>
      </c>
      <c r="L71" s="1349">
        <f>L61+J71</f>
        <v>47.78</v>
      </c>
      <c r="M71" s="1350">
        <f>M61+K71</f>
        <v>81.17</v>
      </c>
      <c r="N71" s="1343"/>
      <c r="O71" s="1356" t="s">
        <v>190</v>
      </c>
      <c r="P71" s="854"/>
      <c r="Q71" s="852"/>
      <c r="R71" s="854"/>
    </row>
    <row r="72" spans="1:18" ht="17.399999999999999">
      <c r="A72" s="220" t="s">
        <v>6</v>
      </c>
      <c r="B72" s="221" t="s">
        <v>113</v>
      </c>
      <c r="C72" s="222">
        <v>1</v>
      </c>
      <c r="D72" s="223" t="s">
        <v>114</v>
      </c>
      <c r="E72" s="224" t="s">
        <v>38</v>
      </c>
      <c r="F72" s="225" t="s">
        <v>115</v>
      </c>
      <c r="G72" s="224" t="s">
        <v>116</v>
      </c>
      <c r="H72" s="348">
        <v>0</v>
      </c>
      <c r="I72" s="262">
        <v>45962</v>
      </c>
      <c r="J72" s="1167">
        <v>0</v>
      </c>
      <c r="K72" s="1292">
        <v>0</v>
      </c>
      <c r="L72" s="1169">
        <f>L62+J72</f>
        <v>0</v>
      </c>
      <c r="M72" s="1170">
        <f>M62+K72</f>
        <v>0</v>
      </c>
      <c r="N72" s="1171"/>
      <c r="O72" s="850"/>
      <c r="P72" s="851"/>
      <c r="Q72" s="849"/>
      <c r="R72" s="851"/>
    </row>
    <row r="73" spans="1:18" ht="17.399999999999999">
      <c r="A73" s="207" t="s">
        <v>6</v>
      </c>
      <c r="B73" s="210" t="s">
        <v>113</v>
      </c>
      <c r="C73" s="180">
        <v>2</v>
      </c>
      <c r="D73" s="189" t="s">
        <v>117</v>
      </c>
      <c r="E73" s="182" t="s">
        <v>38</v>
      </c>
      <c r="F73" s="183" t="s">
        <v>115</v>
      </c>
      <c r="G73" s="182" t="s">
        <v>116</v>
      </c>
      <c r="H73" s="342">
        <v>0</v>
      </c>
      <c r="I73" s="260">
        <v>45962</v>
      </c>
      <c r="J73" s="1126">
        <v>0</v>
      </c>
      <c r="K73" s="1119">
        <v>0</v>
      </c>
      <c r="L73" s="1127">
        <v>0</v>
      </c>
      <c r="M73" s="1121">
        <f t="shared" ref="M73:M78" si="6">M63+K73</f>
        <v>1</v>
      </c>
      <c r="N73" s="1141"/>
      <c r="O73" s="761"/>
      <c r="P73" s="762"/>
      <c r="Q73" s="758"/>
      <c r="R73" s="762"/>
    </row>
    <row r="74" spans="1:18" ht="139.19999999999999">
      <c r="A74" s="207" t="s">
        <v>6</v>
      </c>
      <c r="B74" s="210" t="s">
        <v>113</v>
      </c>
      <c r="C74" s="180">
        <v>3</v>
      </c>
      <c r="D74" s="181" t="s">
        <v>118</v>
      </c>
      <c r="E74" s="182" t="s">
        <v>38</v>
      </c>
      <c r="F74" s="183" t="s">
        <v>115</v>
      </c>
      <c r="G74" s="182" t="s">
        <v>116</v>
      </c>
      <c r="H74" s="343">
        <v>4</v>
      </c>
      <c r="I74" s="260">
        <v>45962</v>
      </c>
      <c r="J74" s="1118">
        <v>1</v>
      </c>
      <c r="K74" s="1162">
        <v>0</v>
      </c>
      <c r="L74" s="1120">
        <f>L64+J74</f>
        <v>4</v>
      </c>
      <c r="M74" s="1121">
        <f t="shared" si="6"/>
        <v>2</v>
      </c>
      <c r="N74" s="1141"/>
      <c r="O74" s="1123" t="s">
        <v>191</v>
      </c>
      <c r="P74" s="762" t="s">
        <v>182</v>
      </c>
      <c r="Q74" s="758" t="s">
        <v>123</v>
      </c>
      <c r="R74" s="762" t="s">
        <v>162</v>
      </c>
    </row>
    <row r="75" spans="1:18" ht="180" customHeight="1">
      <c r="A75" s="207" t="s">
        <v>6</v>
      </c>
      <c r="B75" s="210" t="s">
        <v>113</v>
      </c>
      <c r="C75" s="180">
        <v>4</v>
      </c>
      <c r="D75" s="181" t="s">
        <v>119</v>
      </c>
      <c r="E75" s="182" t="s">
        <v>38</v>
      </c>
      <c r="F75" s="183" t="s">
        <v>115</v>
      </c>
      <c r="G75" s="182" t="s">
        <v>116</v>
      </c>
      <c r="H75" s="343">
        <v>9</v>
      </c>
      <c r="I75" s="260">
        <v>45962</v>
      </c>
      <c r="J75" s="1118">
        <v>1</v>
      </c>
      <c r="K75" s="1162">
        <v>2</v>
      </c>
      <c r="L75" s="1120">
        <f>L65+J75</f>
        <v>6</v>
      </c>
      <c r="M75" s="1121">
        <f t="shared" si="6"/>
        <v>6</v>
      </c>
      <c r="N75" s="1141"/>
      <c r="O75" s="1123" t="s">
        <v>192</v>
      </c>
      <c r="P75" s="762" t="s">
        <v>182</v>
      </c>
      <c r="Q75" s="758" t="s">
        <v>123</v>
      </c>
      <c r="R75" s="762" t="s">
        <v>162</v>
      </c>
    </row>
    <row r="76" spans="1:18" ht="174">
      <c r="A76" s="207" t="s">
        <v>6</v>
      </c>
      <c r="B76" s="210" t="s">
        <v>113</v>
      </c>
      <c r="C76" s="180">
        <v>5</v>
      </c>
      <c r="D76" s="189" t="s">
        <v>120</v>
      </c>
      <c r="E76" s="182" t="s">
        <v>38</v>
      </c>
      <c r="F76" s="183" t="s">
        <v>115</v>
      </c>
      <c r="G76" s="182" t="s">
        <v>116</v>
      </c>
      <c r="H76" s="343">
        <v>6</v>
      </c>
      <c r="I76" s="260">
        <v>45962</v>
      </c>
      <c r="J76" s="1118">
        <v>1</v>
      </c>
      <c r="K76" s="1162">
        <v>2</v>
      </c>
      <c r="L76" s="1120">
        <f>L66+J76</f>
        <v>4</v>
      </c>
      <c r="M76" s="1121">
        <f t="shared" si="6"/>
        <v>9</v>
      </c>
      <c r="N76" s="1141"/>
      <c r="O76" s="1123" t="s">
        <v>193</v>
      </c>
      <c r="P76" s="1357" t="s">
        <v>194</v>
      </c>
      <c r="Q76" s="1358" t="s">
        <v>195</v>
      </c>
      <c r="R76" s="1124" t="s">
        <v>196</v>
      </c>
    </row>
    <row r="77" spans="1:18" ht="34.799999999999997">
      <c r="A77" s="207" t="s">
        <v>6</v>
      </c>
      <c r="B77" s="210" t="s">
        <v>113</v>
      </c>
      <c r="C77" s="180">
        <v>6</v>
      </c>
      <c r="D77" s="181" t="s">
        <v>125</v>
      </c>
      <c r="E77" s="182" t="s">
        <v>38</v>
      </c>
      <c r="F77" s="183" t="s">
        <v>156</v>
      </c>
      <c r="G77" s="182" t="s">
        <v>127</v>
      </c>
      <c r="H77" s="344">
        <v>6</v>
      </c>
      <c r="I77" s="260">
        <v>45962</v>
      </c>
      <c r="J77" s="1118">
        <v>1</v>
      </c>
      <c r="K77" s="1594">
        <v>2</v>
      </c>
      <c r="L77" s="1120">
        <f>L67+J77</f>
        <v>4</v>
      </c>
      <c r="M77" s="1121">
        <f t="shared" si="6"/>
        <v>9</v>
      </c>
      <c r="N77" s="1359">
        <v>0</v>
      </c>
      <c r="O77" s="761" t="s">
        <v>197</v>
      </c>
      <c r="P77" s="762" t="s">
        <v>198</v>
      </c>
      <c r="Q77" s="758"/>
      <c r="R77" s="762"/>
    </row>
    <row r="78" spans="1:18" ht="17.399999999999999">
      <c r="A78" s="207" t="s">
        <v>6</v>
      </c>
      <c r="B78" s="211" t="s">
        <v>113</v>
      </c>
      <c r="C78" s="190">
        <v>7</v>
      </c>
      <c r="D78" s="191" t="s">
        <v>129</v>
      </c>
      <c r="E78" s="192" t="s">
        <v>38</v>
      </c>
      <c r="F78" s="193" t="s">
        <v>126</v>
      </c>
      <c r="G78" s="192" t="s">
        <v>130</v>
      </c>
      <c r="H78" s="345">
        <v>5</v>
      </c>
      <c r="I78" s="260">
        <v>45962</v>
      </c>
      <c r="J78" s="1151">
        <v>0</v>
      </c>
      <c r="K78" s="1152">
        <v>0</v>
      </c>
      <c r="L78" s="1153">
        <f>L68+J78</f>
        <v>3</v>
      </c>
      <c r="M78" s="1154">
        <f t="shared" si="6"/>
        <v>0</v>
      </c>
      <c r="N78" s="1155"/>
      <c r="O78" s="1156"/>
      <c r="P78" s="1157"/>
      <c r="Q78" s="1158"/>
      <c r="R78" s="1157"/>
    </row>
    <row r="79" spans="1:18" ht="52.2">
      <c r="A79" s="207" t="s">
        <v>6</v>
      </c>
      <c r="B79" s="212" t="s">
        <v>131</v>
      </c>
      <c r="C79" s="194">
        <v>8</v>
      </c>
      <c r="D79" s="195" t="s">
        <v>132</v>
      </c>
      <c r="E79" s="196" t="s">
        <v>133</v>
      </c>
      <c r="F79" s="197" t="s">
        <v>134</v>
      </c>
      <c r="G79" s="196" t="s">
        <v>135</v>
      </c>
      <c r="H79" s="357">
        <v>5.6228257045651073E-3</v>
      </c>
      <c r="I79" s="260">
        <v>45962</v>
      </c>
      <c r="J79" s="1145">
        <v>5.7248734813421199E-3</v>
      </c>
      <c r="K79" s="1321">
        <v>4.9086491624769748E-3</v>
      </c>
      <c r="L79" s="1147">
        <v>5.62E-3</v>
      </c>
      <c r="M79" s="1148">
        <v>5.3020624626346899E-3</v>
      </c>
      <c r="N79" s="1149"/>
      <c r="O79" s="1337" t="s">
        <v>199</v>
      </c>
      <c r="P79" s="1360" t="s">
        <v>200</v>
      </c>
      <c r="Q79" s="1361" t="s">
        <v>201</v>
      </c>
      <c r="R79" s="757"/>
    </row>
    <row r="80" spans="1:18" ht="87">
      <c r="A80" s="207" t="s">
        <v>6</v>
      </c>
      <c r="B80" s="210" t="s">
        <v>131</v>
      </c>
      <c r="C80" s="180">
        <v>9</v>
      </c>
      <c r="D80" s="181" t="s">
        <v>132</v>
      </c>
      <c r="E80" s="182" t="s">
        <v>136</v>
      </c>
      <c r="F80" s="183" t="s">
        <v>134</v>
      </c>
      <c r="G80" s="182" t="s">
        <v>135</v>
      </c>
      <c r="H80" s="358">
        <v>162.9</v>
      </c>
      <c r="I80" s="260">
        <v>45962</v>
      </c>
      <c r="J80" s="1138">
        <v>15.550923039109268</v>
      </c>
      <c r="K80" s="1346">
        <v>13.333748876800001</v>
      </c>
      <c r="L80" s="1362">
        <f>J80+L70</f>
        <v>113.69488876882676</v>
      </c>
      <c r="M80" s="1121">
        <f>K80+M70</f>
        <v>111.2037890273</v>
      </c>
      <c r="N80" s="1141"/>
      <c r="O80" s="1142" t="s">
        <v>202</v>
      </c>
      <c r="P80" s="1124" t="s">
        <v>203</v>
      </c>
      <c r="Q80" s="1161" t="s">
        <v>204</v>
      </c>
      <c r="R80" s="762"/>
    </row>
    <row r="81" spans="1:18" ht="52.2">
      <c r="A81" s="208" t="s">
        <v>6</v>
      </c>
      <c r="B81" s="213" t="s">
        <v>131</v>
      </c>
      <c r="C81" s="198">
        <v>10</v>
      </c>
      <c r="D81" s="199" t="s">
        <v>137</v>
      </c>
      <c r="E81" s="200" t="s">
        <v>136</v>
      </c>
      <c r="F81" s="201" t="s">
        <v>138</v>
      </c>
      <c r="G81" s="200" t="s">
        <v>135</v>
      </c>
      <c r="H81" s="349">
        <v>231.81399999999999</v>
      </c>
      <c r="I81" s="261">
        <v>45962</v>
      </c>
      <c r="J81" s="1348">
        <v>4.46</v>
      </c>
      <c r="K81" s="1298">
        <v>6.29</v>
      </c>
      <c r="L81" s="1349">
        <f>L71+J81</f>
        <v>52.24</v>
      </c>
      <c r="M81" s="1350">
        <f>M71+K81</f>
        <v>87.460000000000008</v>
      </c>
      <c r="N81" s="1343"/>
      <c r="O81" s="1356" t="s">
        <v>205</v>
      </c>
      <c r="P81" s="854"/>
      <c r="Q81" s="852"/>
      <c r="R81" s="854"/>
    </row>
    <row r="82" spans="1:18" ht="17.399999999999999">
      <c r="A82" s="220" t="s">
        <v>6</v>
      </c>
      <c r="B82" s="221" t="s">
        <v>113</v>
      </c>
      <c r="C82" s="222">
        <v>1</v>
      </c>
      <c r="D82" s="223" t="s">
        <v>114</v>
      </c>
      <c r="E82" s="224" t="s">
        <v>38</v>
      </c>
      <c r="F82" s="225" t="s">
        <v>115</v>
      </c>
      <c r="G82" s="224" t="s">
        <v>116</v>
      </c>
      <c r="H82" s="348">
        <v>0</v>
      </c>
      <c r="I82" s="262">
        <v>45992</v>
      </c>
      <c r="J82" s="1167">
        <v>0</v>
      </c>
      <c r="K82" s="1292">
        <v>0</v>
      </c>
      <c r="L82" s="1169">
        <f>L72+J82</f>
        <v>0</v>
      </c>
      <c r="M82" s="1170">
        <f>M72+K82</f>
        <v>0</v>
      </c>
      <c r="N82" s="1333">
        <v>0</v>
      </c>
      <c r="O82" s="850"/>
      <c r="P82" s="851"/>
      <c r="Q82" s="849"/>
      <c r="R82" s="851"/>
    </row>
    <row r="83" spans="1:18" ht="17.399999999999999">
      <c r="A83" s="207" t="s">
        <v>6</v>
      </c>
      <c r="B83" s="210" t="s">
        <v>113</v>
      </c>
      <c r="C83" s="180">
        <v>2</v>
      </c>
      <c r="D83" s="189" t="s">
        <v>117</v>
      </c>
      <c r="E83" s="182" t="s">
        <v>38</v>
      </c>
      <c r="F83" s="183" t="s">
        <v>115</v>
      </c>
      <c r="G83" s="182" t="s">
        <v>116</v>
      </c>
      <c r="H83" s="342">
        <v>0</v>
      </c>
      <c r="I83" s="260">
        <v>45992</v>
      </c>
      <c r="J83" s="1126">
        <v>0</v>
      </c>
      <c r="K83" s="1119">
        <v>0</v>
      </c>
      <c r="L83" s="1127">
        <v>0</v>
      </c>
      <c r="M83" s="1121">
        <f t="shared" ref="M83:M87" si="7">M73+K83</f>
        <v>1</v>
      </c>
      <c r="N83" s="1125">
        <v>0</v>
      </c>
      <c r="O83" s="761"/>
      <c r="P83" s="762"/>
      <c r="Q83" s="758"/>
      <c r="R83" s="762"/>
    </row>
    <row r="84" spans="1:18" ht="34.799999999999997">
      <c r="A84" s="207" t="s">
        <v>6</v>
      </c>
      <c r="B84" s="210" t="s">
        <v>113</v>
      </c>
      <c r="C84" s="180">
        <v>3</v>
      </c>
      <c r="D84" s="181" t="s">
        <v>118</v>
      </c>
      <c r="E84" s="182" t="s">
        <v>38</v>
      </c>
      <c r="F84" s="183" t="s">
        <v>115</v>
      </c>
      <c r="G84" s="182" t="s">
        <v>116</v>
      </c>
      <c r="H84" s="343">
        <v>4</v>
      </c>
      <c r="I84" s="260">
        <v>45992</v>
      </c>
      <c r="J84" s="1118">
        <v>0</v>
      </c>
      <c r="K84" s="1119">
        <v>0</v>
      </c>
      <c r="L84" s="1120">
        <f>L74+J84</f>
        <v>4</v>
      </c>
      <c r="M84" s="1121">
        <f t="shared" si="7"/>
        <v>2</v>
      </c>
      <c r="N84" s="1125">
        <v>0</v>
      </c>
      <c r="O84" s="761"/>
      <c r="P84" s="762"/>
      <c r="Q84" s="758"/>
      <c r="R84" s="762"/>
    </row>
    <row r="85" spans="1:18" ht="34.799999999999997">
      <c r="A85" s="207" t="s">
        <v>6</v>
      </c>
      <c r="B85" s="210" t="s">
        <v>113</v>
      </c>
      <c r="C85" s="180">
        <v>4</v>
      </c>
      <c r="D85" s="181" t="s">
        <v>119</v>
      </c>
      <c r="E85" s="182" t="s">
        <v>38</v>
      </c>
      <c r="F85" s="183" t="s">
        <v>115</v>
      </c>
      <c r="G85" s="182" t="s">
        <v>116</v>
      </c>
      <c r="H85" s="343">
        <v>9</v>
      </c>
      <c r="I85" s="260">
        <v>45992</v>
      </c>
      <c r="J85" s="1118">
        <v>1</v>
      </c>
      <c r="K85" s="1119">
        <v>0</v>
      </c>
      <c r="L85" s="1120">
        <f>L75+J85</f>
        <v>7</v>
      </c>
      <c r="M85" s="1121">
        <f t="shared" si="7"/>
        <v>6</v>
      </c>
      <c r="N85" s="1125">
        <v>0</v>
      </c>
      <c r="O85" s="761"/>
      <c r="P85" s="762"/>
      <c r="Q85" s="758"/>
      <c r="R85" s="762"/>
    </row>
    <row r="86" spans="1:18" ht="94.5" customHeight="1">
      <c r="A86" s="207" t="s">
        <v>6</v>
      </c>
      <c r="B86" s="210" t="s">
        <v>113</v>
      </c>
      <c r="C86" s="180">
        <v>5</v>
      </c>
      <c r="D86" s="189" t="s">
        <v>120</v>
      </c>
      <c r="E86" s="182" t="s">
        <v>38</v>
      </c>
      <c r="F86" s="183" t="s">
        <v>115</v>
      </c>
      <c r="G86" s="182" t="s">
        <v>116</v>
      </c>
      <c r="H86" s="343">
        <v>6</v>
      </c>
      <c r="I86" s="260">
        <v>45992</v>
      </c>
      <c r="J86" s="1118">
        <v>1</v>
      </c>
      <c r="K86" s="1159">
        <v>2</v>
      </c>
      <c r="L86" s="1120">
        <f>L76+J86</f>
        <v>5</v>
      </c>
      <c r="M86" s="1160">
        <f>M76+K86</f>
        <v>11</v>
      </c>
      <c r="N86" s="1125">
        <v>0</v>
      </c>
      <c r="O86" s="1123" t="s">
        <v>206</v>
      </c>
      <c r="P86" s="1124" t="s">
        <v>207</v>
      </c>
      <c r="Q86" s="1161" t="s">
        <v>208</v>
      </c>
      <c r="R86" s="1124" t="s">
        <v>209</v>
      </c>
    </row>
    <row r="87" spans="1:18" ht="163.5" customHeight="1">
      <c r="A87" s="207" t="s">
        <v>6</v>
      </c>
      <c r="B87" s="210" t="s">
        <v>113</v>
      </c>
      <c r="C87" s="180">
        <v>6</v>
      </c>
      <c r="D87" s="181" t="s">
        <v>125</v>
      </c>
      <c r="E87" s="182" t="s">
        <v>38</v>
      </c>
      <c r="F87" s="183" t="s">
        <v>156</v>
      </c>
      <c r="G87" s="182" t="s">
        <v>127</v>
      </c>
      <c r="H87" s="344">
        <v>6</v>
      </c>
      <c r="I87" s="260">
        <v>45992</v>
      </c>
      <c r="J87" s="1118">
        <v>1</v>
      </c>
      <c r="K87" s="1159">
        <v>2</v>
      </c>
      <c r="L87" s="1120">
        <f>L77+J87</f>
        <v>5</v>
      </c>
      <c r="M87" s="1160">
        <f t="shared" si="7"/>
        <v>11</v>
      </c>
      <c r="N87" s="1141">
        <v>0</v>
      </c>
      <c r="O87" s="1123" t="s">
        <v>210</v>
      </c>
      <c r="P87" s="1124" t="s">
        <v>211</v>
      </c>
      <c r="Q87" s="1161" t="s">
        <v>208</v>
      </c>
      <c r="R87" s="762" t="s">
        <v>212</v>
      </c>
    </row>
    <row r="88" spans="1:18" ht="52.2">
      <c r="A88" s="207" t="s">
        <v>6</v>
      </c>
      <c r="B88" s="211" t="s">
        <v>131</v>
      </c>
      <c r="C88" s="190">
        <v>8</v>
      </c>
      <c r="D88" s="226" t="s">
        <v>132</v>
      </c>
      <c r="E88" s="192" t="s">
        <v>133</v>
      </c>
      <c r="F88" s="193" t="s">
        <v>134</v>
      </c>
      <c r="G88" s="192" t="s">
        <v>135</v>
      </c>
      <c r="H88" s="359">
        <v>5.6228257045651073E-3</v>
      </c>
      <c r="I88" s="260">
        <v>45992</v>
      </c>
      <c r="J88" s="1363">
        <v>5.6781463937281484E-3</v>
      </c>
      <c r="K88" s="1364">
        <v>4.5399999999999998E-3</v>
      </c>
      <c r="L88" s="1365">
        <v>5.6299999999999996E-3</v>
      </c>
      <c r="M88" s="1366">
        <v>5.2599999999999999E-3</v>
      </c>
      <c r="N88" s="1367"/>
      <c r="O88" s="1368" t="s">
        <v>213</v>
      </c>
      <c r="P88" s="1369" t="s">
        <v>41</v>
      </c>
      <c r="Q88" s="1370" t="s">
        <v>214</v>
      </c>
      <c r="R88" s="1157"/>
    </row>
    <row r="89" spans="1:18" ht="45.75" customHeight="1">
      <c r="A89" s="207" t="s">
        <v>6</v>
      </c>
      <c r="B89" s="212" t="s">
        <v>131</v>
      </c>
      <c r="C89" s="194">
        <v>9</v>
      </c>
      <c r="D89" s="195" t="s">
        <v>132</v>
      </c>
      <c r="E89" s="196" t="s">
        <v>136</v>
      </c>
      <c r="F89" s="197" t="s">
        <v>134</v>
      </c>
      <c r="G89" s="196" t="s">
        <v>135</v>
      </c>
      <c r="H89" s="360">
        <v>162.9</v>
      </c>
      <c r="I89" s="260">
        <v>45992</v>
      </c>
      <c r="J89" s="1371">
        <v>13.47</v>
      </c>
      <c r="K89" s="1372">
        <v>11.747706804940702</v>
      </c>
      <c r="L89" s="1373">
        <f>J89+L80</f>
        <v>127.16488876882676</v>
      </c>
      <c r="M89" s="1374">
        <f>K89+M80</f>
        <v>122.95149583224071</v>
      </c>
      <c r="N89" s="1175"/>
      <c r="O89" s="1337" t="s">
        <v>215</v>
      </c>
      <c r="P89" s="1360" t="s">
        <v>41</v>
      </c>
      <c r="Q89" s="1375" t="s">
        <v>216</v>
      </c>
      <c r="R89" s="757"/>
    </row>
    <row r="90" spans="1:18" ht="121.8">
      <c r="A90" s="207" t="s">
        <v>6</v>
      </c>
      <c r="B90" s="210" t="s">
        <v>131</v>
      </c>
      <c r="C90" s="180">
        <v>10</v>
      </c>
      <c r="D90" s="181" t="s">
        <v>137</v>
      </c>
      <c r="E90" s="182" t="s">
        <v>136</v>
      </c>
      <c r="F90" s="183" t="s">
        <v>138</v>
      </c>
      <c r="G90" s="182" t="s">
        <v>135</v>
      </c>
      <c r="H90" s="356">
        <v>231.81399999999999</v>
      </c>
      <c r="I90" s="260">
        <v>45992</v>
      </c>
      <c r="J90" s="1376">
        <v>4.4800000000000004</v>
      </c>
      <c r="K90" s="1377">
        <v>7.5</v>
      </c>
      <c r="L90" s="1120">
        <f>L81+J90</f>
        <v>56.72</v>
      </c>
      <c r="M90" s="1160">
        <f>M81+K90</f>
        <v>94.960000000000008</v>
      </c>
      <c r="N90" s="1141"/>
      <c r="O90" s="1123" t="s">
        <v>217</v>
      </c>
      <c r="P90" s="1124"/>
      <c r="Q90" s="758"/>
      <c r="R90" s="762"/>
    </row>
    <row r="91" spans="1:18" ht="17.399999999999999">
      <c r="A91" s="208" t="s">
        <v>6</v>
      </c>
      <c r="B91" s="213" t="s">
        <v>113</v>
      </c>
      <c r="C91" s="198">
        <v>7</v>
      </c>
      <c r="D91" s="264" t="s">
        <v>129</v>
      </c>
      <c r="E91" s="200" t="s">
        <v>38</v>
      </c>
      <c r="F91" s="201" t="s">
        <v>126</v>
      </c>
      <c r="G91" s="200" t="s">
        <v>130</v>
      </c>
      <c r="H91" s="353">
        <v>5</v>
      </c>
      <c r="I91" s="261">
        <v>45992</v>
      </c>
      <c r="J91" s="1378">
        <v>1</v>
      </c>
      <c r="K91" s="1379">
        <v>0</v>
      </c>
      <c r="L91" s="1349">
        <f>L78+J91</f>
        <v>4</v>
      </c>
      <c r="M91" s="1350">
        <f>M78+K91</f>
        <v>0</v>
      </c>
      <c r="N91" s="1380">
        <v>0</v>
      </c>
      <c r="O91" s="853"/>
      <c r="P91" s="854"/>
      <c r="Q91" s="852"/>
      <c r="R91" s="854"/>
    </row>
    <row r="92" spans="1:18" ht="17.399999999999999">
      <c r="A92" s="220" t="s">
        <v>6</v>
      </c>
      <c r="B92" s="221" t="s">
        <v>113</v>
      </c>
      <c r="C92" s="222">
        <v>1</v>
      </c>
      <c r="D92" s="223" t="s">
        <v>114</v>
      </c>
      <c r="E92" s="224" t="s">
        <v>38</v>
      </c>
      <c r="F92" s="225" t="s">
        <v>115</v>
      </c>
      <c r="G92" s="224" t="s">
        <v>116</v>
      </c>
      <c r="H92" s="348">
        <v>0</v>
      </c>
      <c r="I92" s="262">
        <v>46023</v>
      </c>
      <c r="J92" s="1167">
        <v>0</v>
      </c>
      <c r="K92" s="1292">
        <v>0</v>
      </c>
      <c r="L92" s="1169">
        <f>L82+J92</f>
        <v>0</v>
      </c>
      <c r="M92" s="1170">
        <f>M82+K92</f>
        <v>0</v>
      </c>
      <c r="N92" s="1333">
        <v>0</v>
      </c>
      <c r="O92" s="850"/>
      <c r="P92" s="851"/>
      <c r="Q92" s="849"/>
      <c r="R92" s="851"/>
    </row>
    <row r="93" spans="1:18" ht="17.399999999999999">
      <c r="A93" s="207" t="s">
        <v>6</v>
      </c>
      <c r="B93" s="210" t="s">
        <v>113</v>
      </c>
      <c r="C93" s="180">
        <v>2</v>
      </c>
      <c r="D93" s="189" t="s">
        <v>117</v>
      </c>
      <c r="E93" s="182" t="s">
        <v>38</v>
      </c>
      <c r="F93" s="183" t="s">
        <v>115</v>
      </c>
      <c r="G93" s="182" t="s">
        <v>116</v>
      </c>
      <c r="H93" s="342">
        <v>0</v>
      </c>
      <c r="I93" s="260">
        <v>46023</v>
      </c>
      <c r="J93" s="1126">
        <v>0</v>
      </c>
      <c r="K93" s="1119">
        <v>0</v>
      </c>
      <c r="L93" s="1127">
        <v>0</v>
      </c>
      <c r="M93" s="1121">
        <f>M83+K93</f>
        <v>1</v>
      </c>
      <c r="N93" s="1125">
        <v>0</v>
      </c>
      <c r="O93" s="761"/>
      <c r="P93" s="762"/>
      <c r="Q93" s="758"/>
      <c r="R93" s="762"/>
    </row>
    <row r="94" spans="1:18" ht="77.400000000000006" customHeight="1">
      <c r="A94" s="207" t="s">
        <v>6</v>
      </c>
      <c r="B94" s="210" t="s">
        <v>113</v>
      </c>
      <c r="C94" s="180">
        <v>3</v>
      </c>
      <c r="D94" s="181" t="s">
        <v>118</v>
      </c>
      <c r="E94" s="182" t="s">
        <v>38</v>
      </c>
      <c r="F94" s="183" t="s">
        <v>115</v>
      </c>
      <c r="G94" s="182" t="s">
        <v>116</v>
      </c>
      <c r="H94" s="343">
        <v>4</v>
      </c>
      <c r="I94" s="260">
        <v>46023</v>
      </c>
      <c r="J94" s="1118">
        <v>0</v>
      </c>
      <c r="K94" s="1162">
        <v>1</v>
      </c>
      <c r="L94" s="1120">
        <f>L84+J94</f>
        <v>4</v>
      </c>
      <c r="M94" s="1121">
        <f>M84+K94</f>
        <v>3</v>
      </c>
      <c r="N94" s="1125">
        <v>0</v>
      </c>
      <c r="O94" s="1719" t="s">
        <v>218</v>
      </c>
      <c r="P94" s="1124" t="s">
        <v>219</v>
      </c>
      <c r="Q94" s="1161" t="s">
        <v>220</v>
      </c>
      <c r="R94" s="762" t="s">
        <v>221</v>
      </c>
    </row>
    <row r="95" spans="1:18" ht="96.6" customHeight="1">
      <c r="A95" s="207" t="s">
        <v>6</v>
      </c>
      <c r="B95" s="210" t="s">
        <v>113</v>
      </c>
      <c r="C95" s="180">
        <v>4</v>
      </c>
      <c r="D95" s="181" t="s">
        <v>119</v>
      </c>
      <c r="E95" s="182" t="s">
        <v>38</v>
      </c>
      <c r="F95" s="183" t="s">
        <v>115</v>
      </c>
      <c r="G95" s="182" t="s">
        <v>116</v>
      </c>
      <c r="H95" s="343">
        <v>9</v>
      </c>
      <c r="I95" s="260">
        <v>46023</v>
      </c>
      <c r="J95" s="1118">
        <v>1</v>
      </c>
      <c r="K95" s="1162">
        <v>3</v>
      </c>
      <c r="L95" s="1120">
        <f>L85+J95</f>
        <v>8</v>
      </c>
      <c r="M95" s="1904">
        <f>M85+K95</f>
        <v>9</v>
      </c>
      <c r="N95" s="1125">
        <v>0</v>
      </c>
      <c r="O95" s="2453" t="s">
        <v>222</v>
      </c>
      <c r="P95" s="1164" t="s">
        <v>223</v>
      </c>
      <c r="Q95" s="1163" t="s">
        <v>224</v>
      </c>
      <c r="R95" s="2423" t="s">
        <v>221</v>
      </c>
    </row>
    <row r="96" spans="1:18" ht="313.5" customHeight="1">
      <c r="A96" s="207" t="s">
        <v>6</v>
      </c>
      <c r="B96" s="210" t="s">
        <v>113</v>
      </c>
      <c r="C96" s="180">
        <v>5</v>
      </c>
      <c r="D96" s="189" t="s">
        <v>120</v>
      </c>
      <c r="E96" s="182" t="s">
        <v>38</v>
      </c>
      <c r="F96" s="183" t="s">
        <v>115</v>
      </c>
      <c r="G96" s="182" t="s">
        <v>116</v>
      </c>
      <c r="H96" s="343">
        <v>6</v>
      </c>
      <c r="I96" s="260">
        <v>46023</v>
      </c>
      <c r="J96" s="1118">
        <v>0</v>
      </c>
      <c r="K96" s="1162">
        <v>5</v>
      </c>
      <c r="L96" s="1120">
        <v>5</v>
      </c>
      <c r="M96" s="1901">
        <f>M86+K96</f>
        <v>16</v>
      </c>
      <c r="N96" s="1125">
        <v>0</v>
      </c>
      <c r="O96" s="1902" t="s">
        <v>225</v>
      </c>
      <c r="P96" s="1164" t="s">
        <v>226</v>
      </c>
      <c r="Q96" s="1163" t="s">
        <v>227</v>
      </c>
      <c r="R96" s="2423" t="s">
        <v>221</v>
      </c>
    </row>
    <row r="97" spans="1:18" ht="158.1" customHeight="1">
      <c r="A97" s="207" t="s">
        <v>6</v>
      </c>
      <c r="B97" s="210" t="s">
        <v>113</v>
      </c>
      <c r="C97" s="180">
        <v>6</v>
      </c>
      <c r="D97" s="181" t="s">
        <v>125</v>
      </c>
      <c r="E97" s="182" t="s">
        <v>38</v>
      </c>
      <c r="F97" s="183" t="s">
        <v>156</v>
      </c>
      <c r="G97" s="182" t="s">
        <v>127</v>
      </c>
      <c r="H97" s="344">
        <v>6</v>
      </c>
      <c r="I97" s="260">
        <v>46023</v>
      </c>
      <c r="J97" s="1118">
        <v>0</v>
      </c>
      <c r="K97" s="1593">
        <v>3</v>
      </c>
      <c r="L97" s="1120">
        <f>L87+J97</f>
        <v>5</v>
      </c>
      <c r="M97" s="1901">
        <f>M87+K97</f>
        <v>14</v>
      </c>
      <c r="N97" s="2424">
        <v>0</v>
      </c>
      <c r="O97" s="1903" t="s">
        <v>228</v>
      </c>
      <c r="P97" s="1124" t="s">
        <v>229</v>
      </c>
      <c r="Q97" s="1161" t="s">
        <v>230</v>
      </c>
      <c r="R97" s="762" t="s">
        <v>231</v>
      </c>
    </row>
    <row r="98" spans="1:18" ht="67.5" customHeight="1">
      <c r="A98" s="207" t="s">
        <v>6</v>
      </c>
      <c r="B98" s="211" t="s">
        <v>113</v>
      </c>
      <c r="C98" s="190">
        <v>7</v>
      </c>
      <c r="D98" s="191" t="s">
        <v>129</v>
      </c>
      <c r="E98" s="192" t="s">
        <v>38</v>
      </c>
      <c r="F98" s="193" t="s">
        <v>126</v>
      </c>
      <c r="G98" s="192" t="s">
        <v>130</v>
      </c>
      <c r="H98" s="345">
        <v>5</v>
      </c>
      <c r="I98" s="260">
        <v>46023</v>
      </c>
      <c r="J98" s="1151">
        <v>0</v>
      </c>
      <c r="K98" s="1905">
        <v>1</v>
      </c>
      <c r="L98" s="1153">
        <f>L91+J98</f>
        <v>4</v>
      </c>
      <c r="M98" s="1154">
        <f>M91+K98</f>
        <v>1</v>
      </c>
      <c r="N98" s="1336">
        <v>0</v>
      </c>
      <c r="O98" s="1381" t="s">
        <v>232</v>
      </c>
      <c r="P98" s="1382" t="s">
        <v>233</v>
      </c>
      <c r="Q98" s="1703" t="s">
        <v>234</v>
      </c>
      <c r="R98" s="2425" t="s">
        <v>41</v>
      </c>
    </row>
    <row r="99" spans="1:18" ht="188.25" customHeight="1">
      <c r="A99" s="207" t="s">
        <v>6</v>
      </c>
      <c r="B99" s="212" t="s">
        <v>131</v>
      </c>
      <c r="C99" s="194">
        <v>8</v>
      </c>
      <c r="D99" s="195" t="s">
        <v>132</v>
      </c>
      <c r="E99" s="196" t="s">
        <v>133</v>
      </c>
      <c r="F99" s="197" t="s">
        <v>134</v>
      </c>
      <c r="G99" s="196" t="s">
        <v>135</v>
      </c>
      <c r="H99" s="346">
        <v>5.6228257045651073E-3</v>
      </c>
      <c r="I99" s="260">
        <v>46023</v>
      </c>
      <c r="J99" s="1145">
        <v>5.6665984165893404E-3</v>
      </c>
      <c r="K99" s="1321">
        <v>5.1900000000000002E-3</v>
      </c>
      <c r="L99" s="1147">
        <v>5.6299999999999996E-3</v>
      </c>
      <c r="M99" s="1148">
        <v>5.2143884468675572E-3</v>
      </c>
      <c r="N99" s="1175"/>
      <c r="O99" s="1150" t="s">
        <v>235</v>
      </c>
      <c r="P99" s="1360" t="s">
        <v>236</v>
      </c>
      <c r="Q99" s="1361" t="s">
        <v>237</v>
      </c>
      <c r="R99" s="757"/>
    </row>
    <row r="100" spans="1:18" ht="34.799999999999997">
      <c r="A100" s="207" t="s">
        <v>6</v>
      </c>
      <c r="B100" s="210" t="s">
        <v>131</v>
      </c>
      <c r="C100" s="180">
        <v>9</v>
      </c>
      <c r="D100" s="181" t="s">
        <v>132</v>
      </c>
      <c r="E100" s="182" t="s">
        <v>136</v>
      </c>
      <c r="F100" s="183" t="s">
        <v>134</v>
      </c>
      <c r="G100" s="182" t="s">
        <v>135</v>
      </c>
      <c r="H100" s="356">
        <v>162.9</v>
      </c>
      <c r="I100" s="260">
        <v>46023</v>
      </c>
      <c r="J100" s="1138">
        <v>16.219682916389999</v>
      </c>
      <c r="K100" s="1346">
        <v>14.862115642200001</v>
      </c>
      <c r="L100" s="1362">
        <v>143.38457168521677</v>
      </c>
      <c r="M100" s="2548">
        <v>137.81361147444071</v>
      </c>
      <c r="N100" s="1141"/>
      <c r="O100" s="1123" t="s">
        <v>238</v>
      </c>
      <c r="P100" s="762" t="s">
        <v>41</v>
      </c>
      <c r="Q100" s="1711" t="s">
        <v>239</v>
      </c>
      <c r="R100" s="762"/>
    </row>
    <row r="101" spans="1:18" ht="99.6" customHeight="1">
      <c r="A101" s="208" t="s">
        <v>6</v>
      </c>
      <c r="B101" s="213" t="s">
        <v>131</v>
      </c>
      <c r="C101" s="198">
        <v>10</v>
      </c>
      <c r="D101" s="199" t="s">
        <v>137</v>
      </c>
      <c r="E101" s="200" t="s">
        <v>136</v>
      </c>
      <c r="F101" s="201" t="s">
        <v>138</v>
      </c>
      <c r="G101" s="200" t="s">
        <v>135</v>
      </c>
      <c r="H101" s="349">
        <v>231.81399999999999</v>
      </c>
      <c r="I101" s="261">
        <v>46023</v>
      </c>
      <c r="J101" s="1348">
        <v>4.7699999999999996</v>
      </c>
      <c r="K101" s="1720">
        <v>8.36</v>
      </c>
      <c r="L101" s="1349">
        <f>L90+J101</f>
        <v>61.489999999999995</v>
      </c>
      <c r="M101" s="1721">
        <f>M90+K101</f>
        <v>103.32000000000001</v>
      </c>
      <c r="N101" s="1343"/>
      <c r="O101" s="1356" t="s">
        <v>240</v>
      </c>
      <c r="P101" s="1596" t="s">
        <v>241</v>
      </c>
      <c r="Q101" s="1597" t="s">
        <v>242</v>
      </c>
      <c r="R101" s="2423" t="s">
        <v>221</v>
      </c>
    </row>
    <row r="102" spans="1:18" ht="17.399999999999999">
      <c r="A102" s="227" t="s">
        <v>6</v>
      </c>
      <c r="B102" s="212" t="s">
        <v>113</v>
      </c>
      <c r="C102" s="194">
        <v>1</v>
      </c>
      <c r="D102" s="195" t="s">
        <v>114</v>
      </c>
      <c r="E102" s="196" t="s">
        <v>38</v>
      </c>
      <c r="F102" s="197" t="s">
        <v>115</v>
      </c>
      <c r="G102" s="196" t="s">
        <v>116</v>
      </c>
      <c r="H102" s="352">
        <v>0</v>
      </c>
      <c r="I102" s="262">
        <v>46054</v>
      </c>
      <c r="J102" s="1128">
        <v>0</v>
      </c>
      <c r="K102" s="1129">
        <v>0</v>
      </c>
      <c r="L102" s="1130">
        <f>L92+J102</f>
        <v>0</v>
      </c>
      <c r="M102" s="1131">
        <f>M92+K102</f>
        <v>0</v>
      </c>
      <c r="N102" s="1175"/>
      <c r="O102" s="756"/>
      <c r="P102" s="757"/>
      <c r="Q102" s="753"/>
      <c r="R102" s="757"/>
    </row>
    <row r="103" spans="1:18" ht="17.399999999999999">
      <c r="A103" s="207" t="s">
        <v>6</v>
      </c>
      <c r="B103" s="210" t="s">
        <v>113</v>
      </c>
      <c r="C103" s="180">
        <v>2</v>
      </c>
      <c r="D103" s="189" t="s">
        <v>117</v>
      </c>
      <c r="E103" s="182" t="s">
        <v>38</v>
      </c>
      <c r="F103" s="183" t="s">
        <v>115</v>
      </c>
      <c r="G103" s="182" t="s">
        <v>116</v>
      </c>
      <c r="H103" s="342">
        <v>0</v>
      </c>
      <c r="I103" s="260">
        <v>46054</v>
      </c>
      <c r="J103" s="1126">
        <v>0</v>
      </c>
      <c r="K103" s="1119">
        <v>0</v>
      </c>
      <c r="L103" s="1127">
        <v>0</v>
      </c>
      <c r="M103" s="1121">
        <f t="shared" ref="M103:M107" si="8">M93+K103</f>
        <v>1</v>
      </c>
      <c r="N103" s="1141"/>
      <c r="O103" s="761"/>
      <c r="P103" s="762"/>
      <c r="Q103" s="758"/>
      <c r="R103" s="762"/>
    </row>
    <row r="104" spans="1:18" ht="87">
      <c r="A104" s="207" t="s">
        <v>6</v>
      </c>
      <c r="B104" s="210" t="s">
        <v>113</v>
      </c>
      <c r="C104" s="180">
        <v>3</v>
      </c>
      <c r="D104" s="181" t="s">
        <v>118</v>
      </c>
      <c r="E104" s="182" t="s">
        <v>38</v>
      </c>
      <c r="F104" s="183" t="s">
        <v>115</v>
      </c>
      <c r="G104" s="182" t="s">
        <v>116</v>
      </c>
      <c r="H104" s="343">
        <v>4</v>
      </c>
      <c r="I104" s="260">
        <v>46054</v>
      </c>
      <c r="J104" s="1118">
        <v>0</v>
      </c>
      <c r="K104" s="2544">
        <v>1</v>
      </c>
      <c r="L104" s="1120">
        <f>L94+J104</f>
        <v>4</v>
      </c>
      <c r="M104" s="1121">
        <f t="shared" si="8"/>
        <v>4</v>
      </c>
      <c r="N104" s="1141"/>
      <c r="O104" s="2540" t="s">
        <v>243</v>
      </c>
      <c r="P104" s="2541" t="s">
        <v>244</v>
      </c>
      <c r="Q104" s="2577" t="s">
        <v>245</v>
      </c>
      <c r="R104" s="762" t="s">
        <v>221</v>
      </c>
    </row>
    <row r="105" spans="1:18" ht="66" customHeight="1">
      <c r="A105" s="207" t="s">
        <v>6</v>
      </c>
      <c r="B105" s="210" t="s">
        <v>113</v>
      </c>
      <c r="C105" s="180">
        <v>4</v>
      </c>
      <c r="D105" s="181" t="s">
        <v>119</v>
      </c>
      <c r="E105" s="182" t="s">
        <v>38</v>
      </c>
      <c r="F105" s="183" t="s">
        <v>115</v>
      </c>
      <c r="G105" s="182" t="s">
        <v>116</v>
      </c>
      <c r="H105" s="343">
        <v>9</v>
      </c>
      <c r="I105" s="260">
        <v>46054</v>
      </c>
      <c r="J105" s="1118">
        <v>1</v>
      </c>
      <c r="K105" s="2525">
        <v>1</v>
      </c>
      <c r="L105" s="1120">
        <f>L95+J105</f>
        <v>9</v>
      </c>
      <c r="M105" s="1121">
        <f t="shared" si="8"/>
        <v>10</v>
      </c>
      <c r="N105" s="1141"/>
      <c r="O105" s="2454" t="str">
        <f>O104</f>
        <v xml:space="preserve">1. STM HP5S Engine cannot start (F/M Glue)
Cause: Glue from jig ball air leak test at cylinder grinding process
</v>
      </c>
      <c r="P105" s="2542" t="s">
        <v>223</v>
      </c>
      <c r="Q105" s="2578" t="s">
        <v>246</v>
      </c>
      <c r="R105" s="2423" t="s">
        <v>221</v>
      </c>
    </row>
    <row r="106" spans="1:18" ht="100.5" customHeight="1">
      <c r="A106" s="207" t="s">
        <v>6</v>
      </c>
      <c r="B106" s="210" t="s">
        <v>113</v>
      </c>
      <c r="C106" s="180">
        <v>5</v>
      </c>
      <c r="D106" s="189" t="s">
        <v>120</v>
      </c>
      <c r="E106" s="182" t="s">
        <v>38</v>
      </c>
      <c r="F106" s="183" t="s">
        <v>115</v>
      </c>
      <c r="G106" s="182" t="s">
        <v>116</v>
      </c>
      <c r="H106" s="343">
        <v>6</v>
      </c>
      <c r="I106" s="260">
        <v>46054</v>
      </c>
      <c r="J106" s="1118">
        <v>0</v>
      </c>
      <c r="K106" s="2525">
        <v>1</v>
      </c>
      <c r="L106" s="1120">
        <f>L96+J106</f>
        <v>5</v>
      </c>
      <c r="M106" s="1121">
        <f t="shared" si="8"/>
        <v>17</v>
      </c>
      <c r="N106" s="1141"/>
      <c r="O106" s="2540" t="s">
        <v>247</v>
      </c>
      <c r="P106" s="2542" t="s">
        <v>248</v>
      </c>
      <c r="Q106" s="2578" t="s">
        <v>249</v>
      </c>
      <c r="R106" s="2423" t="s">
        <v>221</v>
      </c>
    </row>
    <row r="107" spans="1:18" ht="75.75" customHeight="1">
      <c r="A107" s="207" t="s">
        <v>6</v>
      </c>
      <c r="B107" s="210" t="s">
        <v>113</v>
      </c>
      <c r="C107" s="180">
        <v>6</v>
      </c>
      <c r="D107" s="181" t="s">
        <v>125</v>
      </c>
      <c r="E107" s="182" t="s">
        <v>38</v>
      </c>
      <c r="F107" s="183" t="s">
        <v>156</v>
      </c>
      <c r="G107" s="182" t="s">
        <v>127</v>
      </c>
      <c r="H107" s="344">
        <v>6</v>
      </c>
      <c r="I107" s="260">
        <v>46054</v>
      </c>
      <c r="J107" s="1118">
        <v>0</v>
      </c>
      <c r="K107" s="2544">
        <v>2</v>
      </c>
      <c r="L107" s="1120">
        <f>L97+J107</f>
        <v>5</v>
      </c>
      <c r="M107" s="1121">
        <f t="shared" si="8"/>
        <v>16</v>
      </c>
      <c r="N107" s="1141"/>
      <c r="O107" s="2543" t="s">
        <v>250</v>
      </c>
      <c r="P107" s="2546" t="s">
        <v>251</v>
      </c>
      <c r="Q107" s="2545" t="s">
        <v>252</v>
      </c>
      <c r="R107" s="2425" t="s">
        <v>221</v>
      </c>
    </row>
    <row r="108" spans="1:18" ht="88.5" customHeight="1">
      <c r="A108" s="207" t="s">
        <v>6</v>
      </c>
      <c r="B108" s="211" t="s">
        <v>113</v>
      </c>
      <c r="C108" s="190">
        <v>7</v>
      </c>
      <c r="D108" s="191" t="s">
        <v>129</v>
      </c>
      <c r="E108" s="192" t="s">
        <v>38</v>
      </c>
      <c r="F108" s="193" t="s">
        <v>126</v>
      </c>
      <c r="G108" s="192" t="s">
        <v>130</v>
      </c>
      <c r="H108" s="345">
        <v>5</v>
      </c>
      <c r="I108" s="260">
        <v>46054</v>
      </c>
      <c r="J108" s="1151">
        <v>1</v>
      </c>
      <c r="K108" s="2526">
        <v>2</v>
      </c>
      <c r="L108" s="1153">
        <f>L98+J108</f>
        <v>5</v>
      </c>
      <c r="M108" s="1154">
        <v>3</v>
      </c>
      <c r="N108" s="1155"/>
      <c r="O108" s="2543" t="s">
        <v>253</v>
      </c>
      <c r="P108" s="2535" t="s">
        <v>254</v>
      </c>
      <c r="Q108" s="2545" t="s">
        <v>255</v>
      </c>
      <c r="R108" s="2425" t="s">
        <v>41</v>
      </c>
    </row>
    <row r="109" spans="1:18" ht="139.19999999999999">
      <c r="A109" s="207" t="s">
        <v>6</v>
      </c>
      <c r="B109" s="212" t="s">
        <v>131</v>
      </c>
      <c r="C109" s="194">
        <v>8</v>
      </c>
      <c r="D109" s="195" t="s">
        <v>132</v>
      </c>
      <c r="E109" s="196" t="s">
        <v>133</v>
      </c>
      <c r="F109" s="197" t="s">
        <v>134</v>
      </c>
      <c r="G109" s="196" t="s">
        <v>135</v>
      </c>
      <c r="H109" s="346">
        <v>5.6228257045651073E-3</v>
      </c>
      <c r="I109" s="260">
        <v>46054</v>
      </c>
      <c r="J109" s="1145">
        <v>5.7988395556805251E-3</v>
      </c>
      <c r="K109" s="1321">
        <v>6.0065471563790513E-3</v>
      </c>
      <c r="L109" s="1147">
        <v>5.64E-3</v>
      </c>
      <c r="M109" s="1148">
        <v>5.2878596445038095E-3</v>
      </c>
      <c r="N109" s="1149">
        <v>5.8900000000000003E-3</v>
      </c>
      <c r="O109" s="1150" t="s">
        <v>256</v>
      </c>
      <c r="P109" s="2549" t="s">
        <v>257</v>
      </c>
      <c r="Q109" s="2551" t="s">
        <v>258</v>
      </c>
      <c r="R109" s="757"/>
    </row>
    <row r="110" spans="1:18" ht="34.799999999999997">
      <c r="A110" s="207" t="s">
        <v>6</v>
      </c>
      <c r="B110" s="210" t="s">
        <v>131</v>
      </c>
      <c r="C110" s="180">
        <v>9</v>
      </c>
      <c r="D110" s="181" t="s">
        <v>132</v>
      </c>
      <c r="E110" s="182" t="s">
        <v>136</v>
      </c>
      <c r="F110" s="183" t="s">
        <v>134</v>
      </c>
      <c r="G110" s="182" t="s">
        <v>135</v>
      </c>
      <c r="H110" s="356">
        <v>162.9</v>
      </c>
      <c r="I110" s="260">
        <v>46054</v>
      </c>
      <c r="J110" s="1138">
        <v>16.232374198957498</v>
      </c>
      <c r="K110" s="1346">
        <v>16.813798717799997</v>
      </c>
      <c r="L110" s="1362">
        <f>J110+L100</f>
        <v>159.61694588417427</v>
      </c>
      <c r="M110" s="2548">
        <v>154.62741019224069</v>
      </c>
      <c r="N110" s="2562">
        <v>14.51</v>
      </c>
      <c r="O110" s="1123" t="s">
        <v>259</v>
      </c>
      <c r="P110" s="762" t="s">
        <v>41</v>
      </c>
      <c r="Q110" s="1711" t="s">
        <v>260</v>
      </c>
      <c r="R110" s="762"/>
    </row>
    <row r="111" spans="1:18" ht="87">
      <c r="A111" s="207" t="s">
        <v>6</v>
      </c>
      <c r="B111" s="210" t="s">
        <v>131</v>
      </c>
      <c r="C111" s="216">
        <v>10</v>
      </c>
      <c r="D111" s="217" t="s">
        <v>137</v>
      </c>
      <c r="E111" s="218" t="s">
        <v>136</v>
      </c>
      <c r="F111" s="219" t="s">
        <v>138</v>
      </c>
      <c r="G111" s="218" t="s">
        <v>135</v>
      </c>
      <c r="H111" s="347">
        <v>231.81399999999999</v>
      </c>
      <c r="I111" s="260">
        <v>46054</v>
      </c>
      <c r="J111" s="1133">
        <v>4.4800000000000004</v>
      </c>
      <c r="K111" s="1166">
        <v>14.69</v>
      </c>
      <c r="L111" s="1135">
        <f>L101+J111</f>
        <v>65.97</v>
      </c>
      <c r="M111" s="1136">
        <f>M101+K111</f>
        <v>118.01</v>
      </c>
      <c r="N111" s="1137"/>
      <c r="O111" s="2579" t="s">
        <v>261</v>
      </c>
      <c r="P111" s="2580" t="s">
        <v>241</v>
      </c>
      <c r="Q111" s="2581" t="s">
        <v>242</v>
      </c>
      <c r="R111" s="2423" t="s">
        <v>221</v>
      </c>
    </row>
    <row r="112" spans="1:18" ht="17.399999999999999">
      <c r="A112" s="220" t="s">
        <v>6</v>
      </c>
      <c r="B112" s="221" t="s">
        <v>113</v>
      </c>
      <c r="C112" s="222">
        <v>1</v>
      </c>
      <c r="D112" s="223" t="s">
        <v>114</v>
      </c>
      <c r="E112" s="224" t="s">
        <v>38</v>
      </c>
      <c r="F112" s="225" t="s">
        <v>115</v>
      </c>
      <c r="G112" s="224" t="s">
        <v>116</v>
      </c>
      <c r="H112" s="348">
        <v>0</v>
      </c>
      <c r="I112" s="262">
        <v>46082</v>
      </c>
      <c r="J112" s="1167">
        <v>0</v>
      </c>
      <c r="K112" s="1168"/>
      <c r="L112" s="1169">
        <f>L102+J112</f>
        <v>0</v>
      </c>
      <c r="M112" s="1170">
        <f>M102+K112</f>
        <v>0</v>
      </c>
      <c r="N112" s="1171"/>
      <c r="O112" s="850"/>
      <c r="P112" s="851"/>
      <c r="Q112" s="849"/>
      <c r="R112" s="851"/>
    </row>
    <row r="113" spans="1:18" ht="17.399999999999999">
      <c r="A113" s="207" t="s">
        <v>6</v>
      </c>
      <c r="B113" s="210" t="s">
        <v>113</v>
      </c>
      <c r="C113" s="180">
        <v>2</v>
      </c>
      <c r="D113" s="189" t="s">
        <v>117</v>
      </c>
      <c r="E113" s="182" t="s">
        <v>38</v>
      </c>
      <c r="F113" s="183" t="s">
        <v>115</v>
      </c>
      <c r="G113" s="182" t="s">
        <v>116</v>
      </c>
      <c r="H113" s="342">
        <v>0</v>
      </c>
      <c r="I113" s="260">
        <v>46082</v>
      </c>
      <c r="J113" s="1126">
        <v>0</v>
      </c>
      <c r="K113" s="1165"/>
      <c r="L113" s="1127">
        <v>0</v>
      </c>
      <c r="M113" s="1121">
        <f t="shared" ref="M113:M118" si="9">M103+K113</f>
        <v>1</v>
      </c>
      <c r="N113" s="1141"/>
      <c r="O113" s="761"/>
      <c r="P113" s="762"/>
      <c r="Q113" s="758"/>
      <c r="R113" s="762"/>
    </row>
    <row r="114" spans="1:18" ht="34.799999999999997">
      <c r="A114" s="207" t="s">
        <v>6</v>
      </c>
      <c r="B114" s="210" t="s">
        <v>113</v>
      </c>
      <c r="C114" s="180">
        <v>3</v>
      </c>
      <c r="D114" s="181" t="s">
        <v>118</v>
      </c>
      <c r="E114" s="182" t="s">
        <v>38</v>
      </c>
      <c r="F114" s="183" t="s">
        <v>115</v>
      </c>
      <c r="G114" s="182" t="s">
        <v>116</v>
      </c>
      <c r="H114" s="343">
        <v>4</v>
      </c>
      <c r="I114" s="260">
        <v>46082</v>
      </c>
      <c r="J114" s="1118">
        <v>0</v>
      </c>
      <c r="K114" s="1165"/>
      <c r="L114" s="1120">
        <f>L104+J114</f>
        <v>4</v>
      </c>
      <c r="M114" s="1121">
        <f t="shared" si="9"/>
        <v>4</v>
      </c>
      <c r="N114" s="1141"/>
      <c r="O114" s="761"/>
      <c r="P114" s="762"/>
      <c r="Q114" s="758"/>
      <c r="R114" s="762"/>
    </row>
    <row r="115" spans="1:18" ht="34.799999999999997">
      <c r="A115" s="207" t="s">
        <v>6</v>
      </c>
      <c r="B115" s="210" t="s">
        <v>113</v>
      </c>
      <c r="C115" s="180">
        <v>4</v>
      </c>
      <c r="D115" s="181" t="s">
        <v>119</v>
      </c>
      <c r="E115" s="182" t="s">
        <v>38</v>
      </c>
      <c r="F115" s="183" t="s">
        <v>115</v>
      </c>
      <c r="G115" s="182" t="s">
        <v>116</v>
      </c>
      <c r="H115" s="343">
        <v>9</v>
      </c>
      <c r="I115" s="260">
        <v>46082</v>
      </c>
      <c r="J115" s="1118">
        <v>0</v>
      </c>
      <c r="K115" s="1165"/>
      <c r="L115" s="1120">
        <f>L105+J115</f>
        <v>9</v>
      </c>
      <c r="M115" s="1121">
        <f t="shared" si="9"/>
        <v>10</v>
      </c>
      <c r="N115" s="1141"/>
      <c r="O115" s="761"/>
      <c r="P115" s="762"/>
      <c r="Q115" s="758"/>
      <c r="R115" s="762"/>
    </row>
    <row r="116" spans="1:18" ht="17.399999999999999">
      <c r="A116" s="207" t="s">
        <v>6</v>
      </c>
      <c r="B116" s="210" t="s">
        <v>113</v>
      </c>
      <c r="C116" s="180">
        <v>5</v>
      </c>
      <c r="D116" s="189" t="s">
        <v>120</v>
      </c>
      <c r="E116" s="182" t="s">
        <v>38</v>
      </c>
      <c r="F116" s="183" t="s">
        <v>115</v>
      </c>
      <c r="G116" s="182" t="s">
        <v>116</v>
      </c>
      <c r="H116" s="343">
        <v>6</v>
      </c>
      <c r="I116" s="260">
        <v>46082</v>
      </c>
      <c r="J116" s="1118">
        <v>1</v>
      </c>
      <c r="K116" s="1165"/>
      <c r="L116" s="1120">
        <f>L106+J116</f>
        <v>6</v>
      </c>
      <c r="M116" s="1121">
        <f t="shared" si="9"/>
        <v>17</v>
      </c>
      <c r="N116" s="1141"/>
      <c r="O116" s="761"/>
      <c r="P116" s="762"/>
      <c r="Q116" s="758"/>
      <c r="R116" s="762"/>
    </row>
    <row r="117" spans="1:18" ht="34.799999999999997">
      <c r="A117" s="207" t="s">
        <v>6</v>
      </c>
      <c r="B117" s="210" t="s">
        <v>113</v>
      </c>
      <c r="C117" s="180">
        <v>6</v>
      </c>
      <c r="D117" s="181" t="s">
        <v>125</v>
      </c>
      <c r="E117" s="182" t="s">
        <v>38</v>
      </c>
      <c r="F117" s="183" t="s">
        <v>156</v>
      </c>
      <c r="G117" s="182" t="s">
        <v>127</v>
      </c>
      <c r="H117" s="344">
        <v>6</v>
      </c>
      <c r="I117" s="260">
        <v>46082</v>
      </c>
      <c r="J117" s="1118">
        <v>1</v>
      </c>
      <c r="K117" s="1165"/>
      <c r="L117" s="1120">
        <f>L107+J117</f>
        <v>6</v>
      </c>
      <c r="M117" s="1121">
        <f t="shared" si="9"/>
        <v>16</v>
      </c>
      <c r="N117" s="1141"/>
      <c r="O117" s="761"/>
      <c r="P117" s="762"/>
      <c r="Q117" s="758"/>
      <c r="R117" s="762"/>
    </row>
    <row r="118" spans="1:18" ht="17.399999999999999">
      <c r="A118" s="207" t="s">
        <v>6</v>
      </c>
      <c r="B118" s="211" t="s">
        <v>113</v>
      </c>
      <c r="C118" s="190">
        <v>7</v>
      </c>
      <c r="D118" s="191" t="s">
        <v>129</v>
      </c>
      <c r="E118" s="192" t="s">
        <v>38</v>
      </c>
      <c r="F118" s="193" t="s">
        <v>126</v>
      </c>
      <c r="G118" s="192" t="s">
        <v>130</v>
      </c>
      <c r="H118" s="345">
        <v>5</v>
      </c>
      <c r="I118" s="260">
        <v>46082</v>
      </c>
      <c r="J118" s="1151">
        <v>0</v>
      </c>
      <c r="K118" s="1172"/>
      <c r="L118" s="1153">
        <f>L108+J118</f>
        <v>5</v>
      </c>
      <c r="M118" s="1154">
        <f t="shared" si="9"/>
        <v>3</v>
      </c>
      <c r="N118" s="1155"/>
      <c r="O118" s="1156"/>
      <c r="P118" s="1157"/>
      <c r="Q118" s="1158"/>
      <c r="R118" s="1157"/>
    </row>
    <row r="119" spans="1:18" ht="34.799999999999997">
      <c r="A119" s="207" t="s">
        <v>6</v>
      </c>
      <c r="B119" s="212" t="s">
        <v>131</v>
      </c>
      <c r="C119" s="194">
        <v>8</v>
      </c>
      <c r="D119" s="195" t="s">
        <v>132</v>
      </c>
      <c r="E119" s="196" t="s">
        <v>133</v>
      </c>
      <c r="F119" s="197" t="s">
        <v>134</v>
      </c>
      <c r="G119" s="196" t="s">
        <v>135</v>
      </c>
      <c r="H119" s="346">
        <v>5.6228257045651073E-3</v>
      </c>
      <c r="I119" s="260">
        <v>46082</v>
      </c>
      <c r="J119" s="1145">
        <v>5.4098586347450803E-3</v>
      </c>
      <c r="K119" s="1173"/>
      <c r="L119" s="1147">
        <v>5.62E-3</v>
      </c>
      <c r="M119" s="1174"/>
      <c r="N119" s="1175"/>
      <c r="O119" s="756"/>
      <c r="P119" s="757"/>
      <c r="Q119" s="753"/>
      <c r="R119" s="757"/>
    </row>
    <row r="120" spans="1:18" ht="34.799999999999997">
      <c r="A120" s="207" t="s">
        <v>6</v>
      </c>
      <c r="B120" s="210" t="s">
        <v>131</v>
      </c>
      <c r="C120" s="180">
        <v>9</v>
      </c>
      <c r="D120" s="181" t="s">
        <v>132</v>
      </c>
      <c r="E120" s="182" t="s">
        <v>136</v>
      </c>
      <c r="F120" s="183" t="s">
        <v>134</v>
      </c>
      <c r="G120" s="182" t="s">
        <v>135</v>
      </c>
      <c r="H120" s="356">
        <v>162.9</v>
      </c>
      <c r="I120" s="260">
        <v>46082</v>
      </c>
      <c r="J120" s="1138">
        <v>13.31</v>
      </c>
      <c r="K120" s="1165"/>
      <c r="L120" s="1120">
        <v>162.86000000000001</v>
      </c>
      <c r="M120" s="1076"/>
      <c r="N120" s="1141"/>
      <c r="O120" s="761"/>
      <c r="P120" s="762"/>
      <c r="Q120" s="758"/>
      <c r="R120" s="762"/>
    </row>
    <row r="121" spans="1:18" ht="17.399999999999999">
      <c r="A121" s="214" t="s">
        <v>6</v>
      </c>
      <c r="B121" s="215" t="s">
        <v>131</v>
      </c>
      <c r="C121" s="202">
        <v>10</v>
      </c>
      <c r="D121" s="203" t="s">
        <v>137</v>
      </c>
      <c r="E121" s="204" t="s">
        <v>136</v>
      </c>
      <c r="F121" s="205" t="s">
        <v>138</v>
      </c>
      <c r="G121" s="204" t="s">
        <v>135</v>
      </c>
      <c r="H121" s="350">
        <v>231.81399999999999</v>
      </c>
      <c r="I121" s="263">
        <v>46082</v>
      </c>
      <c r="J121" s="1176">
        <v>4.4800000000000004</v>
      </c>
      <c r="K121" s="1177"/>
      <c r="L121" s="1178">
        <f>L111+J121</f>
        <v>70.45</v>
      </c>
      <c r="M121" s="1179">
        <f>M111+K121</f>
        <v>118.01</v>
      </c>
      <c r="N121" s="1180"/>
      <c r="O121" s="858"/>
      <c r="P121" s="859"/>
      <c r="Q121" s="855"/>
      <c r="R121" s="859"/>
    </row>
    <row r="122" spans="1:18" ht="34.35" customHeight="1">
      <c r="O122" s="1181"/>
    </row>
    <row r="123" spans="1:18" ht="34.35" customHeight="1">
      <c r="J123" s="1182"/>
      <c r="K123" s="1182"/>
    </row>
    <row r="124" spans="1:18" ht="34.35" customHeight="1">
      <c r="K124" s="1182"/>
    </row>
  </sheetData>
  <sheetProtection algorithmName="SHA-512" hashValue="INl8npT/yvtVne7nvueF28iz7jf9xeEfqmd9q8+hq9A6iKRTeuJndCfOp/ugRix+PNkLqp+6WR3Og4hTXnvZPA==" saltValue="y2EU/wRkgEBd124zVIhLkQ==" spinCount="100000" sheet="1" formatCells="0" formatColumns="0" formatRows="0" sort="0" autoFilter="0" pivotTables="0"/>
  <autoFilter ref="A1:S121" xr:uid="{B8E4EBE8-A0EC-4544-87CD-BD65593A7F57}"/>
  <conditionalFormatting sqref="I105:O106">
    <cfRule type="expression" dxfId="47" priority="5">
      <formula>MONTH($I105)=MONTH(TODAY()-29)</formula>
    </cfRule>
  </conditionalFormatting>
  <conditionalFormatting sqref="I2:R94 I95:N96 I97:R97 I98:N98 Q98:R98">
    <cfRule type="expression" dxfId="46" priority="154">
      <formula>MONTH($I2)=MONTH(TODAY()-29)</formula>
    </cfRule>
  </conditionalFormatting>
  <conditionalFormatting sqref="I99:R104">
    <cfRule type="expression" dxfId="45" priority="9">
      <formula>MONTH($I99)=MONTH(TODAY()-29)</formula>
    </cfRule>
  </conditionalFormatting>
  <conditionalFormatting sqref="I107:R121">
    <cfRule type="expression" dxfId="44" priority="1">
      <formula>MONTH($I107)=MONTH(TODAY()-29)</formula>
    </cfRule>
  </conditionalFormatting>
  <conditionalFormatting sqref="N1:N121">
    <cfRule type="expression" dxfId="43" priority="156">
      <formula>MONTH(I1)&lt;&gt;MONTH(TODAY())</formula>
    </cfRule>
  </conditionalFormatting>
  <conditionalFormatting sqref="R95:R96">
    <cfRule type="expression" dxfId="42" priority="10">
      <formula>MONTH($I95)=MONTH(TODAY()-29)</formula>
    </cfRule>
  </conditionalFormatting>
  <conditionalFormatting sqref="R105:R106">
    <cfRule type="expression" dxfId="41" priority="6">
      <formula>MONTH($I105)=MONTH(TODAY()-29)</formula>
    </cfRule>
  </conditionalFormatting>
  <pageMargins left="0.7" right="0.7" top="0.75" bottom="0.75" header="0.3" footer="0.3"/>
  <pageSetup paperSize="9" orientation="portrait" r:id="rId1"/>
  <headerFooter>
    <oddHeader>&amp;C&amp;"Calibri"&amp;10&amp;KFF0000 CONFIDENTIAL&amp;1#_x000D_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FDADE-35C6-42CD-9C13-54ECB5787117}">
  <sheetPr codeName="Sheet5" filterMode="1"/>
  <dimension ref="A1:AH112"/>
  <sheetViews>
    <sheetView showGridLines="0" zoomScale="145" zoomScaleNormal="145" workbookViewId="0">
      <pane xSplit="1" ySplit="1" topLeftCell="M87" activePane="bottomRight" state="frozen"/>
      <selection pane="topRight" activeCell="D69" sqref="D69"/>
      <selection pane="bottomLeft" activeCell="D69" sqref="D69"/>
      <selection pane="bottomRight" activeCell="T99" sqref="T99"/>
    </sheetView>
  </sheetViews>
  <sheetFormatPr defaultColWidth="8.109375" defaultRowHeight="34.35" customHeight="1"/>
  <cols>
    <col min="1" max="1" width="10.6640625" style="108" customWidth="1"/>
    <col min="2" max="2" width="8.6640625" style="108" customWidth="1"/>
    <col min="3" max="3" width="4.109375" style="108" customWidth="1"/>
    <col min="4" max="4" width="26.6640625" style="108" customWidth="1"/>
    <col min="5" max="5" width="7.33203125" style="109" customWidth="1"/>
    <col min="6" max="6" width="4.6640625" style="108" customWidth="1"/>
    <col min="7" max="7" width="11.6640625" style="108" customWidth="1"/>
    <col min="8" max="8" width="7.6640625" style="109" customWidth="1"/>
    <col min="9" max="9" width="8.6640625" style="108" customWidth="1"/>
    <col min="10" max="10" width="7.88671875" style="1100" customWidth="1"/>
    <col min="11" max="11" width="8.6640625" style="1100" customWidth="1"/>
    <col min="12" max="29" width="8.6640625" style="860" customWidth="1"/>
    <col min="30" max="16384" width="8.109375" style="108"/>
  </cols>
  <sheetData>
    <row r="1" spans="1:29" s="257" customFormat="1" ht="50.85" customHeight="1">
      <c r="A1" s="161" t="s">
        <v>1</v>
      </c>
      <c r="B1" s="367" t="s">
        <v>19</v>
      </c>
      <c r="C1" s="258" t="s">
        <v>20</v>
      </c>
      <c r="D1" s="258" t="s">
        <v>21</v>
      </c>
      <c r="E1" s="251" t="s">
        <v>22</v>
      </c>
      <c r="F1" s="250" t="s">
        <v>23</v>
      </c>
      <c r="G1" s="251" t="s">
        <v>24</v>
      </c>
      <c r="H1" s="340" t="s">
        <v>25</v>
      </c>
      <c r="I1" s="252" t="s">
        <v>26</v>
      </c>
      <c r="J1" s="1106" t="s">
        <v>94</v>
      </c>
      <c r="K1" s="1107" t="s">
        <v>95</v>
      </c>
      <c r="L1" s="1107" t="s">
        <v>96</v>
      </c>
      <c r="M1" s="1107" t="s">
        <v>97</v>
      </c>
      <c r="N1" s="1107" t="s">
        <v>98</v>
      </c>
      <c r="O1" s="1107" t="s">
        <v>99</v>
      </c>
      <c r="P1" s="1107" t="s">
        <v>100</v>
      </c>
      <c r="Q1" s="1107" t="s">
        <v>101</v>
      </c>
      <c r="R1" s="1107" t="s">
        <v>102</v>
      </c>
      <c r="S1" s="1264" t="s">
        <v>103</v>
      </c>
      <c r="T1" s="1265" t="s">
        <v>262</v>
      </c>
      <c r="U1" s="1266" t="s">
        <v>263</v>
      </c>
      <c r="V1" s="1266" t="s">
        <v>264</v>
      </c>
      <c r="W1" s="1266" t="s">
        <v>265</v>
      </c>
      <c r="X1" s="1266" t="s">
        <v>266</v>
      </c>
      <c r="Y1" s="1266" t="s">
        <v>267</v>
      </c>
      <c r="Z1" s="1266" t="s">
        <v>268</v>
      </c>
      <c r="AA1" s="1266" t="s">
        <v>269</v>
      </c>
      <c r="AB1" s="1266" t="s">
        <v>270</v>
      </c>
      <c r="AC1" s="1267" t="s">
        <v>271</v>
      </c>
    </row>
    <row r="2" spans="1:29" ht="17.399999999999999">
      <c r="A2" s="368" t="s">
        <v>6</v>
      </c>
      <c r="B2" s="369" t="s">
        <v>113</v>
      </c>
      <c r="C2" s="240">
        <v>1</v>
      </c>
      <c r="D2" s="241" t="s">
        <v>114</v>
      </c>
      <c r="E2" s="242" t="s">
        <v>38</v>
      </c>
      <c r="F2" s="243" t="s">
        <v>115</v>
      </c>
      <c r="G2" s="244" t="s">
        <v>116</v>
      </c>
      <c r="H2" s="341">
        <v>0</v>
      </c>
      <c r="I2" s="259">
        <v>45748</v>
      </c>
      <c r="J2" s="1268"/>
      <c r="K2" s="1269"/>
      <c r="L2" s="1269"/>
      <c r="M2" s="1269"/>
      <c r="N2" s="1269"/>
      <c r="O2" s="1269"/>
      <c r="P2" s="1269"/>
      <c r="Q2" s="1269"/>
      <c r="R2" s="1269"/>
      <c r="S2" s="1270"/>
      <c r="T2" s="1271"/>
      <c r="U2" s="1272"/>
      <c r="V2" s="1272"/>
      <c r="W2" s="1272"/>
      <c r="X2" s="1272"/>
      <c r="Y2" s="1272"/>
      <c r="Z2" s="1272"/>
      <c r="AA2" s="1272"/>
      <c r="AB2" s="1272"/>
      <c r="AC2" s="1273"/>
    </row>
    <row r="3" spans="1:29" ht="17.399999999999999">
      <c r="A3" s="305" t="s">
        <v>6</v>
      </c>
      <c r="B3" s="363" t="s">
        <v>113</v>
      </c>
      <c r="C3" s="254">
        <v>2</v>
      </c>
      <c r="D3" s="253" t="s">
        <v>117</v>
      </c>
      <c r="E3" s="247" t="s">
        <v>38</v>
      </c>
      <c r="F3" s="248" t="s">
        <v>115</v>
      </c>
      <c r="G3" s="249" t="s">
        <v>116</v>
      </c>
      <c r="H3" s="342" t="s">
        <v>41</v>
      </c>
      <c r="I3" s="260">
        <v>45748</v>
      </c>
      <c r="J3" s="1059"/>
      <c r="K3" s="1060"/>
      <c r="L3" s="1060"/>
      <c r="M3" s="1060"/>
      <c r="N3" s="1060"/>
      <c r="O3" s="1060"/>
      <c r="P3" s="1060"/>
      <c r="Q3" s="1060"/>
      <c r="R3" s="1060"/>
      <c r="S3" s="1119"/>
      <c r="T3" s="1274"/>
      <c r="U3" s="1275"/>
      <c r="V3" s="1275"/>
      <c r="W3" s="1275"/>
      <c r="X3" s="1275"/>
      <c r="Y3" s="1275"/>
      <c r="Z3" s="1275"/>
      <c r="AA3" s="1275"/>
      <c r="AB3" s="1275"/>
      <c r="AC3" s="1276"/>
    </row>
    <row r="4" spans="1:29" ht="17.399999999999999">
      <c r="A4" s="305" t="s">
        <v>6</v>
      </c>
      <c r="B4" s="363" t="s">
        <v>113</v>
      </c>
      <c r="C4" s="245">
        <v>3</v>
      </c>
      <c r="D4" s="246" t="s">
        <v>118</v>
      </c>
      <c r="E4" s="247" t="s">
        <v>38</v>
      </c>
      <c r="F4" s="248" t="s">
        <v>115</v>
      </c>
      <c r="G4" s="249" t="s">
        <v>116</v>
      </c>
      <c r="H4" s="343">
        <v>4</v>
      </c>
      <c r="I4" s="260">
        <v>45748</v>
      </c>
      <c r="J4" s="1059"/>
      <c r="K4" s="1060"/>
      <c r="L4" s="1060"/>
      <c r="M4" s="1060"/>
      <c r="N4" s="1060"/>
      <c r="O4" s="1060"/>
      <c r="P4" s="1060"/>
      <c r="Q4" s="1060"/>
      <c r="R4" s="1060"/>
      <c r="S4" s="1119"/>
      <c r="T4" s="1274"/>
      <c r="U4" s="1275"/>
      <c r="V4" s="1275"/>
      <c r="W4" s="1275"/>
      <c r="X4" s="1275"/>
      <c r="Y4" s="1275"/>
      <c r="Z4" s="1275"/>
      <c r="AA4" s="1275"/>
      <c r="AB4" s="1275"/>
      <c r="AC4" s="1276"/>
    </row>
    <row r="5" spans="1:29" ht="32.4">
      <c r="A5" s="305" t="s">
        <v>6</v>
      </c>
      <c r="B5" s="363" t="s">
        <v>113</v>
      </c>
      <c r="C5" s="245">
        <v>4</v>
      </c>
      <c r="D5" s="246" t="s">
        <v>119</v>
      </c>
      <c r="E5" s="247" t="s">
        <v>38</v>
      </c>
      <c r="F5" s="248" t="s">
        <v>115</v>
      </c>
      <c r="G5" s="249" t="s">
        <v>116</v>
      </c>
      <c r="H5" s="343">
        <v>9</v>
      </c>
      <c r="I5" s="260">
        <v>45748</v>
      </c>
      <c r="J5" s="1059"/>
      <c r="K5" s="1060"/>
      <c r="L5" s="1060"/>
      <c r="M5" s="1060"/>
      <c r="N5" s="1060"/>
      <c r="O5" s="1060"/>
      <c r="P5" s="1060"/>
      <c r="Q5" s="1060"/>
      <c r="R5" s="1060"/>
      <c r="S5" s="1119"/>
      <c r="T5" s="1277"/>
      <c r="U5" s="759"/>
      <c r="V5" s="759"/>
      <c r="W5" s="759"/>
      <c r="X5" s="759"/>
      <c r="Y5" s="759"/>
      <c r="Z5" s="759"/>
      <c r="AA5" s="759"/>
      <c r="AB5" s="759"/>
      <c r="AC5" s="762"/>
    </row>
    <row r="6" spans="1:29" ht="17.399999999999999">
      <c r="A6" s="305" t="s">
        <v>6</v>
      </c>
      <c r="B6" s="363" t="s">
        <v>113</v>
      </c>
      <c r="C6" s="254">
        <v>5</v>
      </c>
      <c r="D6" s="253" t="s">
        <v>120</v>
      </c>
      <c r="E6" s="247" t="s">
        <v>38</v>
      </c>
      <c r="F6" s="248" t="s">
        <v>115</v>
      </c>
      <c r="G6" s="249" t="s">
        <v>116</v>
      </c>
      <c r="H6" s="343">
        <v>6</v>
      </c>
      <c r="I6" s="260">
        <v>45748</v>
      </c>
      <c r="J6" s="1108">
        <v>1</v>
      </c>
      <c r="K6" s="1060"/>
      <c r="L6" s="1060"/>
      <c r="M6" s="1060"/>
      <c r="N6" s="1060"/>
      <c r="O6" s="1060"/>
      <c r="P6" s="1060"/>
      <c r="Q6" s="1060"/>
      <c r="R6" s="1060"/>
      <c r="S6" s="1119"/>
      <c r="T6" s="1277"/>
      <c r="U6" s="759"/>
      <c r="V6" s="759"/>
      <c r="W6" s="759"/>
      <c r="X6" s="759"/>
      <c r="Y6" s="759"/>
      <c r="Z6" s="759"/>
      <c r="AA6" s="759"/>
      <c r="AB6" s="759"/>
      <c r="AC6" s="762"/>
    </row>
    <row r="7" spans="1:29" ht="30">
      <c r="A7" s="305" t="s">
        <v>6</v>
      </c>
      <c r="B7" s="363" t="s">
        <v>113</v>
      </c>
      <c r="C7" s="245">
        <v>6</v>
      </c>
      <c r="D7" s="246" t="s">
        <v>125</v>
      </c>
      <c r="E7" s="247" t="s">
        <v>38</v>
      </c>
      <c r="F7" s="248" t="s">
        <v>156</v>
      </c>
      <c r="G7" s="249" t="s">
        <v>127</v>
      </c>
      <c r="H7" s="344">
        <v>6</v>
      </c>
      <c r="I7" s="260">
        <v>45748</v>
      </c>
      <c r="J7" s="1108">
        <v>1</v>
      </c>
      <c r="K7" s="1060"/>
      <c r="L7" s="1060"/>
      <c r="M7" s="1060"/>
      <c r="N7" s="1060"/>
      <c r="O7" s="1060"/>
      <c r="P7" s="1060"/>
      <c r="Q7" s="1060"/>
      <c r="R7" s="1060"/>
      <c r="S7" s="1119"/>
      <c r="T7" s="1277"/>
      <c r="U7" s="759"/>
      <c r="V7" s="759"/>
      <c r="W7" s="759"/>
      <c r="X7" s="759"/>
      <c r="Y7" s="759"/>
      <c r="Z7" s="759"/>
      <c r="AA7" s="759"/>
      <c r="AB7" s="759"/>
      <c r="AC7" s="762"/>
    </row>
    <row r="8" spans="1:29" ht="17.399999999999999">
      <c r="A8" s="305" t="s">
        <v>6</v>
      </c>
      <c r="B8" s="364" t="s">
        <v>113</v>
      </c>
      <c r="C8" s="318">
        <v>7</v>
      </c>
      <c r="D8" s="319" t="s">
        <v>129</v>
      </c>
      <c r="E8" s="320" t="s">
        <v>38</v>
      </c>
      <c r="F8" s="321" t="s">
        <v>126</v>
      </c>
      <c r="G8" s="322" t="s">
        <v>130</v>
      </c>
      <c r="H8" s="345">
        <v>5</v>
      </c>
      <c r="I8" s="260">
        <v>45748</v>
      </c>
      <c r="J8" s="1278"/>
      <c r="K8" s="1279"/>
      <c r="L8" s="1279"/>
      <c r="M8" s="1279"/>
      <c r="N8" s="1279"/>
      <c r="O8" s="1279"/>
      <c r="P8" s="1279"/>
      <c r="Q8" s="1279"/>
      <c r="R8" s="1279"/>
      <c r="S8" s="1152"/>
      <c r="T8" s="1280"/>
      <c r="U8" s="1281"/>
      <c r="V8" s="1281"/>
      <c r="W8" s="1281"/>
      <c r="X8" s="1281"/>
      <c r="Y8" s="1281"/>
      <c r="Z8" s="1281"/>
      <c r="AA8" s="1281"/>
      <c r="AB8" s="1281"/>
      <c r="AC8" s="1157"/>
    </row>
    <row r="9" spans="1:29" ht="17.399999999999999">
      <c r="A9" s="305" t="s">
        <v>6</v>
      </c>
      <c r="B9" s="370" t="s">
        <v>131</v>
      </c>
      <c r="C9" s="230">
        <v>8</v>
      </c>
      <c r="D9" s="231" t="s">
        <v>132</v>
      </c>
      <c r="E9" s="232" t="s">
        <v>133</v>
      </c>
      <c r="F9" s="233" t="s">
        <v>134</v>
      </c>
      <c r="G9" s="234" t="s">
        <v>135</v>
      </c>
      <c r="H9" s="346">
        <v>5.6228257045651073E-3</v>
      </c>
      <c r="I9" s="260">
        <v>45748</v>
      </c>
      <c r="J9" s="1282">
        <v>3.1500000000000001E-4</v>
      </c>
      <c r="K9" s="1283">
        <v>2.6059999999999998E-3</v>
      </c>
      <c r="L9" s="1283">
        <v>4.5399999999999998E-3</v>
      </c>
      <c r="M9" s="1283">
        <v>3.8470000000000002E-3</v>
      </c>
      <c r="N9" s="1283">
        <v>6.6189999999999999E-3</v>
      </c>
      <c r="O9" s="1283">
        <v>1.1547999999999999E-2</v>
      </c>
      <c r="P9" s="1283">
        <v>1.3273999999999999E-2</v>
      </c>
      <c r="Q9" s="1283">
        <v>1.0893999999999999E-2</v>
      </c>
      <c r="R9" s="1283">
        <v>5.973E-3</v>
      </c>
      <c r="S9" s="1129">
        <v>3.4499999999999998E-4</v>
      </c>
      <c r="T9" s="1284">
        <v>4.6578238192124499E-4</v>
      </c>
      <c r="U9" s="1285">
        <v>3.7276760716880891E-3</v>
      </c>
      <c r="V9" s="1286">
        <v>4.513666704242603E-3</v>
      </c>
      <c r="W9" s="1285">
        <v>3.7276760716880891E-3</v>
      </c>
      <c r="X9" s="1285">
        <v>7.1114382797580304E-3</v>
      </c>
      <c r="Y9" s="1285">
        <v>1.3375418924551843E-2</v>
      </c>
      <c r="Z9" s="1285">
        <v>1.2247878230999617E-2</v>
      </c>
      <c r="AA9" s="1285">
        <v>1.6167676132018482E-2</v>
      </c>
      <c r="AB9" s="1285">
        <v>6.5150990146113528E-3</v>
      </c>
      <c r="AC9" s="1287">
        <v>4.9070274518908641E-4</v>
      </c>
    </row>
    <row r="10" spans="1:29" s="229" customFormat="1" ht="17.399999999999999">
      <c r="A10" s="305" t="s">
        <v>6</v>
      </c>
      <c r="B10" s="371" t="s">
        <v>131</v>
      </c>
      <c r="C10" s="323">
        <v>9</v>
      </c>
      <c r="D10" s="324" t="s">
        <v>132</v>
      </c>
      <c r="E10" s="325" t="s">
        <v>136</v>
      </c>
      <c r="F10" s="326" t="s">
        <v>134</v>
      </c>
      <c r="G10" s="327" t="s">
        <v>135</v>
      </c>
      <c r="H10" s="347">
        <v>162.9</v>
      </c>
      <c r="I10" s="260">
        <v>45748</v>
      </c>
      <c r="J10" s="1195">
        <v>0.19</v>
      </c>
      <c r="K10" s="1288">
        <v>1.62</v>
      </c>
      <c r="L10" s="1288">
        <v>1.74</v>
      </c>
      <c r="M10" s="1288">
        <v>3.83</v>
      </c>
      <c r="N10" s="1288">
        <v>0.99</v>
      </c>
      <c r="O10" s="1288">
        <v>1.77</v>
      </c>
      <c r="P10" s="1288">
        <v>1.91</v>
      </c>
      <c r="Q10" s="1288">
        <v>0.57999999999999996</v>
      </c>
      <c r="R10" s="1288">
        <v>1.44</v>
      </c>
      <c r="S10" s="1134">
        <v>0.11</v>
      </c>
      <c r="T10" s="1289">
        <v>0.26915111506987932</v>
      </c>
      <c r="U10" s="1290">
        <v>2.1540277396833725</v>
      </c>
      <c r="V10" s="1290">
        <v>1.9798676297758537</v>
      </c>
      <c r="W10" s="1290">
        <v>4.5910012165358411</v>
      </c>
      <c r="X10" s="1290">
        <v>1.121146329211993</v>
      </c>
      <c r="Y10" s="1290">
        <v>2.0543751995878541</v>
      </c>
      <c r="Z10" s="1290">
        <v>1.9557577305616307</v>
      </c>
      <c r="AA10" s="1290">
        <v>0.85347012000000011</v>
      </c>
      <c r="AB10" s="1290">
        <v>1.900032725353906</v>
      </c>
      <c r="AC10" s="1291">
        <v>0.16406098293282606</v>
      </c>
    </row>
    <row r="11" spans="1:29" ht="17.399999999999999">
      <c r="A11" s="361" t="s">
        <v>6</v>
      </c>
      <c r="B11" s="362" t="s">
        <v>113</v>
      </c>
      <c r="C11" s="329">
        <v>1</v>
      </c>
      <c r="D11" s="330" t="s">
        <v>114</v>
      </c>
      <c r="E11" s="331" t="s">
        <v>38</v>
      </c>
      <c r="F11" s="332" t="s">
        <v>115</v>
      </c>
      <c r="G11" s="333" t="s">
        <v>116</v>
      </c>
      <c r="H11" s="348">
        <v>0</v>
      </c>
      <c r="I11" s="262">
        <v>45778</v>
      </c>
      <c r="J11" s="1063"/>
      <c r="K11" s="1064"/>
      <c r="L11" s="1064"/>
      <c r="M11" s="1064"/>
      <c r="N11" s="1064"/>
      <c r="O11" s="1064"/>
      <c r="P11" s="1064"/>
      <c r="Q11" s="1064"/>
      <c r="R11" s="1064"/>
      <c r="S11" s="1292"/>
      <c r="T11" s="1293"/>
      <c r="U11" s="1294"/>
      <c r="V11" s="1294"/>
      <c r="W11" s="1294"/>
      <c r="X11" s="1294"/>
      <c r="Y11" s="1294"/>
      <c r="Z11" s="1294"/>
      <c r="AA11" s="1294"/>
      <c r="AB11" s="1294"/>
      <c r="AC11" s="1295"/>
    </row>
    <row r="12" spans="1:29" ht="17.399999999999999">
      <c r="A12" s="305" t="s">
        <v>6</v>
      </c>
      <c r="B12" s="363" t="s">
        <v>113</v>
      </c>
      <c r="C12" s="254">
        <v>2</v>
      </c>
      <c r="D12" s="253" t="s">
        <v>117</v>
      </c>
      <c r="E12" s="247" t="s">
        <v>38</v>
      </c>
      <c r="F12" s="248" t="s">
        <v>115</v>
      </c>
      <c r="G12" s="249" t="s">
        <v>116</v>
      </c>
      <c r="H12" s="342" t="s">
        <v>41</v>
      </c>
      <c r="I12" s="260">
        <v>45778</v>
      </c>
      <c r="J12" s="1059"/>
      <c r="K12" s="1296">
        <v>1</v>
      </c>
      <c r="L12" s="1060"/>
      <c r="M12" s="1060"/>
      <c r="N12" s="1060"/>
      <c r="O12" s="1060"/>
      <c r="P12" s="1060"/>
      <c r="Q12" s="1060"/>
      <c r="R12" s="1060"/>
      <c r="S12" s="1119"/>
      <c r="T12" s="1274"/>
      <c r="U12" s="1275"/>
      <c r="V12" s="1275"/>
      <c r="W12" s="1275"/>
      <c r="X12" s="1275"/>
      <c r="Y12" s="1275"/>
      <c r="Z12" s="1275"/>
      <c r="AA12" s="1275"/>
      <c r="AB12" s="1275"/>
      <c r="AC12" s="1276"/>
    </row>
    <row r="13" spans="1:29" ht="17.399999999999999">
      <c r="A13" s="305" t="s">
        <v>6</v>
      </c>
      <c r="B13" s="363" t="s">
        <v>113</v>
      </c>
      <c r="C13" s="245">
        <v>3</v>
      </c>
      <c r="D13" s="246" t="s">
        <v>118</v>
      </c>
      <c r="E13" s="247" t="s">
        <v>38</v>
      </c>
      <c r="F13" s="248" t="s">
        <v>115</v>
      </c>
      <c r="G13" s="249" t="s">
        <v>116</v>
      </c>
      <c r="H13" s="343">
        <v>4</v>
      </c>
      <c r="I13" s="260">
        <v>45778</v>
      </c>
      <c r="J13" s="1059"/>
      <c r="K13" s="1060"/>
      <c r="L13" s="1060"/>
      <c r="M13" s="1060"/>
      <c r="N13" s="1060"/>
      <c r="O13" s="1060"/>
      <c r="P13" s="1060"/>
      <c r="Q13" s="1060"/>
      <c r="R13" s="1060"/>
      <c r="S13" s="1119"/>
      <c r="T13" s="1274"/>
      <c r="U13" s="1275"/>
      <c r="V13" s="1275"/>
      <c r="W13" s="1275"/>
      <c r="X13" s="1275"/>
      <c r="Y13" s="1275"/>
      <c r="Z13" s="1275"/>
      <c r="AA13" s="1275"/>
      <c r="AB13" s="1275"/>
      <c r="AC13" s="1276"/>
    </row>
    <row r="14" spans="1:29" ht="32.4">
      <c r="A14" s="305" t="s">
        <v>6</v>
      </c>
      <c r="B14" s="363" t="s">
        <v>113</v>
      </c>
      <c r="C14" s="245">
        <v>4</v>
      </c>
      <c r="D14" s="246" t="s">
        <v>119</v>
      </c>
      <c r="E14" s="247" t="s">
        <v>38</v>
      </c>
      <c r="F14" s="248" t="s">
        <v>115</v>
      </c>
      <c r="G14" s="249" t="s">
        <v>116</v>
      </c>
      <c r="H14" s="343">
        <v>9</v>
      </c>
      <c r="I14" s="260">
        <v>45778</v>
      </c>
      <c r="J14" s="1059"/>
      <c r="K14" s="1060"/>
      <c r="L14" s="1060"/>
      <c r="M14" s="1060"/>
      <c r="N14" s="1060"/>
      <c r="O14" s="1060"/>
      <c r="P14" s="1060"/>
      <c r="Q14" s="1060"/>
      <c r="R14" s="1060"/>
      <c r="S14" s="1119"/>
      <c r="T14" s="1277"/>
      <c r="U14" s="759"/>
      <c r="V14" s="759"/>
      <c r="W14" s="759"/>
      <c r="X14" s="759"/>
      <c r="Y14" s="759"/>
      <c r="Z14" s="759"/>
      <c r="AA14" s="759"/>
      <c r="AB14" s="759"/>
      <c r="AC14" s="762"/>
    </row>
    <row r="15" spans="1:29" ht="17.399999999999999">
      <c r="A15" s="305" t="s">
        <v>6</v>
      </c>
      <c r="B15" s="363" t="s">
        <v>113</v>
      </c>
      <c r="C15" s="254">
        <v>5</v>
      </c>
      <c r="D15" s="253" t="s">
        <v>120</v>
      </c>
      <c r="E15" s="247" t="s">
        <v>38</v>
      </c>
      <c r="F15" s="248" t="s">
        <v>115</v>
      </c>
      <c r="G15" s="249" t="s">
        <v>116</v>
      </c>
      <c r="H15" s="343">
        <v>6</v>
      </c>
      <c r="I15" s="260">
        <v>45778</v>
      </c>
      <c r="J15" s="1059"/>
      <c r="K15" s="1060"/>
      <c r="L15" s="1060"/>
      <c r="M15" s="1060"/>
      <c r="N15" s="1060"/>
      <c r="O15" s="1060"/>
      <c r="P15" s="1060"/>
      <c r="Q15" s="1060"/>
      <c r="R15" s="1060"/>
      <c r="S15" s="1119"/>
      <c r="T15" s="1277"/>
      <c r="U15" s="759"/>
      <c r="V15" s="759"/>
      <c r="W15" s="759"/>
      <c r="X15" s="759"/>
      <c r="Y15" s="759"/>
      <c r="Z15" s="759"/>
      <c r="AA15" s="759"/>
      <c r="AB15" s="759"/>
      <c r="AC15" s="762"/>
    </row>
    <row r="16" spans="1:29" ht="30">
      <c r="A16" s="305" t="s">
        <v>6</v>
      </c>
      <c r="B16" s="363" t="s">
        <v>113</v>
      </c>
      <c r="C16" s="245">
        <v>6</v>
      </c>
      <c r="D16" s="246" t="s">
        <v>125</v>
      </c>
      <c r="E16" s="247" t="s">
        <v>38</v>
      </c>
      <c r="F16" s="248" t="s">
        <v>156</v>
      </c>
      <c r="G16" s="249" t="s">
        <v>127</v>
      </c>
      <c r="H16" s="344">
        <v>6</v>
      </c>
      <c r="I16" s="260">
        <v>45778</v>
      </c>
      <c r="J16" s="1059"/>
      <c r="K16" s="1060"/>
      <c r="L16" s="1060"/>
      <c r="M16" s="1060"/>
      <c r="N16" s="1060"/>
      <c r="O16" s="1060"/>
      <c r="P16" s="1060"/>
      <c r="Q16" s="1060"/>
      <c r="R16" s="1060"/>
      <c r="S16" s="1119"/>
      <c r="T16" s="1277"/>
      <c r="U16" s="759"/>
      <c r="V16" s="759"/>
      <c r="W16" s="759"/>
      <c r="X16" s="759"/>
      <c r="Y16" s="759"/>
      <c r="Z16" s="759"/>
      <c r="AA16" s="759"/>
      <c r="AB16" s="759"/>
      <c r="AC16" s="762"/>
    </row>
    <row r="17" spans="1:29" ht="17.399999999999999">
      <c r="A17" s="305" t="s">
        <v>6</v>
      </c>
      <c r="B17" s="364" t="s">
        <v>113</v>
      </c>
      <c r="C17" s="318">
        <v>7</v>
      </c>
      <c r="D17" s="319" t="s">
        <v>129</v>
      </c>
      <c r="E17" s="320" t="s">
        <v>38</v>
      </c>
      <c r="F17" s="321" t="s">
        <v>126</v>
      </c>
      <c r="G17" s="322" t="s">
        <v>130</v>
      </c>
      <c r="H17" s="345">
        <v>5</v>
      </c>
      <c r="I17" s="260">
        <v>45778</v>
      </c>
      <c r="J17" s="1278"/>
      <c r="K17" s="1279"/>
      <c r="L17" s="1279"/>
      <c r="M17" s="1279"/>
      <c r="N17" s="1279"/>
      <c r="O17" s="1279"/>
      <c r="P17" s="1279"/>
      <c r="Q17" s="1279"/>
      <c r="R17" s="1279"/>
      <c r="S17" s="1152"/>
      <c r="T17" s="1280"/>
      <c r="U17" s="1281"/>
      <c r="V17" s="1281"/>
      <c r="W17" s="1281"/>
      <c r="X17" s="1281"/>
      <c r="Y17" s="1281"/>
      <c r="Z17" s="1281"/>
      <c r="AA17" s="1281"/>
      <c r="AB17" s="1281"/>
      <c r="AC17" s="1157"/>
    </row>
    <row r="18" spans="1:29" ht="17.399999999999999">
      <c r="A18" s="305" t="s">
        <v>6</v>
      </c>
      <c r="B18" s="365" t="s">
        <v>131</v>
      </c>
      <c r="C18" s="230">
        <v>8</v>
      </c>
      <c r="D18" s="231" t="s">
        <v>132</v>
      </c>
      <c r="E18" s="232" t="s">
        <v>133</v>
      </c>
      <c r="F18" s="233" t="s">
        <v>134</v>
      </c>
      <c r="G18" s="234" t="s">
        <v>135</v>
      </c>
      <c r="H18" s="346">
        <v>5.6228257045651073E-3</v>
      </c>
      <c r="I18" s="260">
        <v>45778</v>
      </c>
      <c r="J18" s="1282">
        <v>3.8499999999999998E-4</v>
      </c>
      <c r="K18" s="1283">
        <v>2.2690000000000002E-3</v>
      </c>
      <c r="L18" s="1283">
        <v>4.8700000000000002E-3</v>
      </c>
      <c r="M18" s="1283">
        <v>3.7980000000000002E-3</v>
      </c>
      <c r="N18" s="1283">
        <v>5.7790000000000003E-3</v>
      </c>
      <c r="O18" s="1283">
        <v>1.2087000000000001E-2</v>
      </c>
      <c r="P18" s="1283">
        <v>1.0172E-2</v>
      </c>
      <c r="Q18" s="1283">
        <v>1.1542999999999999E-2</v>
      </c>
      <c r="R18" s="1283">
        <v>6.0980000000000001E-3</v>
      </c>
      <c r="S18" s="1129">
        <v>2.7900000000000001E-4</v>
      </c>
      <c r="T18" s="1284">
        <v>4.542278502038377E-4</v>
      </c>
      <c r="U18" s="1285">
        <v>3.8860726902773799E-3</v>
      </c>
      <c r="V18" s="1286">
        <v>4.5948326689430096E-3</v>
      </c>
      <c r="W18" s="1285">
        <v>3.8860726902773799E-3</v>
      </c>
      <c r="X18" s="1285">
        <v>7.0781119676413115E-3</v>
      </c>
      <c r="Y18" s="1285">
        <v>1.2934695004142047E-2</v>
      </c>
      <c r="Z18" s="1285">
        <v>9.6608142671971466E-3</v>
      </c>
      <c r="AA18" s="1285">
        <v>1.6484632174871207E-2</v>
      </c>
      <c r="AB18" s="1285">
        <v>6.2911383616492296E-3</v>
      </c>
      <c r="AC18" s="1287">
        <v>4.4668535834964417E-4</v>
      </c>
    </row>
    <row r="19" spans="1:29" s="229" customFormat="1" ht="17.399999999999999">
      <c r="A19" s="307" t="s">
        <v>6</v>
      </c>
      <c r="B19" s="366" t="s">
        <v>131</v>
      </c>
      <c r="C19" s="334">
        <v>9</v>
      </c>
      <c r="D19" s="335" t="s">
        <v>132</v>
      </c>
      <c r="E19" s="336" t="s">
        <v>136</v>
      </c>
      <c r="F19" s="337" t="s">
        <v>134</v>
      </c>
      <c r="G19" s="338" t="s">
        <v>135</v>
      </c>
      <c r="H19" s="349">
        <v>162.9</v>
      </c>
      <c r="I19" s="261">
        <v>45778</v>
      </c>
      <c r="J19" s="1189">
        <v>0.28999999999999998</v>
      </c>
      <c r="K19" s="1297">
        <v>1.69</v>
      </c>
      <c r="L19" s="1297">
        <v>2.36</v>
      </c>
      <c r="M19" s="1297">
        <v>4.75</v>
      </c>
      <c r="N19" s="1297">
        <v>1.1499999999999999</v>
      </c>
      <c r="O19" s="1297">
        <v>2.58</v>
      </c>
      <c r="P19" s="1297">
        <v>1.8</v>
      </c>
      <c r="Q19" s="1297">
        <v>0.72</v>
      </c>
      <c r="R19" s="1297">
        <v>2.02</v>
      </c>
      <c r="S19" s="1298">
        <v>0.11</v>
      </c>
      <c r="T19" s="1299">
        <v>0.26030075663173968</v>
      </c>
      <c r="U19" s="1300">
        <v>2.226960898921551</v>
      </c>
      <c r="V19" s="1300">
        <v>2.069064821778547</v>
      </c>
      <c r="W19" s="1300">
        <v>4.5469400454384772</v>
      </c>
      <c r="X19" s="1300">
        <v>1.1723112625032268</v>
      </c>
      <c r="Y19" s="1300">
        <v>2.1368057121767867</v>
      </c>
      <c r="Z19" s="1300">
        <v>1.3100624473546831</v>
      </c>
      <c r="AA19" s="1300">
        <v>0.87727387999999984</v>
      </c>
      <c r="AB19" s="1300">
        <v>2.0725174543982807</v>
      </c>
      <c r="AC19" s="1301">
        <v>0.15835369138740202</v>
      </c>
    </row>
    <row r="20" spans="1:29" ht="17.399999999999999">
      <c r="A20" s="361" t="s">
        <v>6</v>
      </c>
      <c r="B20" s="362" t="s">
        <v>113</v>
      </c>
      <c r="C20" s="329">
        <v>1</v>
      </c>
      <c r="D20" s="330" t="s">
        <v>114</v>
      </c>
      <c r="E20" s="331" t="s">
        <v>38</v>
      </c>
      <c r="F20" s="332" t="s">
        <v>115</v>
      </c>
      <c r="G20" s="333" t="s">
        <v>116</v>
      </c>
      <c r="H20" s="348">
        <v>0</v>
      </c>
      <c r="I20" s="262">
        <v>45809</v>
      </c>
      <c r="J20" s="1063"/>
      <c r="K20" s="1064"/>
      <c r="L20" s="1064"/>
      <c r="M20" s="1064"/>
      <c r="N20" s="1064"/>
      <c r="O20" s="1064"/>
      <c r="P20" s="1064"/>
      <c r="Q20" s="1064"/>
      <c r="R20" s="1064"/>
      <c r="S20" s="1292"/>
      <c r="T20" s="1293"/>
      <c r="U20" s="1294"/>
      <c r="V20" s="1294"/>
      <c r="W20" s="1294"/>
      <c r="X20" s="1294"/>
      <c r="Y20" s="1294"/>
      <c r="Z20" s="1294"/>
      <c r="AA20" s="1294"/>
      <c r="AB20" s="1294"/>
      <c r="AC20" s="1295"/>
    </row>
    <row r="21" spans="1:29" ht="17.399999999999999">
      <c r="A21" s="305" t="s">
        <v>6</v>
      </c>
      <c r="B21" s="363" t="s">
        <v>113</v>
      </c>
      <c r="C21" s="254">
        <v>2</v>
      </c>
      <c r="D21" s="253" t="s">
        <v>117</v>
      </c>
      <c r="E21" s="247" t="s">
        <v>38</v>
      </c>
      <c r="F21" s="248" t="s">
        <v>115</v>
      </c>
      <c r="G21" s="249" t="s">
        <v>116</v>
      </c>
      <c r="H21" s="342" t="s">
        <v>41</v>
      </c>
      <c r="I21" s="260">
        <v>45809</v>
      </c>
      <c r="J21" s="1059"/>
      <c r="K21" s="1296">
        <v>4</v>
      </c>
      <c r="L21" s="1060"/>
      <c r="M21" s="1060"/>
      <c r="N21" s="1060"/>
      <c r="O21" s="1060"/>
      <c r="P21" s="1060"/>
      <c r="Q21" s="1060"/>
      <c r="R21" s="1060"/>
      <c r="S21" s="1119"/>
      <c r="T21" s="1274"/>
      <c r="U21" s="1275"/>
      <c r="V21" s="1275"/>
      <c r="W21" s="1275"/>
      <c r="X21" s="1275"/>
      <c r="Y21" s="1275"/>
      <c r="Z21" s="1275"/>
      <c r="AA21" s="1275"/>
      <c r="AB21" s="1275"/>
      <c r="AC21" s="1276"/>
    </row>
    <row r="22" spans="1:29" ht="17.399999999999999">
      <c r="A22" s="305" t="s">
        <v>6</v>
      </c>
      <c r="B22" s="363" t="s">
        <v>113</v>
      </c>
      <c r="C22" s="245">
        <v>3</v>
      </c>
      <c r="D22" s="246" t="s">
        <v>118</v>
      </c>
      <c r="E22" s="247" t="s">
        <v>38</v>
      </c>
      <c r="F22" s="248" t="s">
        <v>115</v>
      </c>
      <c r="G22" s="249" t="s">
        <v>116</v>
      </c>
      <c r="H22" s="343">
        <v>4</v>
      </c>
      <c r="I22" s="260">
        <v>45810</v>
      </c>
      <c r="J22" s="1059"/>
      <c r="K22" s="1060"/>
      <c r="L22" s="1060"/>
      <c r="M22" s="1060"/>
      <c r="N22" s="1060"/>
      <c r="O22" s="1060"/>
      <c r="P22" s="1060"/>
      <c r="Q22" s="1060"/>
      <c r="R22" s="1060"/>
      <c r="S22" s="1119"/>
      <c r="T22" s="1274"/>
      <c r="U22" s="1275"/>
      <c r="V22" s="1275"/>
      <c r="W22" s="1275"/>
      <c r="X22" s="1275"/>
      <c r="Y22" s="1275"/>
      <c r="Z22" s="1275"/>
      <c r="AA22" s="1275"/>
      <c r="AB22" s="1275"/>
      <c r="AC22" s="1276"/>
    </row>
    <row r="23" spans="1:29" ht="32.4">
      <c r="A23" s="305" t="s">
        <v>6</v>
      </c>
      <c r="B23" s="363" t="s">
        <v>113</v>
      </c>
      <c r="C23" s="245">
        <v>4</v>
      </c>
      <c r="D23" s="246" t="s">
        <v>119</v>
      </c>
      <c r="E23" s="247" t="s">
        <v>38</v>
      </c>
      <c r="F23" s="248" t="s">
        <v>115</v>
      </c>
      <c r="G23" s="249" t="s">
        <v>116</v>
      </c>
      <c r="H23" s="343">
        <v>9</v>
      </c>
      <c r="I23" s="260">
        <v>45811</v>
      </c>
      <c r="J23" s="1059"/>
      <c r="K23" s="1060"/>
      <c r="L23" s="1060"/>
      <c r="M23" s="1060"/>
      <c r="N23" s="1060"/>
      <c r="O23" s="1060"/>
      <c r="P23" s="1060"/>
      <c r="Q23" s="1060"/>
      <c r="R23" s="1060"/>
      <c r="S23" s="1119"/>
      <c r="T23" s="1277"/>
      <c r="U23" s="759"/>
      <c r="V23" s="759"/>
      <c r="W23" s="759"/>
      <c r="X23" s="759"/>
      <c r="Y23" s="759"/>
      <c r="Z23" s="759"/>
      <c r="AA23" s="759"/>
      <c r="AB23" s="759"/>
      <c r="AC23" s="762"/>
    </row>
    <row r="24" spans="1:29" ht="17.399999999999999">
      <c r="A24" s="305" t="s">
        <v>6</v>
      </c>
      <c r="B24" s="363" t="s">
        <v>113</v>
      </c>
      <c r="C24" s="254">
        <v>5</v>
      </c>
      <c r="D24" s="253" t="s">
        <v>120</v>
      </c>
      <c r="E24" s="247" t="s">
        <v>38</v>
      </c>
      <c r="F24" s="248" t="s">
        <v>115</v>
      </c>
      <c r="G24" s="249" t="s">
        <v>116</v>
      </c>
      <c r="H24" s="343">
        <v>6</v>
      </c>
      <c r="I24" s="260">
        <v>45812</v>
      </c>
      <c r="J24" s="1059"/>
      <c r="K24" s="1060"/>
      <c r="L24" s="1060"/>
      <c r="M24" s="1060"/>
      <c r="N24" s="1060"/>
      <c r="O24" s="1060"/>
      <c r="P24" s="1060">
        <v>2</v>
      </c>
      <c r="Q24" s="1060"/>
      <c r="R24" s="1060"/>
      <c r="S24" s="1119"/>
      <c r="T24" s="1277"/>
      <c r="U24" s="759"/>
      <c r="V24" s="759"/>
      <c r="W24" s="759"/>
      <c r="X24" s="759"/>
      <c r="Y24" s="759"/>
      <c r="Z24" s="759"/>
      <c r="AA24" s="759"/>
      <c r="AB24" s="759"/>
      <c r="AC24" s="762"/>
    </row>
    <row r="25" spans="1:29" ht="30">
      <c r="A25" s="305" t="s">
        <v>6</v>
      </c>
      <c r="B25" s="363" t="s">
        <v>113</v>
      </c>
      <c r="C25" s="245">
        <v>6</v>
      </c>
      <c r="D25" s="246" t="s">
        <v>125</v>
      </c>
      <c r="E25" s="247" t="s">
        <v>38</v>
      </c>
      <c r="F25" s="248" t="s">
        <v>156</v>
      </c>
      <c r="G25" s="249" t="s">
        <v>127</v>
      </c>
      <c r="H25" s="344">
        <v>6</v>
      </c>
      <c r="I25" s="260">
        <v>45813</v>
      </c>
      <c r="J25" s="1059"/>
      <c r="K25" s="1060"/>
      <c r="L25" s="1060"/>
      <c r="M25" s="1060"/>
      <c r="N25" s="1060"/>
      <c r="O25" s="1060"/>
      <c r="P25" s="1060">
        <v>1</v>
      </c>
      <c r="Q25" s="1060"/>
      <c r="R25" s="1060"/>
      <c r="S25" s="1119"/>
      <c r="T25" s="1277"/>
      <c r="U25" s="759"/>
      <c r="V25" s="759"/>
      <c r="W25" s="759"/>
      <c r="X25" s="759"/>
      <c r="Y25" s="759"/>
      <c r="Z25" s="759"/>
      <c r="AA25" s="759"/>
      <c r="AB25" s="759"/>
      <c r="AC25" s="762"/>
    </row>
    <row r="26" spans="1:29" ht="17.399999999999999">
      <c r="A26" s="305" t="s">
        <v>6</v>
      </c>
      <c r="B26" s="364" t="s">
        <v>113</v>
      </c>
      <c r="C26" s="318">
        <v>7</v>
      </c>
      <c r="D26" s="319" t="s">
        <v>129</v>
      </c>
      <c r="E26" s="320" t="s">
        <v>38</v>
      </c>
      <c r="F26" s="321" t="s">
        <v>126</v>
      </c>
      <c r="G26" s="322" t="s">
        <v>130</v>
      </c>
      <c r="H26" s="345">
        <v>5</v>
      </c>
      <c r="I26" s="260">
        <v>45814</v>
      </c>
      <c r="J26" s="1278"/>
      <c r="K26" s="1279"/>
      <c r="L26" s="1279"/>
      <c r="M26" s="1279"/>
      <c r="N26" s="1279"/>
      <c r="O26" s="1279"/>
      <c r="P26" s="1279"/>
      <c r="Q26" s="1279"/>
      <c r="R26" s="1279"/>
      <c r="S26" s="1152"/>
      <c r="T26" s="1280"/>
      <c r="U26" s="1281"/>
      <c r="V26" s="1281"/>
      <c r="W26" s="1281"/>
      <c r="X26" s="1281"/>
      <c r="Y26" s="1281"/>
      <c r="Z26" s="1281"/>
      <c r="AA26" s="1281"/>
      <c r="AB26" s="1281"/>
      <c r="AC26" s="1157"/>
    </row>
    <row r="27" spans="1:29" ht="17.399999999999999">
      <c r="A27" s="305" t="s">
        <v>6</v>
      </c>
      <c r="B27" s="365" t="s">
        <v>131</v>
      </c>
      <c r="C27" s="230">
        <v>8</v>
      </c>
      <c r="D27" s="231" t="s">
        <v>132</v>
      </c>
      <c r="E27" s="232" t="s">
        <v>133</v>
      </c>
      <c r="F27" s="233" t="s">
        <v>134</v>
      </c>
      <c r="G27" s="234" t="s">
        <v>135</v>
      </c>
      <c r="H27" s="346">
        <v>5.6228257045651073E-3</v>
      </c>
      <c r="I27" s="260">
        <v>45815</v>
      </c>
      <c r="J27" s="1282">
        <v>9.2739024041086715E-4</v>
      </c>
      <c r="K27" s="1283">
        <v>2.698042801670989E-3</v>
      </c>
      <c r="L27" s="1283">
        <v>4.7000000000000002E-3</v>
      </c>
      <c r="M27" s="1283">
        <v>3.6453152642545164E-3</v>
      </c>
      <c r="N27" s="1283">
        <v>7.9799601982123852E-3</v>
      </c>
      <c r="O27" s="1283">
        <v>1.2231447272281521E-2</v>
      </c>
      <c r="P27" s="1283">
        <v>1.0021785248074478E-2</v>
      </c>
      <c r="Q27" s="1283">
        <v>1.1143433685817541E-2</v>
      </c>
      <c r="R27" s="1283">
        <v>6.0840075421933959E-3</v>
      </c>
      <c r="S27" s="1129">
        <v>3.8554289993401484E-4</v>
      </c>
      <c r="T27" s="1284">
        <v>4.4136901593796812E-4</v>
      </c>
      <c r="U27" s="1285">
        <v>3.4768659638944929E-3</v>
      </c>
      <c r="V27" s="1286">
        <v>4.4787076311447183E-3</v>
      </c>
      <c r="W27" s="1285">
        <v>3.4768659638944929E-3</v>
      </c>
      <c r="X27" s="1285">
        <v>7.1436495861264687E-3</v>
      </c>
      <c r="Y27" s="1285">
        <v>1.2944652635728533E-2</v>
      </c>
      <c r="Z27" s="1285">
        <v>9.5365450632046364E-3</v>
      </c>
      <c r="AA27" s="1285">
        <v>1.632848490347201E-2</v>
      </c>
      <c r="AB27" s="1285">
        <v>6.0690731474153745E-3</v>
      </c>
      <c r="AC27" s="1287">
        <v>5.1418038879160865E-4</v>
      </c>
    </row>
    <row r="28" spans="1:29" s="229" customFormat="1" ht="17.399999999999999">
      <c r="A28" s="307" t="s">
        <v>6</v>
      </c>
      <c r="B28" s="366" t="s">
        <v>131</v>
      </c>
      <c r="C28" s="334">
        <v>9</v>
      </c>
      <c r="D28" s="335" t="s">
        <v>132</v>
      </c>
      <c r="E28" s="336" t="s">
        <v>136</v>
      </c>
      <c r="F28" s="337" t="s">
        <v>134</v>
      </c>
      <c r="G28" s="338" t="s">
        <v>135</v>
      </c>
      <c r="H28" s="349">
        <v>162.9</v>
      </c>
      <c r="I28" s="261">
        <v>45816</v>
      </c>
      <c r="J28" s="1189">
        <f>648772.09/1000000</f>
        <v>0.64877208999999991</v>
      </c>
      <c r="K28" s="1297">
        <f>1887463.11/1000000</f>
        <v>1.8874631100000001</v>
      </c>
      <c r="L28" s="1297">
        <f>2374325.8372/1000000</f>
        <v>2.3743258371999998</v>
      </c>
      <c r="M28" s="1297">
        <f>4696564.1202/1000000</f>
        <v>4.6965641201999997</v>
      </c>
      <c r="N28" s="1297">
        <f>1519972/1000000</f>
        <v>1.5199720000000001</v>
      </c>
      <c r="O28" s="1297">
        <f>2439633/1000000</f>
        <v>2.4396330000000002</v>
      </c>
      <c r="P28" s="1297">
        <f>1795167.2972/1000000</f>
        <v>1.7951672971999999</v>
      </c>
      <c r="Q28" s="1297">
        <f>640685.1964/1000000</f>
        <v>0.64068519639999999</v>
      </c>
      <c r="R28" s="1297">
        <f>2117063.1114/1000000</f>
        <v>2.1170631113999998</v>
      </c>
      <c r="S28" s="1298">
        <f>154317/1000000</f>
        <v>0.15431700000000001</v>
      </c>
      <c r="T28" s="1299">
        <v>0.28281841214894804</v>
      </c>
      <c r="U28" s="1300">
        <v>2.2278902135295389</v>
      </c>
      <c r="V28" s="1300">
        <v>2.0912217181305963</v>
      </c>
      <c r="W28" s="1300">
        <v>4.750345573801277</v>
      </c>
      <c r="X28" s="1300">
        <v>1.2599925518328066</v>
      </c>
      <c r="Y28" s="1300">
        <v>2.2493808511125528</v>
      </c>
      <c r="Z28" s="1300">
        <v>1.4890537887771389</v>
      </c>
      <c r="AA28" s="1300">
        <v>0.93944452000000001</v>
      </c>
      <c r="AB28" s="1300">
        <v>2.1541837089376563</v>
      </c>
      <c r="AC28" s="1301">
        <v>0.19336997459841554</v>
      </c>
    </row>
    <row r="29" spans="1:29" ht="17.399999999999999">
      <c r="A29" s="361" t="s">
        <v>6</v>
      </c>
      <c r="B29" s="362" t="s">
        <v>113</v>
      </c>
      <c r="C29" s="329">
        <v>1</v>
      </c>
      <c r="D29" s="330" t="s">
        <v>114</v>
      </c>
      <c r="E29" s="331" t="s">
        <v>38</v>
      </c>
      <c r="F29" s="332" t="s">
        <v>115</v>
      </c>
      <c r="G29" s="333" t="s">
        <v>116</v>
      </c>
      <c r="H29" s="348">
        <v>0</v>
      </c>
      <c r="I29" s="262">
        <v>45839</v>
      </c>
      <c r="J29" s="1063"/>
      <c r="K29" s="1064"/>
      <c r="L29" s="1064"/>
      <c r="M29" s="1064"/>
      <c r="N29" s="1064"/>
      <c r="O29" s="1064"/>
      <c r="P29" s="1064"/>
      <c r="Q29" s="1064"/>
      <c r="R29" s="1064"/>
      <c r="S29" s="1292"/>
      <c r="T29" s="1293"/>
      <c r="U29" s="1294"/>
      <c r="V29" s="1294"/>
      <c r="W29" s="1294"/>
      <c r="X29" s="1294"/>
      <c r="Y29" s="1294"/>
      <c r="Z29" s="1294"/>
      <c r="AA29" s="1294"/>
      <c r="AB29" s="1294"/>
      <c r="AC29" s="1295"/>
    </row>
    <row r="30" spans="1:29" ht="17.399999999999999">
      <c r="A30" s="305" t="s">
        <v>6</v>
      </c>
      <c r="B30" s="363" t="s">
        <v>113</v>
      </c>
      <c r="C30" s="254">
        <v>2</v>
      </c>
      <c r="D30" s="253" t="s">
        <v>117</v>
      </c>
      <c r="E30" s="247" t="s">
        <v>38</v>
      </c>
      <c r="F30" s="248" t="s">
        <v>115</v>
      </c>
      <c r="G30" s="249" t="s">
        <v>116</v>
      </c>
      <c r="H30" s="342" t="s">
        <v>41</v>
      </c>
      <c r="I30" s="260">
        <v>45839</v>
      </c>
      <c r="J30" s="1059"/>
      <c r="K30" s="1296"/>
      <c r="L30" s="1060"/>
      <c r="M30" s="1060"/>
      <c r="N30" s="1060"/>
      <c r="O30" s="1060"/>
      <c r="P30" s="1060"/>
      <c r="Q30" s="1060"/>
      <c r="R30" s="1060"/>
      <c r="S30" s="1119"/>
      <c r="T30" s="1274"/>
      <c r="U30" s="1275"/>
      <c r="V30" s="1275"/>
      <c r="W30" s="1275"/>
      <c r="X30" s="1275"/>
      <c r="Y30" s="1275"/>
      <c r="Z30" s="1275"/>
      <c r="AA30" s="1275"/>
      <c r="AB30" s="1275"/>
      <c r="AC30" s="1276"/>
    </row>
    <row r="31" spans="1:29" ht="17.399999999999999">
      <c r="A31" s="305" t="s">
        <v>6</v>
      </c>
      <c r="B31" s="363" t="s">
        <v>113</v>
      </c>
      <c r="C31" s="245">
        <v>3</v>
      </c>
      <c r="D31" s="246" t="s">
        <v>118</v>
      </c>
      <c r="E31" s="247" t="s">
        <v>38</v>
      </c>
      <c r="F31" s="248" t="s">
        <v>115</v>
      </c>
      <c r="G31" s="249" t="s">
        <v>116</v>
      </c>
      <c r="H31" s="343">
        <v>4</v>
      </c>
      <c r="I31" s="260">
        <v>45839</v>
      </c>
      <c r="J31" s="1059"/>
      <c r="K31" s="1060"/>
      <c r="L31" s="1060"/>
      <c r="M31" s="1060">
        <v>1</v>
      </c>
      <c r="N31" s="1060"/>
      <c r="O31" s="1060"/>
      <c r="P31" s="1060"/>
      <c r="Q31" s="1060"/>
      <c r="R31" s="1060"/>
      <c r="S31" s="1119"/>
      <c r="T31" s="1274"/>
      <c r="U31" s="1275"/>
      <c r="V31" s="1275"/>
      <c r="W31" s="1275"/>
      <c r="X31" s="1275"/>
      <c r="Y31" s="1275"/>
      <c r="Z31" s="1275"/>
      <c r="AA31" s="1275"/>
      <c r="AB31" s="1275"/>
      <c r="AC31" s="1276"/>
    </row>
    <row r="32" spans="1:29" ht="32.4">
      <c r="A32" s="305" t="s">
        <v>6</v>
      </c>
      <c r="B32" s="363" t="s">
        <v>113</v>
      </c>
      <c r="C32" s="245">
        <v>4</v>
      </c>
      <c r="D32" s="246" t="s">
        <v>119</v>
      </c>
      <c r="E32" s="247" t="s">
        <v>38</v>
      </c>
      <c r="F32" s="248" t="s">
        <v>115</v>
      </c>
      <c r="G32" s="249" t="s">
        <v>116</v>
      </c>
      <c r="H32" s="343">
        <v>9</v>
      </c>
      <c r="I32" s="260">
        <v>45839</v>
      </c>
      <c r="J32" s="1059"/>
      <c r="K32" s="1060"/>
      <c r="L32" s="1060"/>
      <c r="M32" s="1060">
        <v>1</v>
      </c>
      <c r="N32" s="1060"/>
      <c r="O32" s="1060"/>
      <c r="P32" s="1060"/>
      <c r="Q32" s="1060"/>
      <c r="R32" s="1060"/>
      <c r="S32" s="1119"/>
      <c r="T32" s="1277"/>
      <c r="U32" s="759"/>
      <c r="V32" s="759"/>
      <c r="W32" s="759"/>
      <c r="X32" s="759"/>
      <c r="Y32" s="759"/>
      <c r="Z32" s="759"/>
      <c r="AA32" s="759"/>
      <c r="AB32" s="759"/>
      <c r="AC32" s="762"/>
    </row>
    <row r="33" spans="1:29" ht="17.399999999999999">
      <c r="A33" s="305" t="s">
        <v>6</v>
      </c>
      <c r="B33" s="363" t="s">
        <v>113</v>
      </c>
      <c r="C33" s="254">
        <v>5</v>
      </c>
      <c r="D33" s="253" t="s">
        <v>120</v>
      </c>
      <c r="E33" s="247" t="s">
        <v>38</v>
      </c>
      <c r="F33" s="248" t="s">
        <v>115</v>
      </c>
      <c r="G33" s="249" t="s">
        <v>116</v>
      </c>
      <c r="H33" s="343">
        <v>6</v>
      </c>
      <c r="I33" s="260">
        <v>45839</v>
      </c>
      <c r="J33" s="1059"/>
      <c r="K33" s="1060"/>
      <c r="L33" s="1060"/>
      <c r="M33" s="1060"/>
      <c r="N33" s="1060"/>
      <c r="O33" s="1060"/>
      <c r="P33" s="1060"/>
      <c r="Q33" s="1060"/>
      <c r="R33" s="1060"/>
      <c r="S33" s="1119"/>
      <c r="T33" s="1277"/>
      <c r="U33" s="759"/>
      <c r="V33" s="759"/>
      <c r="W33" s="759"/>
      <c r="X33" s="759"/>
      <c r="Y33" s="759"/>
      <c r="Z33" s="759"/>
      <c r="AA33" s="759"/>
      <c r="AB33" s="759"/>
      <c r="AC33" s="762"/>
    </row>
    <row r="34" spans="1:29" ht="30">
      <c r="A34" s="305" t="s">
        <v>6</v>
      </c>
      <c r="B34" s="363" t="s">
        <v>113</v>
      </c>
      <c r="C34" s="245">
        <v>6</v>
      </c>
      <c r="D34" s="246" t="s">
        <v>125</v>
      </c>
      <c r="E34" s="247" t="s">
        <v>38</v>
      </c>
      <c r="F34" s="248" t="s">
        <v>156</v>
      </c>
      <c r="G34" s="249" t="s">
        <v>127</v>
      </c>
      <c r="H34" s="344">
        <v>6</v>
      </c>
      <c r="I34" s="260">
        <v>45839</v>
      </c>
      <c r="J34" s="1059"/>
      <c r="K34" s="1060"/>
      <c r="L34" s="1060"/>
      <c r="M34" s="1060"/>
      <c r="N34" s="1060"/>
      <c r="O34" s="1060"/>
      <c r="P34" s="1060"/>
      <c r="Q34" s="1060"/>
      <c r="R34" s="1060"/>
      <c r="S34" s="1119"/>
      <c r="T34" s="1277"/>
      <c r="U34" s="759"/>
      <c r="V34" s="759"/>
      <c r="W34" s="759"/>
      <c r="X34" s="759"/>
      <c r="Y34" s="759"/>
      <c r="Z34" s="759"/>
      <c r="AA34" s="759"/>
      <c r="AB34" s="759"/>
      <c r="AC34" s="762"/>
    </row>
    <row r="35" spans="1:29" ht="17.399999999999999">
      <c r="A35" s="305" t="s">
        <v>6</v>
      </c>
      <c r="B35" s="364" t="s">
        <v>113</v>
      </c>
      <c r="C35" s="318">
        <v>7</v>
      </c>
      <c r="D35" s="319" t="s">
        <v>129</v>
      </c>
      <c r="E35" s="320" t="s">
        <v>38</v>
      </c>
      <c r="F35" s="321" t="s">
        <v>126</v>
      </c>
      <c r="G35" s="322" t="s">
        <v>130</v>
      </c>
      <c r="H35" s="345">
        <v>5</v>
      </c>
      <c r="I35" s="260">
        <v>45839</v>
      </c>
      <c r="J35" s="1278"/>
      <c r="K35" s="1279"/>
      <c r="L35" s="1279"/>
      <c r="M35" s="1279"/>
      <c r="N35" s="1279"/>
      <c r="O35" s="1279"/>
      <c r="P35" s="1279"/>
      <c r="Q35" s="1279"/>
      <c r="R35" s="1279"/>
      <c r="S35" s="1152"/>
      <c r="T35" s="1280"/>
      <c r="U35" s="1281"/>
      <c r="V35" s="1281"/>
      <c r="W35" s="1281"/>
      <c r="X35" s="1281"/>
      <c r="Y35" s="1281"/>
      <c r="Z35" s="1281"/>
      <c r="AA35" s="1281"/>
      <c r="AB35" s="1281"/>
      <c r="AC35" s="1157"/>
    </row>
    <row r="36" spans="1:29" ht="17.399999999999999">
      <c r="A36" s="305" t="s">
        <v>6</v>
      </c>
      <c r="B36" s="365" t="s">
        <v>131</v>
      </c>
      <c r="C36" s="230">
        <v>8</v>
      </c>
      <c r="D36" s="231" t="s">
        <v>132</v>
      </c>
      <c r="E36" s="232" t="s">
        <v>133</v>
      </c>
      <c r="F36" s="233" t="s">
        <v>134</v>
      </c>
      <c r="G36" s="234" t="s">
        <v>135</v>
      </c>
      <c r="H36" s="346">
        <v>5.6228257045651073E-3</v>
      </c>
      <c r="I36" s="260">
        <v>45839</v>
      </c>
      <c r="J36" s="1282">
        <v>2.6357544787259784E-4</v>
      </c>
      <c r="K36" s="1283">
        <v>2.8569118669208378E-3</v>
      </c>
      <c r="L36" s="1283">
        <v>4.4200000000000003E-3</v>
      </c>
      <c r="M36" s="1283">
        <v>3.5738621021177792E-3</v>
      </c>
      <c r="N36" s="1283">
        <v>5.9120899092016295E-3</v>
      </c>
      <c r="O36" s="1283">
        <v>1.6110346221120286E-2</v>
      </c>
      <c r="P36" s="1283">
        <v>8.9562114628281824E-3</v>
      </c>
      <c r="Q36" s="1283">
        <v>1.2092090680568159E-2</v>
      </c>
      <c r="R36" s="1283">
        <v>5.8708623885557875E-3</v>
      </c>
      <c r="S36" s="1129">
        <v>3.5679479250356577E-4</v>
      </c>
      <c r="T36" s="1284">
        <v>4.068397674461169E-4</v>
      </c>
      <c r="U36" s="1285">
        <v>3.5622414519085061E-3</v>
      </c>
      <c r="V36" s="1286">
        <v>4.7832682730843921E-3</v>
      </c>
      <c r="W36" s="1285">
        <v>3.5622414519085061E-3</v>
      </c>
      <c r="X36" s="1285">
        <v>7.2250065721982375E-3</v>
      </c>
      <c r="Y36" s="1285">
        <v>1.2775359489150062E-2</v>
      </c>
      <c r="Z36" s="1285">
        <v>9.721446158114171E-3</v>
      </c>
      <c r="AA36" s="1285">
        <v>1.6546618706835683E-2</v>
      </c>
      <c r="AB36" s="1285">
        <v>5.8691944504394508E-3</v>
      </c>
      <c r="AC36" s="1287">
        <v>4.0091148991869095E-4</v>
      </c>
    </row>
    <row r="37" spans="1:29" s="229" customFormat="1" ht="17.399999999999999">
      <c r="A37" s="307" t="s">
        <v>6</v>
      </c>
      <c r="B37" s="366" t="s">
        <v>131</v>
      </c>
      <c r="C37" s="334">
        <v>9</v>
      </c>
      <c r="D37" s="335" t="s">
        <v>132</v>
      </c>
      <c r="E37" s="336" t="s">
        <v>136</v>
      </c>
      <c r="F37" s="337" t="s">
        <v>134</v>
      </c>
      <c r="G37" s="338" t="s">
        <v>135</v>
      </c>
      <c r="H37" s="349">
        <v>162.9</v>
      </c>
      <c r="I37" s="261">
        <v>45839</v>
      </c>
      <c r="J37" s="1189">
        <v>0.17760192999999999</v>
      </c>
      <c r="K37" s="1297">
        <v>1.92503917</v>
      </c>
      <c r="L37" s="1297">
        <v>2.2078514999999999</v>
      </c>
      <c r="M37" s="1297">
        <v>4.3125090260999963</v>
      </c>
      <c r="N37" s="1297">
        <v>1.028643</v>
      </c>
      <c r="O37" s="1297">
        <v>2.9384100000000002</v>
      </c>
      <c r="P37" s="1297">
        <v>1.5303762528</v>
      </c>
      <c r="Q37" s="1297">
        <v>0.74793823719999974</v>
      </c>
      <c r="R37" s="1297">
        <v>2.1623882756000001</v>
      </c>
      <c r="S37" s="1298">
        <v>0.13952999999999999</v>
      </c>
      <c r="T37" s="1299">
        <v>0.24786875160721883</v>
      </c>
      <c r="U37" s="1300">
        <v>2.1703098179186502</v>
      </c>
      <c r="V37" s="1300">
        <v>2.0799643419978642</v>
      </c>
      <c r="W37" s="1300">
        <v>4.5112612684172548</v>
      </c>
      <c r="X37" s="1300">
        <v>1.2120857024369405</v>
      </c>
      <c r="Y37" s="1300">
        <v>2.0620994258777667</v>
      </c>
      <c r="Z37" s="1300">
        <v>1.4719734505320883</v>
      </c>
      <c r="AA37" s="1300">
        <v>0.96570584000000004</v>
      </c>
      <c r="AB37" s="1300">
        <v>2.0206608209995309</v>
      </c>
      <c r="AC37" s="1301">
        <v>0.14220930867327419</v>
      </c>
    </row>
    <row r="38" spans="1:29" ht="17.399999999999999">
      <c r="A38" s="361" t="s">
        <v>6</v>
      </c>
      <c r="B38" s="362" t="s">
        <v>113</v>
      </c>
      <c r="C38" s="329">
        <v>1</v>
      </c>
      <c r="D38" s="330" t="s">
        <v>114</v>
      </c>
      <c r="E38" s="331" t="s">
        <v>38</v>
      </c>
      <c r="F38" s="332" t="s">
        <v>115</v>
      </c>
      <c r="G38" s="333" t="s">
        <v>116</v>
      </c>
      <c r="H38" s="348">
        <v>0</v>
      </c>
      <c r="I38" s="262">
        <v>45870</v>
      </c>
      <c r="J38" s="1063"/>
      <c r="K38" s="1064"/>
      <c r="L38" s="1064"/>
      <c r="M38" s="1064"/>
      <c r="N38" s="1064"/>
      <c r="O38" s="1064"/>
      <c r="P38" s="1064"/>
      <c r="Q38" s="1064"/>
      <c r="R38" s="1064"/>
      <c r="S38" s="1292"/>
      <c r="T38" s="1293"/>
      <c r="U38" s="1294"/>
      <c r="V38" s="1294"/>
      <c r="W38" s="1294"/>
      <c r="X38" s="1294"/>
      <c r="Y38" s="1294"/>
      <c r="Z38" s="1294"/>
      <c r="AA38" s="1294"/>
      <c r="AB38" s="1294"/>
      <c r="AC38" s="1295"/>
    </row>
    <row r="39" spans="1:29" ht="17.399999999999999">
      <c r="A39" s="305" t="s">
        <v>6</v>
      </c>
      <c r="B39" s="363" t="s">
        <v>113</v>
      </c>
      <c r="C39" s="254">
        <v>2</v>
      </c>
      <c r="D39" s="253" t="s">
        <v>117</v>
      </c>
      <c r="E39" s="247" t="s">
        <v>38</v>
      </c>
      <c r="F39" s="248" t="s">
        <v>115</v>
      </c>
      <c r="G39" s="249" t="s">
        <v>116</v>
      </c>
      <c r="H39" s="342" t="s">
        <v>41</v>
      </c>
      <c r="I39" s="260">
        <v>45870</v>
      </c>
      <c r="J39" s="1059"/>
      <c r="K39" s="1296">
        <v>1</v>
      </c>
      <c r="L39" s="1060"/>
      <c r="M39" s="1060"/>
      <c r="N39" s="1060"/>
      <c r="O39" s="1060"/>
      <c r="P39" s="1060"/>
      <c r="Q39" s="1060"/>
      <c r="R39" s="1060"/>
      <c r="S39" s="1119"/>
      <c r="T39" s="1274"/>
      <c r="U39" s="1275"/>
      <c r="V39" s="1275"/>
      <c r="W39" s="1275"/>
      <c r="X39" s="1275"/>
      <c r="Y39" s="1275"/>
      <c r="Z39" s="1275"/>
      <c r="AA39" s="1275"/>
      <c r="AB39" s="1275"/>
      <c r="AC39" s="1276"/>
    </row>
    <row r="40" spans="1:29" ht="17.399999999999999">
      <c r="A40" s="305" t="s">
        <v>6</v>
      </c>
      <c r="B40" s="363" t="s">
        <v>113</v>
      </c>
      <c r="C40" s="245">
        <v>3</v>
      </c>
      <c r="D40" s="246" t="s">
        <v>118</v>
      </c>
      <c r="E40" s="247" t="s">
        <v>38</v>
      </c>
      <c r="F40" s="248" t="s">
        <v>115</v>
      </c>
      <c r="G40" s="249" t="s">
        <v>116</v>
      </c>
      <c r="H40" s="343">
        <v>4</v>
      </c>
      <c r="I40" s="260">
        <v>45870</v>
      </c>
      <c r="J40" s="1059"/>
      <c r="K40" s="1060"/>
      <c r="L40" s="1060"/>
      <c r="M40" s="1060">
        <v>1</v>
      </c>
      <c r="N40" s="1060"/>
      <c r="O40" s="1060"/>
      <c r="P40" s="1060"/>
      <c r="Q40" s="1060"/>
      <c r="R40" s="1060"/>
      <c r="S40" s="1119"/>
      <c r="T40" s="1274"/>
      <c r="U40" s="1275"/>
      <c r="V40" s="1275"/>
      <c r="W40" s="1275"/>
      <c r="X40" s="1275"/>
      <c r="Y40" s="1275"/>
      <c r="Z40" s="1275"/>
      <c r="AA40" s="1275"/>
      <c r="AB40" s="1275"/>
      <c r="AC40" s="1276"/>
    </row>
    <row r="41" spans="1:29" ht="32.4">
      <c r="A41" s="305" t="s">
        <v>6</v>
      </c>
      <c r="B41" s="363" t="s">
        <v>113</v>
      </c>
      <c r="C41" s="245">
        <v>4</v>
      </c>
      <c r="D41" s="246" t="s">
        <v>119</v>
      </c>
      <c r="E41" s="247" t="s">
        <v>38</v>
      </c>
      <c r="F41" s="248" t="s">
        <v>115</v>
      </c>
      <c r="G41" s="249" t="s">
        <v>116</v>
      </c>
      <c r="H41" s="343">
        <v>9</v>
      </c>
      <c r="I41" s="260">
        <v>45870</v>
      </c>
      <c r="J41" s="1059"/>
      <c r="K41" s="1060">
        <v>1</v>
      </c>
      <c r="L41" s="1060"/>
      <c r="M41" s="1060">
        <v>1</v>
      </c>
      <c r="N41" s="1060"/>
      <c r="O41" s="1060"/>
      <c r="P41" s="1060"/>
      <c r="Q41" s="1060"/>
      <c r="R41" s="1060"/>
      <c r="S41" s="1119"/>
      <c r="T41" s="1277"/>
      <c r="U41" s="759"/>
      <c r="V41" s="759"/>
      <c r="W41" s="759"/>
      <c r="X41" s="759"/>
      <c r="Y41" s="759"/>
      <c r="Z41" s="759"/>
      <c r="AA41" s="759"/>
      <c r="AB41" s="759"/>
      <c r="AC41" s="762"/>
    </row>
    <row r="42" spans="1:29" ht="17.399999999999999">
      <c r="A42" s="305" t="s">
        <v>6</v>
      </c>
      <c r="B42" s="363" t="s">
        <v>113</v>
      </c>
      <c r="C42" s="254">
        <v>5</v>
      </c>
      <c r="D42" s="253" t="s">
        <v>120</v>
      </c>
      <c r="E42" s="247" t="s">
        <v>38</v>
      </c>
      <c r="F42" s="248" t="s">
        <v>115</v>
      </c>
      <c r="G42" s="249" t="s">
        <v>116</v>
      </c>
      <c r="H42" s="343">
        <v>6</v>
      </c>
      <c r="I42" s="260">
        <v>45870</v>
      </c>
      <c r="J42" s="1059"/>
      <c r="K42" s="1060"/>
      <c r="L42" s="1060"/>
      <c r="M42" s="1060"/>
      <c r="N42" s="1060"/>
      <c r="O42" s="1060"/>
      <c r="P42" s="1060">
        <v>1</v>
      </c>
      <c r="Q42" s="1060"/>
      <c r="R42" s="1060"/>
      <c r="S42" s="1119"/>
      <c r="T42" s="1277"/>
      <c r="U42" s="759"/>
      <c r="V42" s="759"/>
      <c r="W42" s="759"/>
      <c r="X42" s="759"/>
      <c r="Y42" s="759"/>
      <c r="Z42" s="759"/>
      <c r="AA42" s="759"/>
      <c r="AB42" s="759"/>
      <c r="AC42" s="762"/>
    </row>
    <row r="43" spans="1:29" ht="30">
      <c r="A43" s="305" t="s">
        <v>6</v>
      </c>
      <c r="B43" s="363" t="s">
        <v>113</v>
      </c>
      <c r="C43" s="245">
        <v>6</v>
      </c>
      <c r="D43" s="246" t="s">
        <v>125</v>
      </c>
      <c r="E43" s="247" t="s">
        <v>38</v>
      </c>
      <c r="F43" s="248" t="s">
        <v>156</v>
      </c>
      <c r="G43" s="249" t="s">
        <v>127</v>
      </c>
      <c r="H43" s="344">
        <v>6</v>
      </c>
      <c r="I43" s="260">
        <v>45870</v>
      </c>
      <c r="J43" s="1059"/>
      <c r="K43" s="1060"/>
      <c r="L43" s="1060"/>
      <c r="M43" s="1060">
        <v>1</v>
      </c>
      <c r="N43" s="1060"/>
      <c r="O43" s="1060"/>
      <c r="P43" s="1060">
        <v>1</v>
      </c>
      <c r="Q43" s="1060"/>
      <c r="R43" s="1060">
        <v>1</v>
      </c>
      <c r="S43" s="1119">
        <v>1</v>
      </c>
      <c r="T43" s="1277"/>
      <c r="U43" s="759"/>
      <c r="V43" s="759"/>
      <c r="W43" s="759"/>
      <c r="X43" s="759"/>
      <c r="Y43" s="759"/>
      <c r="Z43" s="759"/>
      <c r="AA43" s="759"/>
      <c r="AB43" s="759"/>
      <c r="AC43" s="762"/>
    </row>
    <row r="44" spans="1:29" ht="17.399999999999999">
      <c r="A44" s="305" t="s">
        <v>6</v>
      </c>
      <c r="B44" s="364" t="s">
        <v>113</v>
      </c>
      <c r="C44" s="318">
        <v>7</v>
      </c>
      <c r="D44" s="319" t="s">
        <v>129</v>
      </c>
      <c r="E44" s="320" t="s">
        <v>38</v>
      </c>
      <c r="F44" s="321" t="s">
        <v>126</v>
      </c>
      <c r="G44" s="322" t="s">
        <v>130</v>
      </c>
      <c r="H44" s="345">
        <v>5</v>
      </c>
      <c r="I44" s="260">
        <v>45870</v>
      </c>
      <c r="J44" s="1278"/>
      <c r="K44" s="1279"/>
      <c r="L44" s="1279"/>
      <c r="M44" s="1279"/>
      <c r="N44" s="1279"/>
      <c r="O44" s="1279"/>
      <c r="P44" s="1279"/>
      <c r="Q44" s="1279"/>
      <c r="R44" s="1279"/>
      <c r="S44" s="1152"/>
      <c r="T44" s="1280"/>
      <c r="U44" s="1281"/>
      <c r="V44" s="1281"/>
      <c r="W44" s="1281"/>
      <c r="X44" s="1281"/>
      <c r="Y44" s="1281"/>
      <c r="Z44" s="1281"/>
      <c r="AA44" s="1281"/>
      <c r="AB44" s="1281"/>
      <c r="AC44" s="1157"/>
    </row>
    <row r="45" spans="1:29" ht="17.399999999999999">
      <c r="A45" s="305" t="s">
        <v>6</v>
      </c>
      <c r="B45" s="365" t="s">
        <v>131</v>
      </c>
      <c r="C45" s="230">
        <v>8</v>
      </c>
      <c r="D45" s="231" t="s">
        <v>132</v>
      </c>
      <c r="E45" s="232" t="s">
        <v>133</v>
      </c>
      <c r="F45" s="233" t="s">
        <v>134</v>
      </c>
      <c r="G45" s="234" t="s">
        <v>135</v>
      </c>
      <c r="H45" s="346">
        <v>5.6228257045651073E-3</v>
      </c>
      <c r="I45" s="260">
        <v>45870</v>
      </c>
      <c r="J45" s="1282">
        <v>3.2315513622099205E-4</v>
      </c>
      <c r="K45" s="1283">
        <v>2.4821839253001206E-3</v>
      </c>
      <c r="L45" s="1283">
        <v>5.2088080365538169E-3</v>
      </c>
      <c r="M45" s="1283">
        <v>4.8150425051317709E-3</v>
      </c>
      <c r="N45" s="1283">
        <v>6.7999999999999996E-3</v>
      </c>
      <c r="O45" s="1283">
        <v>1.7899999999999999E-2</v>
      </c>
      <c r="P45" s="1283">
        <v>9.0797092497189712E-3</v>
      </c>
      <c r="Q45" s="1283">
        <v>1.4971946630177266E-2</v>
      </c>
      <c r="R45" s="1283">
        <v>1.1572821915902514E-2</v>
      </c>
      <c r="S45" s="1129">
        <v>5.9999999999999995E-4</v>
      </c>
      <c r="T45" s="1284">
        <v>4.5041734325437197E-4</v>
      </c>
      <c r="U45" s="1285">
        <v>3.6215961351194277E-3</v>
      </c>
      <c r="V45" s="1286">
        <v>4.7382701855194064E-3</v>
      </c>
      <c r="W45" s="1285">
        <v>3.6215961351194277E-3</v>
      </c>
      <c r="X45" s="1285">
        <v>7.1315349523802408E-3</v>
      </c>
      <c r="Y45" s="1285">
        <v>1.284142837101724E-2</v>
      </c>
      <c r="Z45" s="1285">
        <v>9.7656411968321949E-3</v>
      </c>
      <c r="AA45" s="1285">
        <v>1.6390262295345112E-2</v>
      </c>
      <c r="AB45" s="1285">
        <v>5.5280384432260833E-3</v>
      </c>
      <c r="AC45" s="1287">
        <v>5.0950501882185265E-4</v>
      </c>
    </row>
    <row r="46" spans="1:29" s="229" customFormat="1" ht="17.399999999999999">
      <c r="A46" s="307" t="s">
        <v>6</v>
      </c>
      <c r="B46" s="366" t="s">
        <v>131</v>
      </c>
      <c r="C46" s="334">
        <v>9</v>
      </c>
      <c r="D46" s="335" t="s">
        <v>132</v>
      </c>
      <c r="E46" s="336" t="s">
        <v>136</v>
      </c>
      <c r="F46" s="337" t="s">
        <v>134</v>
      </c>
      <c r="G46" s="338" t="s">
        <v>135</v>
      </c>
      <c r="H46" s="349">
        <v>162.9</v>
      </c>
      <c r="I46" s="261">
        <v>45870</v>
      </c>
      <c r="J46" s="1189">
        <v>0.21343181</v>
      </c>
      <c r="K46" s="1297">
        <v>1.6393890999999998</v>
      </c>
      <c r="L46" s="1297">
        <v>2.2312254804999996</v>
      </c>
      <c r="M46" s="1297">
        <v>5.4072100234000011</v>
      </c>
      <c r="N46" s="1297">
        <f>1175156/1000000</f>
        <v>1.1751560000000001</v>
      </c>
      <c r="O46" s="1297">
        <v>3.2201529999999998</v>
      </c>
      <c r="P46" s="1297">
        <v>1.7533771954000004</v>
      </c>
      <c r="Q46" s="1297">
        <v>1.7533771954000004</v>
      </c>
      <c r="R46" s="1297">
        <v>3.994196482</v>
      </c>
      <c r="S46" s="1298">
        <v>0.22829199999999999</v>
      </c>
      <c r="T46" s="1299">
        <v>0.28524564609416658</v>
      </c>
      <c r="U46" s="1300">
        <v>2.2935274250105162</v>
      </c>
      <c r="V46" s="1300">
        <v>2.0966419150914684</v>
      </c>
      <c r="W46" s="1300">
        <v>4.8575739987882036</v>
      </c>
      <c r="X46" s="1300">
        <v>1.2623393391564339</v>
      </c>
      <c r="Y46" s="1300">
        <v>2.1949602557550008</v>
      </c>
      <c r="Z46" s="1300">
        <v>1.4812050933757026</v>
      </c>
      <c r="AA46" s="1300">
        <v>1.00066108</v>
      </c>
      <c r="AB46" s="1300">
        <v>2.0126420450066957</v>
      </c>
      <c r="AC46" s="1301">
        <v>0.18681131912080107</v>
      </c>
    </row>
    <row r="47" spans="1:29" ht="17.399999999999999">
      <c r="A47" s="361" t="s">
        <v>6</v>
      </c>
      <c r="B47" s="362" t="s">
        <v>113</v>
      </c>
      <c r="C47" s="329">
        <v>1</v>
      </c>
      <c r="D47" s="330" t="s">
        <v>114</v>
      </c>
      <c r="E47" s="331" t="s">
        <v>38</v>
      </c>
      <c r="F47" s="332" t="s">
        <v>115</v>
      </c>
      <c r="G47" s="333" t="s">
        <v>116</v>
      </c>
      <c r="H47" s="348">
        <v>0</v>
      </c>
      <c r="I47" s="262">
        <v>45901</v>
      </c>
      <c r="J47" s="1063"/>
      <c r="K47" s="1064"/>
      <c r="L47" s="1064"/>
      <c r="M47" s="1064"/>
      <c r="N47" s="1064"/>
      <c r="O47" s="1064"/>
      <c r="P47" s="1064"/>
      <c r="Q47" s="1064"/>
      <c r="R47" s="1064"/>
      <c r="S47" s="1292"/>
      <c r="T47" s="1293"/>
      <c r="U47" s="1294"/>
      <c r="V47" s="1294"/>
      <c r="W47" s="1294"/>
      <c r="X47" s="1294"/>
      <c r="Y47" s="1294"/>
      <c r="Z47" s="1294"/>
      <c r="AA47" s="1294"/>
      <c r="AB47" s="1294"/>
      <c r="AC47" s="1295"/>
    </row>
    <row r="48" spans="1:29" ht="17.399999999999999">
      <c r="A48" s="305" t="s">
        <v>6</v>
      </c>
      <c r="B48" s="363" t="s">
        <v>113</v>
      </c>
      <c r="C48" s="254">
        <v>2</v>
      </c>
      <c r="D48" s="253" t="s">
        <v>117</v>
      </c>
      <c r="E48" s="247" t="s">
        <v>38</v>
      </c>
      <c r="F48" s="248" t="s">
        <v>115</v>
      </c>
      <c r="G48" s="249" t="s">
        <v>116</v>
      </c>
      <c r="H48" s="342" t="s">
        <v>41</v>
      </c>
      <c r="I48" s="260">
        <v>45901</v>
      </c>
      <c r="J48" s="1059"/>
      <c r="K48" s="1296"/>
      <c r="L48" s="1060"/>
      <c r="M48" s="1060"/>
      <c r="N48" s="1060"/>
      <c r="O48" s="1060"/>
      <c r="P48" s="1060"/>
      <c r="Q48" s="1060"/>
      <c r="R48" s="1060"/>
      <c r="S48" s="1119"/>
      <c r="T48" s="1274"/>
      <c r="U48" s="1275"/>
      <c r="V48" s="1275"/>
      <c r="W48" s="1275"/>
      <c r="X48" s="1275"/>
      <c r="Y48" s="1275"/>
      <c r="Z48" s="1275"/>
      <c r="AA48" s="1275"/>
      <c r="AB48" s="1275"/>
      <c r="AC48" s="1276"/>
    </row>
    <row r="49" spans="1:29" ht="17.399999999999999">
      <c r="A49" s="305" t="s">
        <v>6</v>
      </c>
      <c r="B49" s="363" t="s">
        <v>113</v>
      </c>
      <c r="C49" s="245">
        <v>3</v>
      </c>
      <c r="D49" s="246" t="s">
        <v>118</v>
      </c>
      <c r="E49" s="247" t="s">
        <v>38</v>
      </c>
      <c r="F49" s="248" t="s">
        <v>115</v>
      </c>
      <c r="G49" s="249" t="s">
        <v>116</v>
      </c>
      <c r="H49" s="343">
        <v>4</v>
      </c>
      <c r="I49" s="260">
        <v>45902</v>
      </c>
      <c r="J49" s="1059"/>
      <c r="K49" s="1060"/>
      <c r="L49" s="1060"/>
      <c r="M49" s="1060"/>
      <c r="N49" s="1060"/>
      <c r="O49" s="1060"/>
      <c r="P49" s="1060"/>
      <c r="Q49" s="1060"/>
      <c r="R49" s="1060"/>
      <c r="S49" s="1119"/>
      <c r="T49" s="1274"/>
      <c r="U49" s="1275"/>
      <c r="V49" s="1275"/>
      <c r="W49" s="1275"/>
      <c r="X49" s="1275"/>
      <c r="Y49" s="1275"/>
      <c r="Z49" s="1275"/>
      <c r="AA49" s="1275"/>
      <c r="AB49" s="1275"/>
      <c r="AC49" s="1276"/>
    </row>
    <row r="50" spans="1:29" ht="32.4">
      <c r="A50" s="305" t="s">
        <v>6</v>
      </c>
      <c r="B50" s="363" t="s">
        <v>113</v>
      </c>
      <c r="C50" s="245">
        <v>4</v>
      </c>
      <c r="D50" s="246" t="s">
        <v>119</v>
      </c>
      <c r="E50" s="247" t="s">
        <v>38</v>
      </c>
      <c r="F50" s="248" t="s">
        <v>115</v>
      </c>
      <c r="G50" s="249" t="s">
        <v>116</v>
      </c>
      <c r="H50" s="343">
        <v>9</v>
      </c>
      <c r="I50" s="260">
        <v>45903</v>
      </c>
      <c r="J50" s="1059"/>
      <c r="K50" s="1060"/>
      <c r="L50" s="1060"/>
      <c r="M50" s="1060"/>
      <c r="N50" s="1060"/>
      <c r="O50" s="1060"/>
      <c r="P50" s="1060"/>
      <c r="Q50" s="1060"/>
      <c r="R50" s="1060"/>
      <c r="S50" s="1119"/>
      <c r="T50" s="1277"/>
      <c r="U50" s="759"/>
      <c r="V50" s="759"/>
      <c r="W50" s="759"/>
      <c r="X50" s="759"/>
      <c r="Y50" s="759"/>
      <c r="Z50" s="759"/>
      <c r="AA50" s="759"/>
      <c r="AB50" s="759"/>
      <c r="AC50" s="762"/>
    </row>
    <row r="51" spans="1:29" ht="17.399999999999999">
      <c r="A51" s="305" t="s">
        <v>6</v>
      </c>
      <c r="B51" s="363" t="s">
        <v>113</v>
      </c>
      <c r="C51" s="254">
        <v>5</v>
      </c>
      <c r="D51" s="253" t="s">
        <v>120</v>
      </c>
      <c r="E51" s="247" t="s">
        <v>38</v>
      </c>
      <c r="F51" s="248" t="s">
        <v>115</v>
      </c>
      <c r="G51" s="249" t="s">
        <v>116</v>
      </c>
      <c r="H51" s="343">
        <v>6</v>
      </c>
      <c r="I51" s="260">
        <v>45904</v>
      </c>
      <c r="J51" s="1109">
        <v>1</v>
      </c>
      <c r="K51" s="1060"/>
      <c r="L51" s="1060"/>
      <c r="M51" s="1060"/>
      <c r="N51" s="1060"/>
      <c r="O51" s="1060"/>
      <c r="P51" s="1110">
        <v>1</v>
      </c>
      <c r="Q51" s="1060"/>
      <c r="R51" s="1060"/>
      <c r="S51" s="1119"/>
      <c r="T51" s="1277"/>
      <c r="U51" s="759"/>
      <c r="V51" s="759"/>
      <c r="W51" s="759"/>
      <c r="X51" s="759"/>
      <c r="Y51" s="759"/>
      <c r="Z51" s="759"/>
      <c r="AA51" s="759"/>
      <c r="AB51" s="759"/>
      <c r="AC51" s="762"/>
    </row>
    <row r="52" spans="1:29" ht="30">
      <c r="A52" s="305" t="s">
        <v>6</v>
      </c>
      <c r="B52" s="363" t="s">
        <v>113</v>
      </c>
      <c r="C52" s="245">
        <v>6</v>
      </c>
      <c r="D52" s="246" t="s">
        <v>125</v>
      </c>
      <c r="E52" s="247" t="s">
        <v>38</v>
      </c>
      <c r="F52" s="248" t="s">
        <v>156</v>
      </c>
      <c r="G52" s="249" t="s">
        <v>127</v>
      </c>
      <c r="H52" s="344">
        <v>6</v>
      </c>
      <c r="I52" s="260">
        <v>45905</v>
      </c>
      <c r="J52" s="1059"/>
      <c r="K52" s="1060"/>
      <c r="L52" s="1060"/>
      <c r="M52" s="1060"/>
      <c r="N52" s="1060"/>
      <c r="O52" s="1060"/>
      <c r="P52" s="1060"/>
      <c r="Q52" s="1060"/>
      <c r="R52" s="1060"/>
      <c r="S52" s="1119"/>
      <c r="T52" s="1277"/>
      <c r="U52" s="759"/>
      <c r="V52" s="759"/>
      <c r="W52" s="759"/>
      <c r="X52" s="759"/>
      <c r="Y52" s="759"/>
      <c r="Z52" s="759"/>
      <c r="AA52" s="759"/>
      <c r="AB52" s="759"/>
      <c r="AC52" s="762"/>
    </row>
    <row r="53" spans="1:29" ht="17.399999999999999">
      <c r="A53" s="305" t="s">
        <v>6</v>
      </c>
      <c r="B53" s="364" t="s">
        <v>113</v>
      </c>
      <c r="C53" s="318">
        <v>7</v>
      </c>
      <c r="D53" s="319" t="s">
        <v>129</v>
      </c>
      <c r="E53" s="320" t="s">
        <v>38</v>
      </c>
      <c r="F53" s="321" t="s">
        <v>126</v>
      </c>
      <c r="G53" s="322" t="s">
        <v>130</v>
      </c>
      <c r="H53" s="345">
        <v>5</v>
      </c>
      <c r="I53" s="260">
        <v>45906</v>
      </c>
      <c r="J53" s="1278"/>
      <c r="K53" s="1279"/>
      <c r="L53" s="1279"/>
      <c r="M53" s="1279"/>
      <c r="N53" s="1279"/>
      <c r="O53" s="1279"/>
      <c r="P53" s="1279"/>
      <c r="Q53" s="1279"/>
      <c r="R53" s="1279"/>
      <c r="S53" s="1152"/>
      <c r="T53" s="1280"/>
      <c r="U53" s="1281"/>
      <c r="V53" s="1281"/>
      <c r="W53" s="1281"/>
      <c r="X53" s="1281"/>
      <c r="Y53" s="1281"/>
      <c r="Z53" s="1281"/>
      <c r="AA53" s="1281"/>
      <c r="AB53" s="1281"/>
      <c r="AC53" s="1157"/>
    </row>
    <row r="54" spans="1:29" ht="17.399999999999999">
      <c r="A54" s="305" t="s">
        <v>6</v>
      </c>
      <c r="B54" s="365" t="s">
        <v>131</v>
      </c>
      <c r="C54" s="230">
        <v>8</v>
      </c>
      <c r="D54" s="231" t="s">
        <v>132</v>
      </c>
      <c r="E54" s="232" t="s">
        <v>133</v>
      </c>
      <c r="F54" s="233" t="s">
        <v>134</v>
      </c>
      <c r="G54" s="234" t="s">
        <v>135</v>
      </c>
      <c r="H54" s="346">
        <v>5.6228257045651073E-3</v>
      </c>
      <c r="I54" s="260">
        <v>45907</v>
      </c>
      <c r="J54" s="1282">
        <v>3.0634854772754026E-4</v>
      </c>
      <c r="K54" s="1283">
        <v>1.5345582134882129E-3</v>
      </c>
      <c r="L54" s="1283">
        <v>4.9899999999999996E-3</v>
      </c>
      <c r="M54" s="1283">
        <v>3.9466373197277749E-3</v>
      </c>
      <c r="N54" s="1283">
        <v>6.7000000000000002E-3</v>
      </c>
      <c r="O54" s="1283">
        <v>1.35E-2</v>
      </c>
      <c r="P54" s="1283">
        <v>1.5615195883585651E-2</v>
      </c>
      <c r="Q54" s="1283">
        <v>1.0154863101826788E-2</v>
      </c>
      <c r="R54" s="1283">
        <v>9.0555430190175021E-3</v>
      </c>
      <c r="S54" s="1129">
        <v>3.677384782895327E-4</v>
      </c>
      <c r="T54" s="1284">
        <v>4.380373861290845E-4</v>
      </c>
      <c r="U54" s="1285">
        <v>3.5054510482799149E-3</v>
      </c>
      <c r="V54" s="1286">
        <v>4.6796727481969577E-3</v>
      </c>
      <c r="W54" s="1285">
        <v>3.5054510482799149E-3</v>
      </c>
      <c r="X54" s="1285">
        <v>7.0998941154704854E-3</v>
      </c>
      <c r="Y54" s="1285">
        <v>1.2442982266752904E-2</v>
      </c>
      <c r="Z54" s="1285">
        <v>9.7123745776393107E-3</v>
      </c>
      <c r="AA54" s="1285">
        <v>1.6555433265932954E-2</v>
      </c>
      <c r="AB54" s="1285">
        <v>5.692812859484417E-3</v>
      </c>
      <c r="AC54" s="1287">
        <v>4.5901407068385541E-4</v>
      </c>
    </row>
    <row r="55" spans="1:29" s="229" customFormat="1" ht="17.399999999999999">
      <c r="A55" s="307" t="s">
        <v>6</v>
      </c>
      <c r="B55" s="366" t="s">
        <v>131</v>
      </c>
      <c r="C55" s="334">
        <v>9</v>
      </c>
      <c r="D55" s="335" t="s">
        <v>132</v>
      </c>
      <c r="E55" s="336" t="s">
        <v>136</v>
      </c>
      <c r="F55" s="337" t="s">
        <v>134</v>
      </c>
      <c r="G55" s="338" t="s">
        <v>135</v>
      </c>
      <c r="H55" s="349">
        <v>162.9</v>
      </c>
      <c r="I55" s="261">
        <v>45908</v>
      </c>
      <c r="J55" s="1189">
        <v>0.23302392</v>
      </c>
      <c r="K55" s="1297">
        <v>1.1672611900000001</v>
      </c>
      <c r="L55" s="1297">
        <v>2.52</v>
      </c>
      <c r="M55" s="1297">
        <v>5.0599999999999996</v>
      </c>
      <c r="N55" s="1297">
        <v>1.32</v>
      </c>
      <c r="O55" s="1297">
        <v>2.77</v>
      </c>
      <c r="P55" s="1297">
        <v>2.7759999999999998</v>
      </c>
      <c r="Q55" s="1297">
        <v>0.79900000000000004</v>
      </c>
      <c r="R55" s="1297">
        <v>3.48</v>
      </c>
      <c r="S55" s="1298">
        <v>0.155</v>
      </c>
      <c r="T55" s="1299">
        <v>0.27620882791531226</v>
      </c>
      <c r="U55" s="1300">
        <v>2.2103970026763191</v>
      </c>
      <c r="V55" s="1300">
        <v>2.0964345311351744</v>
      </c>
      <c r="W55" s="1300">
        <v>4.8159528275283749</v>
      </c>
      <c r="X55" s="1300">
        <v>1.2768185905711198</v>
      </c>
      <c r="Y55" s="1300">
        <v>2.1979621697461074</v>
      </c>
      <c r="Z55" s="1300">
        <v>1.4240419578978845</v>
      </c>
      <c r="AA55" s="1300">
        <v>0.92569075999999995</v>
      </c>
      <c r="AB55" s="1300">
        <v>1.9820568616485712</v>
      </c>
      <c r="AC55" s="1301">
        <v>0.17184938631249319</v>
      </c>
    </row>
    <row r="56" spans="1:29" ht="17.399999999999999">
      <c r="A56" s="361" t="s">
        <v>6</v>
      </c>
      <c r="B56" s="362" t="s">
        <v>113</v>
      </c>
      <c r="C56" s="329">
        <v>1</v>
      </c>
      <c r="D56" s="330" t="s">
        <v>114</v>
      </c>
      <c r="E56" s="331" t="s">
        <v>38</v>
      </c>
      <c r="F56" s="332" t="s">
        <v>115</v>
      </c>
      <c r="G56" s="333" t="s">
        <v>116</v>
      </c>
      <c r="H56" s="348">
        <v>0</v>
      </c>
      <c r="I56" s="262">
        <v>45931</v>
      </c>
      <c r="J56" s="1063"/>
      <c r="K56" s="1064"/>
      <c r="L56" s="1064"/>
      <c r="M56" s="1064"/>
      <c r="N56" s="1064"/>
      <c r="O56" s="1064"/>
      <c r="P56" s="1064"/>
      <c r="Q56" s="1064"/>
      <c r="R56" s="1064"/>
      <c r="S56" s="1292"/>
      <c r="T56" s="1293"/>
      <c r="U56" s="1294"/>
      <c r="V56" s="1294"/>
      <c r="W56" s="1294"/>
      <c r="X56" s="1294"/>
      <c r="Y56" s="1294"/>
      <c r="Z56" s="1294"/>
      <c r="AA56" s="1294"/>
      <c r="AB56" s="1294"/>
      <c r="AC56" s="1295"/>
    </row>
    <row r="57" spans="1:29" ht="17.399999999999999">
      <c r="A57" s="305" t="s">
        <v>6</v>
      </c>
      <c r="B57" s="363" t="s">
        <v>113</v>
      </c>
      <c r="C57" s="254">
        <v>2</v>
      </c>
      <c r="D57" s="253" t="s">
        <v>117</v>
      </c>
      <c r="E57" s="247" t="s">
        <v>38</v>
      </c>
      <c r="F57" s="248" t="s">
        <v>115</v>
      </c>
      <c r="G57" s="249" t="s">
        <v>116</v>
      </c>
      <c r="H57" s="342" t="s">
        <v>41</v>
      </c>
      <c r="I57" s="260">
        <v>45931</v>
      </c>
      <c r="J57" s="1059"/>
      <c r="K57" s="1296"/>
      <c r="L57" s="1060"/>
      <c r="M57" s="1060"/>
      <c r="N57" s="1060"/>
      <c r="O57" s="1060"/>
      <c r="P57" s="1060"/>
      <c r="Q57" s="1060"/>
      <c r="R57" s="1060"/>
      <c r="S57" s="1119"/>
      <c r="T57" s="1274"/>
      <c r="U57" s="1275"/>
      <c r="V57" s="1275"/>
      <c r="W57" s="1275"/>
      <c r="X57" s="1275"/>
      <c r="Y57" s="1275"/>
      <c r="Z57" s="1275"/>
      <c r="AA57" s="1275"/>
      <c r="AB57" s="1275"/>
      <c r="AC57" s="1276"/>
    </row>
    <row r="58" spans="1:29" ht="17.399999999999999">
      <c r="A58" s="305" t="s">
        <v>6</v>
      </c>
      <c r="B58" s="363" t="s">
        <v>113</v>
      </c>
      <c r="C58" s="245">
        <v>3</v>
      </c>
      <c r="D58" s="246" t="s">
        <v>118</v>
      </c>
      <c r="E58" s="247" t="s">
        <v>38</v>
      </c>
      <c r="F58" s="248" t="s">
        <v>115</v>
      </c>
      <c r="G58" s="249" t="s">
        <v>116</v>
      </c>
      <c r="H58" s="343">
        <v>4</v>
      </c>
      <c r="I58" s="260">
        <v>45931</v>
      </c>
      <c r="J58" s="1059"/>
      <c r="K58" s="1060"/>
      <c r="L58" s="1060"/>
      <c r="M58" s="1060"/>
      <c r="N58" s="1060"/>
      <c r="O58" s="1060"/>
      <c r="P58" s="1060"/>
      <c r="Q58" s="1060"/>
      <c r="R58" s="1060"/>
      <c r="S58" s="1119"/>
      <c r="T58" s="1274"/>
      <c r="U58" s="1275"/>
      <c r="V58" s="1275"/>
      <c r="W58" s="1275"/>
      <c r="X58" s="1275"/>
      <c r="Y58" s="1275"/>
      <c r="Z58" s="1275"/>
      <c r="AA58" s="1275"/>
      <c r="AB58" s="1275"/>
      <c r="AC58" s="1276"/>
    </row>
    <row r="59" spans="1:29" ht="32.4">
      <c r="A59" s="305" t="s">
        <v>6</v>
      </c>
      <c r="B59" s="363" t="s">
        <v>113</v>
      </c>
      <c r="C59" s="245">
        <v>4</v>
      </c>
      <c r="D59" s="246" t="s">
        <v>119</v>
      </c>
      <c r="E59" s="247" t="s">
        <v>38</v>
      </c>
      <c r="F59" s="248" t="s">
        <v>115</v>
      </c>
      <c r="G59" s="249" t="s">
        <v>116</v>
      </c>
      <c r="H59" s="343">
        <v>9</v>
      </c>
      <c r="I59" s="260">
        <v>45931</v>
      </c>
      <c r="J59" s="1059"/>
      <c r="K59" s="1060"/>
      <c r="L59" s="1060"/>
      <c r="M59" s="1111">
        <v>1</v>
      </c>
      <c r="N59" s="1060"/>
      <c r="O59" s="1060"/>
      <c r="P59" s="1060"/>
      <c r="Q59" s="1060"/>
      <c r="R59" s="1060"/>
      <c r="S59" s="1119"/>
      <c r="T59" s="1277"/>
      <c r="U59" s="759"/>
      <c r="V59" s="759"/>
      <c r="W59" s="759"/>
      <c r="X59" s="759"/>
      <c r="Y59" s="759"/>
      <c r="Z59" s="759"/>
      <c r="AA59" s="759"/>
      <c r="AB59" s="759"/>
      <c r="AC59" s="762"/>
    </row>
    <row r="60" spans="1:29" ht="17.399999999999999">
      <c r="A60" s="305" t="s">
        <v>6</v>
      </c>
      <c r="B60" s="363" t="s">
        <v>113</v>
      </c>
      <c r="C60" s="254">
        <v>5</v>
      </c>
      <c r="D60" s="253" t="s">
        <v>120</v>
      </c>
      <c r="E60" s="247" t="s">
        <v>38</v>
      </c>
      <c r="F60" s="248" t="s">
        <v>115</v>
      </c>
      <c r="G60" s="249" t="s">
        <v>116</v>
      </c>
      <c r="H60" s="343">
        <v>6</v>
      </c>
      <c r="I60" s="260">
        <v>45931</v>
      </c>
      <c r="J60" s="1059"/>
      <c r="K60" s="1060"/>
      <c r="L60" s="1111">
        <v>1</v>
      </c>
      <c r="M60" s="1060"/>
      <c r="N60" s="1060"/>
      <c r="O60" s="1060"/>
      <c r="P60" s="1060"/>
      <c r="Q60" s="1060"/>
      <c r="R60" s="1060"/>
      <c r="S60" s="1119"/>
      <c r="T60" s="1277"/>
      <c r="U60" s="759"/>
      <c r="V60" s="759"/>
      <c r="W60" s="759"/>
      <c r="X60" s="759"/>
      <c r="Y60" s="759"/>
      <c r="Z60" s="759"/>
      <c r="AA60" s="759"/>
      <c r="AB60" s="759"/>
      <c r="AC60" s="762"/>
    </row>
    <row r="61" spans="1:29" ht="30">
      <c r="A61" s="305" t="s">
        <v>6</v>
      </c>
      <c r="B61" s="363" t="s">
        <v>113</v>
      </c>
      <c r="C61" s="245">
        <v>6</v>
      </c>
      <c r="D61" s="246" t="s">
        <v>125</v>
      </c>
      <c r="E61" s="247" t="s">
        <v>38</v>
      </c>
      <c r="F61" s="248" t="s">
        <v>156</v>
      </c>
      <c r="G61" s="249" t="s">
        <v>127</v>
      </c>
      <c r="H61" s="344">
        <v>6</v>
      </c>
      <c r="I61" s="260">
        <v>45931</v>
      </c>
      <c r="J61" s="1059"/>
      <c r="K61" s="1060"/>
      <c r="L61" s="1060"/>
      <c r="M61" s="1060"/>
      <c r="N61" s="1060"/>
      <c r="O61" s="1060"/>
      <c r="P61" s="1060"/>
      <c r="Q61" s="1060"/>
      <c r="R61" s="1060"/>
      <c r="S61" s="1119"/>
      <c r="T61" s="1277"/>
      <c r="U61" s="759"/>
      <c r="V61" s="759"/>
      <c r="W61" s="759"/>
      <c r="X61" s="759"/>
      <c r="Y61" s="759"/>
      <c r="Z61" s="759"/>
      <c r="AA61" s="759"/>
      <c r="AB61" s="759"/>
      <c r="AC61" s="762"/>
    </row>
    <row r="62" spans="1:29" ht="17.399999999999999">
      <c r="A62" s="305" t="s">
        <v>6</v>
      </c>
      <c r="B62" s="364" t="s">
        <v>113</v>
      </c>
      <c r="C62" s="318">
        <v>7</v>
      </c>
      <c r="D62" s="319" t="s">
        <v>129</v>
      </c>
      <c r="E62" s="320" t="s">
        <v>38</v>
      </c>
      <c r="F62" s="321" t="s">
        <v>126</v>
      </c>
      <c r="G62" s="322" t="s">
        <v>130</v>
      </c>
      <c r="H62" s="345">
        <v>5</v>
      </c>
      <c r="I62" s="260">
        <v>45931</v>
      </c>
      <c r="J62" s="1278"/>
      <c r="K62" s="1279"/>
      <c r="L62" s="1279"/>
      <c r="M62" s="1279"/>
      <c r="N62" s="1279"/>
      <c r="O62" s="1279"/>
      <c r="P62" s="1279"/>
      <c r="Q62" s="1279"/>
      <c r="R62" s="1279"/>
      <c r="S62" s="1152"/>
      <c r="T62" s="1280"/>
      <c r="U62" s="1281"/>
      <c r="V62" s="1281"/>
      <c r="W62" s="1281"/>
      <c r="X62" s="1281"/>
      <c r="Y62" s="1281"/>
      <c r="Z62" s="1281"/>
      <c r="AA62" s="1281"/>
      <c r="AB62" s="1281"/>
      <c r="AC62" s="1157"/>
    </row>
    <row r="63" spans="1:29" ht="17.399999999999999">
      <c r="A63" s="305" t="s">
        <v>6</v>
      </c>
      <c r="B63" s="365" t="s">
        <v>131</v>
      </c>
      <c r="C63" s="230">
        <v>8</v>
      </c>
      <c r="D63" s="231" t="s">
        <v>132</v>
      </c>
      <c r="E63" s="232" t="s">
        <v>133</v>
      </c>
      <c r="F63" s="233" t="s">
        <v>134</v>
      </c>
      <c r="G63" s="234" t="s">
        <v>135</v>
      </c>
      <c r="H63" s="346">
        <v>5.6228257045651073E-3</v>
      </c>
      <c r="I63" s="260">
        <v>45931</v>
      </c>
      <c r="J63" s="1282">
        <v>3.2000638281373895E-4</v>
      </c>
      <c r="K63" s="1283">
        <v>1.9006193493159376E-3</v>
      </c>
      <c r="L63" s="1283">
        <v>4.2900000000000004E-3</v>
      </c>
      <c r="M63" s="1283">
        <v>3.514658675860002E-3</v>
      </c>
      <c r="N63" s="1283">
        <v>7.323721004771383E-3</v>
      </c>
      <c r="O63" s="1283">
        <v>1.2086525614355083E-2</v>
      </c>
      <c r="P63" s="1283">
        <v>1.1453020225403506E-2</v>
      </c>
      <c r="Q63" s="1283">
        <v>9.1835093808713165E-3</v>
      </c>
      <c r="R63" s="1283">
        <v>1.2530923444919264E-2</v>
      </c>
      <c r="S63" s="1129">
        <v>4.4319513824439468E-4</v>
      </c>
      <c r="T63" s="1284">
        <v>4.3429745146497775E-4</v>
      </c>
      <c r="U63" s="1285">
        <v>3.4885738798139019E-3</v>
      </c>
      <c r="V63" s="1286">
        <v>4.6789795798428844E-3</v>
      </c>
      <c r="W63" s="1285">
        <v>3.4885738798139019E-3</v>
      </c>
      <c r="X63" s="1285">
        <v>6.7997063355654079E-3</v>
      </c>
      <c r="Y63" s="1285">
        <v>1.2179909123488371E-2</v>
      </c>
      <c r="Z63" s="1285">
        <v>9.6470075815049804E-3</v>
      </c>
      <c r="AA63" s="1285">
        <v>1.6729962209282544E-2</v>
      </c>
      <c r="AB63" s="1285">
        <v>5.583366504668002E-3</v>
      </c>
      <c r="AC63" s="1287">
        <v>4.7639285711258226E-4</v>
      </c>
    </row>
    <row r="64" spans="1:29" s="229" customFormat="1" ht="17.399999999999999">
      <c r="A64" s="307" t="s">
        <v>6</v>
      </c>
      <c r="B64" s="366" t="s">
        <v>131</v>
      </c>
      <c r="C64" s="334">
        <v>9</v>
      </c>
      <c r="D64" s="335" t="s">
        <v>132</v>
      </c>
      <c r="E64" s="336" t="s">
        <v>136</v>
      </c>
      <c r="F64" s="337" t="s">
        <v>134</v>
      </c>
      <c r="G64" s="338" t="s">
        <v>135</v>
      </c>
      <c r="H64" s="349">
        <v>162.9</v>
      </c>
      <c r="I64" s="261">
        <v>45931</v>
      </c>
      <c r="J64" s="1189">
        <v>0.21680767000000001</v>
      </c>
      <c r="K64" s="1297">
        <v>1.2876894800000001</v>
      </c>
      <c r="L64" s="1297">
        <v>2.0434032256000001</v>
      </c>
      <c r="M64" s="1297">
        <v>4.0685952117999999</v>
      </c>
      <c r="N64" s="1297">
        <v>1.2786866699999999</v>
      </c>
      <c r="O64" s="1297">
        <v>2.1936923799999999</v>
      </c>
      <c r="P64" s="1297">
        <v>2.0922544894000001</v>
      </c>
      <c r="Q64" s="1297">
        <v>0.56943958719999999</v>
      </c>
      <c r="R64" s="1297">
        <v>4.2151349068999995</v>
      </c>
      <c r="S64" s="1298">
        <v>0.17529443</v>
      </c>
      <c r="T64" s="1299">
        <v>0.2784518782626394</v>
      </c>
      <c r="U64" s="1300">
        <v>2.2367157486543507</v>
      </c>
      <c r="V64" s="1300">
        <v>2.0842311745941653</v>
      </c>
      <c r="W64" s="1300">
        <v>4.8005798334770695</v>
      </c>
      <c r="X64" s="1300">
        <v>1.2291118483597401</v>
      </c>
      <c r="Y64" s="1300">
        <v>2.1111040064922229</v>
      </c>
      <c r="Z64" s="1300">
        <v>1.4746437012505191</v>
      </c>
      <c r="AA64" s="1300">
        <v>0.90943924000000009</v>
      </c>
      <c r="AB64" s="1300">
        <v>1.9868566041123215</v>
      </c>
      <c r="AC64" s="1301">
        <v>0.17911751173359955</v>
      </c>
    </row>
    <row r="65" spans="1:29" ht="17.399999999999999">
      <c r="A65" s="361" t="s">
        <v>6</v>
      </c>
      <c r="B65" s="362" t="s">
        <v>113</v>
      </c>
      <c r="C65" s="329">
        <v>1</v>
      </c>
      <c r="D65" s="330" t="s">
        <v>114</v>
      </c>
      <c r="E65" s="331" t="s">
        <v>38</v>
      </c>
      <c r="F65" s="332" t="s">
        <v>115</v>
      </c>
      <c r="G65" s="333" t="s">
        <v>116</v>
      </c>
      <c r="H65" s="348">
        <v>0</v>
      </c>
      <c r="I65" s="262">
        <v>45962</v>
      </c>
      <c r="J65" s="1063"/>
      <c r="K65" s="1064"/>
      <c r="L65" s="1064"/>
      <c r="M65" s="1064"/>
      <c r="N65" s="1064"/>
      <c r="O65" s="1064"/>
      <c r="P65" s="1064"/>
      <c r="Q65" s="1064"/>
      <c r="R65" s="1064"/>
      <c r="S65" s="1292"/>
      <c r="T65" s="1293"/>
      <c r="U65" s="1294"/>
      <c r="V65" s="1294"/>
      <c r="W65" s="1294"/>
      <c r="X65" s="1294"/>
      <c r="Y65" s="1294"/>
      <c r="Z65" s="1294"/>
      <c r="AA65" s="1294"/>
      <c r="AB65" s="1294"/>
      <c r="AC65" s="1295"/>
    </row>
    <row r="66" spans="1:29" ht="17.399999999999999">
      <c r="A66" s="305" t="s">
        <v>6</v>
      </c>
      <c r="B66" s="363" t="s">
        <v>113</v>
      </c>
      <c r="C66" s="254">
        <v>2</v>
      </c>
      <c r="D66" s="253" t="s">
        <v>117</v>
      </c>
      <c r="E66" s="247" t="s">
        <v>38</v>
      </c>
      <c r="F66" s="248" t="s">
        <v>115</v>
      </c>
      <c r="G66" s="249" t="s">
        <v>116</v>
      </c>
      <c r="H66" s="342" t="s">
        <v>41</v>
      </c>
      <c r="I66" s="260">
        <v>45962</v>
      </c>
      <c r="J66" s="1059"/>
      <c r="K66" s="1296"/>
      <c r="L66" s="1060"/>
      <c r="M66" s="1060"/>
      <c r="N66" s="1060"/>
      <c r="O66" s="1060"/>
      <c r="P66" s="1060"/>
      <c r="Q66" s="1060"/>
      <c r="R66" s="1060"/>
      <c r="S66" s="1119"/>
      <c r="T66" s="1274"/>
      <c r="U66" s="1275"/>
      <c r="V66" s="1275"/>
      <c r="W66" s="1275"/>
      <c r="X66" s="1275"/>
      <c r="Y66" s="1275"/>
      <c r="Z66" s="1275"/>
      <c r="AA66" s="1275"/>
      <c r="AB66" s="1275"/>
      <c r="AC66" s="1276"/>
    </row>
    <row r="67" spans="1:29" ht="17.399999999999999">
      <c r="A67" s="305" t="s">
        <v>6</v>
      </c>
      <c r="B67" s="363" t="s">
        <v>113</v>
      </c>
      <c r="C67" s="245">
        <v>3</v>
      </c>
      <c r="D67" s="246" t="s">
        <v>118</v>
      </c>
      <c r="E67" s="247" t="s">
        <v>38</v>
      </c>
      <c r="F67" s="248" t="s">
        <v>115</v>
      </c>
      <c r="G67" s="249" t="s">
        <v>116</v>
      </c>
      <c r="H67" s="343">
        <v>4</v>
      </c>
      <c r="I67" s="260">
        <v>45962</v>
      </c>
      <c r="J67" s="1059"/>
      <c r="K67" s="1060"/>
      <c r="L67" s="1060"/>
      <c r="M67" s="1111">
        <v>1</v>
      </c>
      <c r="N67" s="1060"/>
      <c r="O67" s="1060"/>
      <c r="P67" s="1060"/>
      <c r="Q67" s="1060"/>
      <c r="R67" s="1060"/>
      <c r="S67" s="1119"/>
      <c r="T67" s="1274"/>
      <c r="U67" s="1275"/>
      <c r="V67" s="1275"/>
      <c r="W67" s="1275"/>
      <c r="X67" s="1275"/>
      <c r="Y67" s="1275"/>
      <c r="Z67" s="1275"/>
      <c r="AA67" s="1275"/>
      <c r="AB67" s="1275"/>
      <c r="AC67" s="1276"/>
    </row>
    <row r="68" spans="1:29" ht="32.4">
      <c r="A68" s="305" t="s">
        <v>6</v>
      </c>
      <c r="B68" s="363" t="s">
        <v>113</v>
      </c>
      <c r="C68" s="245">
        <v>4</v>
      </c>
      <c r="D68" s="246" t="s">
        <v>119</v>
      </c>
      <c r="E68" s="247" t="s">
        <v>38</v>
      </c>
      <c r="F68" s="248" t="s">
        <v>115</v>
      </c>
      <c r="G68" s="249" t="s">
        <v>116</v>
      </c>
      <c r="H68" s="343">
        <v>9</v>
      </c>
      <c r="I68" s="260">
        <v>45962</v>
      </c>
      <c r="J68" s="1059"/>
      <c r="K68" s="1060"/>
      <c r="L68" s="1060"/>
      <c r="M68" s="1111">
        <v>2</v>
      </c>
      <c r="N68" s="1060"/>
      <c r="O68" s="1060"/>
      <c r="P68" s="1060"/>
      <c r="Q68" s="1060"/>
      <c r="R68" s="1060"/>
      <c r="S68" s="1119"/>
      <c r="T68" s="1277"/>
      <c r="U68" s="759"/>
      <c r="V68" s="759"/>
      <c r="W68" s="759"/>
      <c r="X68" s="759"/>
      <c r="Y68" s="759"/>
      <c r="Z68" s="759"/>
      <c r="AA68" s="759"/>
      <c r="AB68" s="759"/>
      <c r="AC68" s="762"/>
    </row>
    <row r="69" spans="1:29" ht="17.399999999999999">
      <c r="A69" s="305" t="s">
        <v>6</v>
      </c>
      <c r="B69" s="363" t="s">
        <v>113</v>
      </c>
      <c r="C69" s="254">
        <v>5</v>
      </c>
      <c r="D69" s="253" t="s">
        <v>120</v>
      </c>
      <c r="E69" s="247" t="s">
        <v>38</v>
      </c>
      <c r="F69" s="248" t="s">
        <v>115</v>
      </c>
      <c r="G69" s="249" t="s">
        <v>116</v>
      </c>
      <c r="H69" s="343">
        <v>6</v>
      </c>
      <c r="I69" s="260">
        <v>45962</v>
      </c>
      <c r="J69" s="1059"/>
      <c r="K69" s="1060"/>
      <c r="L69" s="1060"/>
      <c r="M69" s="1060"/>
      <c r="N69" s="1060"/>
      <c r="O69" s="1111">
        <v>1</v>
      </c>
      <c r="P69" s="1111">
        <v>1</v>
      </c>
      <c r="Q69" s="1060"/>
      <c r="R69" s="1060"/>
      <c r="S69" s="1119"/>
      <c r="T69" s="1277"/>
      <c r="U69" s="759"/>
      <c r="V69" s="759"/>
      <c r="W69" s="759"/>
      <c r="X69" s="759"/>
      <c r="Y69" s="759"/>
      <c r="Z69" s="759"/>
      <c r="AA69" s="759"/>
      <c r="AB69" s="759"/>
      <c r="AC69" s="762"/>
    </row>
    <row r="70" spans="1:29" ht="30">
      <c r="A70" s="305" t="s">
        <v>6</v>
      </c>
      <c r="B70" s="363" t="s">
        <v>113</v>
      </c>
      <c r="C70" s="245">
        <v>6</v>
      </c>
      <c r="D70" s="246" t="s">
        <v>125</v>
      </c>
      <c r="E70" s="247" t="s">
        <v>38</v>
      </c>
      <c r="F70" s="248" t="s">
        <v>156</v>
      </c>
      <c r="G70" s="249" t="s">
        <v>127</v>
      </c>
      <c r="H70" s="344">
        <v>6</v>
      </c>
      <c r="I70" s="260">
        <v>45962</v>
      </c>
      <c r="J70" s="1059"/>
      <c r="K70" s="1060"/>
      <c r="L70" s="1111">
        <v>2</v>
      </c>
      <c r="M70" s="1060"/>
      <c r="N70" s="1060"/>
      <c r="O70" s="1060"/>
      <c r="P70" s="1060"/>
      <c r="Q70" s="1060"/>
      <c r="R70" s="1060"/>
      <c r="S70" s="1119"/>
      <c r="T70" s="1277"/>
      <c r="U70" s="759"/>
      <c r="V70" s="759"/>
      <c r="W70" s="759"/>
      <c r="X70" s="759"/>
      <c r="Y70" s="759"/>
      <c r="Z70" s="759"/>
      <c r="AA70" s="759"/>
      <c r="AB70" s="759"/>
      <c r="AC70" s="762"/>
    </row>
    <row r="71" spans="1:29" ht="17.399999999999999">
      <c r="A71" s="305" t="s">
        <v>6</v>
      </c>
      <c r="B71" s="364" t="s">
        <v>113</v>
      </c>
      <c r="C71" s="318">
        <v>7</v>
      </c>
      <c r="D71" s="319" t="s">
        <v>129</v>
      </c>
      <c r="E71" s="320" t="s">
        <v>38</v>
      </c>
      <c r="F71" s="321" t="s">
        <v>126</v>
      </c>
      <c r="G71" s="322" t="s">
        <v>130</v>
      </c>
      <c r="H71" s="345">
        <v>5</v>
      </c>
      <c r="I71" s="260">
        <v>45962</v>
      </c>
      <c r="J71" s="1278"/>
      <c r="K71" s="1279"/>
      <c r="L71" s="1279"/>
      <c r="M71" s="1279"/>
      <c r="N71" s="1279"/>
      <c r="O71" s="1279"/>
      <c r="P71" s="1279"/>
      <c r="Q71" s="1279"/>
      <c r="R71" s="1279"/>
      <c r="S71" s="1152"/>
      <c r="T71" s="1280"/>
      <c r="U71" s="1281"/>
      <c r="V71" s="1281"/>
      <c r="W71" s="1281"/>
      <c r="X71" s="1281"/>
      <c r="Y71" s="1281"/>
      <c r="Z71" s="1281"/>
      <c r="AA71" s="1281"/>
      <c r="AB71" s="1281"/>
      <c r="AC71" s="1157"/>
    </row>
    <row r="72" spans="1:29" ht="17.399999999999999">
      <c r="A72" s="305" t="s">
        <v>6</v>
      </c>
      <c r="B72" s="365" t="s">
        <v>131</v>
      </c>
      <c r="C72" s="230">
        <v>8</v>
      </c>
      <c r="D72" s="231" t="s">
        <v>132</v>
      </c>
      <c r="E72" s="232" t="s">
        <v>133</v>
      </c>
      <c r="F72" s="233" t="s">
        <v>134</v>
      </c>
      <c r="G72" s="234" t="s">
        <v>135</v>
      </c>
      <c r="H72" s="346">
        <v>5.6228257045651073E-3</v>
      </c>
      <c r="I72" s="260">
        <v>45962</v>
      </c>
      <c r="J72" s="1282">
        <v>3.1880661045712765E-4</v>
      </c>
      <c r="K72" s="1283">
        <v>2.1554870442079444E-3</v>
      </c>
      <c r="L72" s="1283">
        <v>4.6881858917638018E-3</v>
      </c>
      <c r="M72" s="1283">
        <v>3.5487584770152918E-3</v>
      </c>
      <c r="N72" s="1283">
        <v>0</v>
      </c>
      <c r="O72" s="1283">
        <v>0</v>
      </c>
      <c r="P72" s="1283">
        <v>1.2060375231409031E-2</v>
      </c>
      <c r="Q72" s="1283">
        <v>7.2272097096978006E-3</v>
      </c>
      <c r="R72" s="1283">
        <v>6.2490492242019604E-3</v>
      </c>
      <c r="S72" s="1129">
        <v>0</v>
      </c>
      <c r="T72" s="1284">
        <v>4.5417048764110902E-4</v>
      </c>
      <c r="U72" s="1285">
        <v>3.7899201647726304E-3</v>
      </c>
      <c r="V72" s="1286">
        <v>4.6886049465804953E-3</v>
      </c>
      <c r="W72" s="1285">
        <v>3.7899201647726304E-3</v>
      </c>
      <c r="X72" s="1285">
        <v>6.7716207131641648E-3</v>
      </c>
      <c r="Y72" s="1285">
        <v>1.1617256955599321E-2</v>
      </c>
      <c r="Z72" s="1285">
        <v>9.7172647829085121E-3</v>
      </c>
      <c r="AA72" s="1285">
        <v>1.6501944773808893E-2</v>
      </c>
      <c r="AB72" s="1285">
        <v>5.5173338226549452E-3</v>
      </c>
      <c r="AC72" s="1287">
        <v>4.423584211524255E-4</v>
      </c>
    </row>
    <row r="73" spans="1:29" s="229" customFormat="1" ht="17.399999999999999">
      <c r="A73" s="307" t="s">
        <v>6</v>
      </c>
      <c r="B73" s="366" t="s">
        <v>131</v>
      </c>
      <c r="C73" s="334">
        <v>9</v>
      </c>
      <c r="D73" s="335" t="s">
        <v>132</v>
      </c>
      <c r="E73" s="336" t="s">
        <v>136</v>
      </c>
      <c r="F73" s="337" t="s">
        <v>134</v>
      </c>
      <c r="G73" s="338" t="s">
        <v>135</v>
      </c>
      <c r="H73" s="349">
        <v>162.9</v>
      </c>
      <c r="I73" s="261">
        <v>45962</v>
      </c>
      <c r="J73" s="1189">
        <v>0.22687752999999999</v>
      </c>
      <c r="K73" s="1297">
        <v>1.53394428</v>
      </c>
      <c r="L73" s="1297">
        <v>2.2581939791000001</v>
      </c>
      <c r="M73" s="1297">
        <v>4.2696829419000002</v>
      </c>
      <c r="N73" s="1297">
        <v>0</v>
      </c>
      <c r="O73" s="1297">
        <v>0</v>
      </c>
      <c r="P73" s="1297">
        <v>2.2280119766000004</v>
      </c>
      <c r="Q73" s="1297">
        <v>0.46284431920000002</v>
      </c>
      <c r="R73" s="1297">
        <v>2.3541938500000001</v>
      </c>
      <c r="S73" s="1298">
        <v>0</v>
      </c>
      <c r="T73" s="1299">
        <v>0.26420376210176505</v>
      </c>
      <c r="U73" s="1300">
        <v>2.2047032840000789</v>
      </c>
      <c r="V73" s="1300">
        <v>2.0426154289154979</v>
      </c>
      <c r="W73" s="1300">
        <v>4.550517776187184</v>
      </c>
      <c r="X73" s="1300">
        <v>1.1477678467238315</v>
      </c>
      <c r="Y73" s="1300">
        <v>1.9142458432383367</v>
      </c>
      <c r="Z73" s="1300">
        <v>1.5147280117409616</v>
      </c>
      <c r="AA73" s="1300">
        <v>0.99286227999999999</v>
      </c>
      <c r="AB73" s="1300">
        <v>2.0286180999941963</v>
      </c>
      <c r="AC73" s="1301">
        <v>0.15871630935852007</v>
      </c>
    </row>
    <row r="74" spans="1:29" ht="17.399999999999999">
      <c r="A74" s="361" t="s">
        <v>6</v>
      </c>
      <c r="B74" s="362" t="s">
        <v>113</v>
      </c>
      <c r="C74" s="329">
        <v>1</v>
      </c>
      <c r="D74" s="330" t="s">
        <v>114</v>
      </c>
      <c r="E74" s="331" t="s">
        <v>38</v>
      </c>
      <c r="F74" s="332" t="s">
        <v>115</v>
      </c>
      <c r="G74" s="333" t="s">
        <v>116</v>
      </c>
      <c r="H74" s="348">
        <v>0</v>
      </c>
      <c r="I74" s="262">
        <v>45992</v>
      </c>
      <c r="J74" s="1063"/>
      <c r="K74" s="1064"/>
      <c r="L74" s="1064"/>
      <c r="M74" s="1064"/>
      <c r="N74" s="1064"/>
      <c r="O74" s="1064"/>
      <c r="P74" s="1064"/>
      <c r="Q74" s="1064"/>
      <c r="R74" s="1064"/>
      <c r="S74" s="1292"/>
      <c r="T74" s="1293"/>
      <c r="U74" s="1294"/>
      <c r="V74" s="1294"/>
      <c r="W74" s="1294"/>
      <c r="X74" s="1294"/>
      <c r="Y74" s="1294"/>
      <c r="Z74" s="1294"/>
      <c r="AA74" s="1294"/>
      <c r="AB74" s="1294"/>
      <c r="AC74" s="1295"/>
    </row>
    <row r="75" spans="1:29" ht="17.399999999999999">
      <c r="A75" s="305" t="s">
        <v>6</v>
      </c>
      <c r="B75" s="363" t="s">
        <v>113</v>
      </c>
      <c r="C75" s="254">
        <v>2</v>
      </c>
      <c r="D75" s="253" t="s">
        <v>117</v>
      </c>
      <c r="E75" s="247" t="s">
        <v>38</v>
      </c>
      <c r="F75" s="248" t="s">
        <v>115</v>
      </c>
      <c r="G75" s="249" t="s">
        <v>116</v>
      </c>
      <c r="H75" s="342" t="s">
        <v>41</v>
      </c>
      <c r="I75" s="260">
        <v>45992</v>
      </c>
      <c r="J75" s="1059"/>
      <c r="K75" s="1296"/>
      <c r="L75" s="1060"/>
      <c r="M75" s="1060"/>
      <c r="N75" s="1060"/>
      <c r="O75" s="1060"/>
      <c r="P75" s="1060"/>
      <c r="Q75" s="1060"/>
      <c r="R75" s="1060"/>
      <c r="S75" s="1119"/>
      <c r="T75" s="1274"/>
      <c r="U75" s="1275"/>
      <c r="V75" s="1275"/>
      <c r="W75" s="1275"/>
      <c r="X75" s="1275"/>
      <c r="Y75" s="1275"/>
      <c r="Z75" s="1275"/>
      <c r="AA75" s="1275"/>
      <c r="AB75" s="1275"/>
      <c r="AC75" s="1276"/>
    </row>
    <row r="76" spans="1:29" ht="17.399999999999999">
      <c r="A76" s="305" t="s">
        <v>6</v>
      </c>
      <c r="B76" s="363" t="s">
        <v>113</v>
      </c>
      <c r="C76" s="245">
        <v>3</v>
      </c>
      <c r="D76" s="246" t="s">
        <v>118</v>
      </c>
      <c r="E76" s="247" t="s">
        <v>38</v>
      </c>
      <c r="F76" s="248" t="s">
        <v>115</v>
      </c>
      <c r="G76" s="249" t="s">
        <v>116</v>
      </c>
      <c r="H76" s="343">
        <v>4</v>
      </c>
      <c r="I76" s="260">
        <v>45992</v>
      </c>
      <c r="J76" s="1059"/>
      <c r="K76" s="1060"/>
      <c r="L76" s="1060"/>
      <c r="M76" s="1060"/>
      <c r="N76" s="1060"/>
      <c r="O76" s="1060"/>
      <c r="P76" s="1060"/>
      <c r="Q76" s="1060"/>
      <c r="R76" s="1060"/>
      <c r="S76" s="1119"/>
      <c r="T76" s="1274"/>
      <c r="U76" s="1275"/>
      <c r="V76" s="1275"/>
      <c r="W76" s="1275"/>
      <c r="X76" s="1275"/>
      <c r="Y76" s="1275"/>
      <c r="Z76" s="1275"/>
      <c r="AA76" s="1275"/>
      <c r="AB76" s="1275"/>
      <c r="AC76" s="1276"/>
    </row>
    <row r="77" spans="1:29" ht="32.4">
      <c r="A77" s="305" t="s">
        <v>6</v>
      </c>
      <c r="B77" s="363" t="s">
        <v>113</v>
      </c>
      <c r="C77" s="245">
        <v>4</v>
      </c>
      <c r="D77" s="246" t="s">
        <v>119</v>
      </c>
      <c r="E77" s="247" t="s">
        <v>38</v>
      </c>
      <c r="F77" s="248" t="s">
        <v>115</v>
      </c>
      <c r="G77" s="249" t="s">
        <v>116</v>
      </c>
      <c r="H77" s="343">
        <v>9</v>
      </c>
      <c r="I77" s="260">
        <v>45992</v>
      </c>
      <c r="J77" s="1059"/>
      <c r="K77" s="1060"/>
      <c r="L77" s="1060"/>
      <c r="M77" s="1060"/>
      <c r="N77" s="1060"/>
      <c r="O77" s="1060"/>
      <c r="P77" s="1060"/>
      <c r="Q77" s="1060"/>
      <c r="R77" s="1060"/>
      <c r="S77" s="1119"/>
      <c r="T77" s="1277"/>
      <c r="U77" s="759"/>
      <c r="V77" s="759"/>
      <c r="W77" s="759"/>
      <c r="X77" s="759"/>
      <c r="Y77" s="759"/>
      <c r="Z77" s="759"/>
      <c r="AA77" s="759"/>
      <c r="AB77" s="759"/>
      <c r="AC77" s="762"/>
    </row>
    <row r="78" spans="1:29" ht="17.399999999999999">
      <c r="A78" s="305" t="s">
        <v>6</v>
      </c>
      <c r="B78" s="363" t="s">
        <v>113</v>
      </c>
      <c r="C78" s="254">
        <v>5</v>
      </c>
      <c r="D78" s="253" t="s">
        <v>120</v>
      </c>
      <c r="E78" s="247" t="s">
        <v>38</v>
      </c>
      <c r="F78" s="248" t="s">
        <v>115</v>
      </c>
      <c r="G78" s="249" t="s">
        <v>116</v>
      </c>
      <c r="H78" s="343">
        <v>6</v>
      </c>
      <c r="I78" s="260">
        <v>45992</v>
      </c>
      <c r="J78" s="1059"/>
      <c r="K78" s="1111">
        <v>1</v>
      </c>
      <c r="L78" s="1060"/>
      <c r="M78" s="1060"/>
      <c r="N78" s="1060"/>
      <c r="O78" s="1060"/>
      <c r="P78" s="1111">
        <v>1</v>
      </c>
      <c r="Q78" s="1060"/>
      <c r="R78" s="1060"/>
      <c r="S78" s="1119"/>
      <c r="T78" s="1277"/>
      <c r="U78" s="759"/>
      <c r="V78" s="759"/>
      <c r="W78" s="759"/>
      <c r="X78" s="759"/>
      <c r="Y78" s="759"/>
      <c r="Z78" s="759"/>
      <c r="AA78" s="759"/>
      <c r="AB78" s="759"/>
      <c r="AC78" s="762"/>
    </row>
    <row r="79" spans="1:29" ht="30">
      <c r="A79" s="305" t="s">
        <v>6</v>
      </c>
      <c r="B79" s="363" t="s">
        <v>113</v>
      </c>
      <c r="C79" s="245">
        <v>6</v>
      </c>
      <c r="D79" s="246" t="s">
        <v>125</v>
      </c>
      <c r="E79" s="247" t="s">
        <v>38</v>
      </c>
      <c r="F79" s="248" t="s">
        <v>156</v>
      </c>
      <c r="G79" s="249" t="s">
        <v>127</v>
      </c>
      <c r="H79" s="344">
        <v>6</v>
      </c>
      <c r="I79" s="260">
        <v>45992</v>
      </c>
      <c r="J79" s="1059"/>
      <c r="K79" s="1111">
        <v>1</v>
      </c>
      <c r="L79" s="1111">
        <v>1</v>
      </c>
      <c r="M79" s="1060"/>
      <c r="N79" s="1060"/>
      <c r="O79" s="1060"/>
      <c r="P79" s="1060"/>
      <c r="Q79" s="1060"/>
      <c r="R79" s="1060"/>
      <c r="S79" s="1119"/>
      <c r="T79" s="1277"/>
      <c r="U79" s="759"/>
      <c r="V79" s="759"/>
      <c r="W79" s="759"/>
      <c r="X79" s="759"/>
      <c r="Y79" s="759"/>
      <c r="Z79" s="759"/>
      <c r="AA79" s="759"/>
      <c r="AB79" s="759"/>
      <c r="AC79" s="762"/>
    </row>
    <row r="80" spans="1:29" ht="17.399999999999999">
      <c r="A80" s="305" t="s">
        <v>6</v>
      </c>
      <c r="B80" s="364" t="s">
        <v>113</v>
      </c>
      <c r="C80" s="318">
        <v>7</v>
      </c>
      <c r="D80" s="319" t="s">
        <v>129</v>
      </c>
      <c r="E80" s="320" t="s">
        <v>38</v>
      </c>
      <c r="F80" s="321" t="s">
        <v>126</v>
      </c>
      <c r="G80" s="322" t="s">
        <v>130</v>
      </c>
      <c r="H80" s="345">
        <v>5</v>
      </c>
      <c r="I80" s="260">
        <v>45992</v>
      </c>
      <c r="J80" s="1278"/>
      <c r="K80" s="1279"/>
      <c r="L80" s="1279"/>
      <c r="M80" s="1279"/>
      <c r="N80" s="1279"/>
      <c r="O80" s="1279"/>
      <c r="P80" s="1279"/>
      <c r="Q80" s="1279"/>
      <c r="R80" s="1279"/>
      <c r="S80" s="1152"/>
      <c r="T80" s="1280"/>
      <c r="U80" s="1281"/>
      <c r="V80" s="1281"/>
      <c r="W80" s="1281"/>
      <c r="X80" s="1281"/>
      <c r="Y80" s="1281"/>
      <c r="Z80" s="1281"/>
      <c r="AA80" s="1281"/>
      <c r="AB80" s="1281"/>
      <c r="AC80" s="1157"/>
    </row>
    <row r="81" spans="1:34" ht="17.399999999999999">
      <c r="A81" s="305" t="s">
        <v>6</v>
      </c>
      <c r="B81" s="365" t="s">
        <v>131</v>
      </c>
      <c r="C81" s="230">
        <v>8</v>
      </c>
      <c r="D81" s="231" t="s">
        <v>132</v>
      </c>
      <c r="E81" s="232" t="s">
        <v>133</v>
      </c>
      <c r="F81" s="233" t="s">
        <v>134</v>
      </c>
      <c r="G81" s="234" t="s">
        <v>135</v>
      </c>
      <c r="H81" s="346">
        <v>5.6228257045651073E-3</v>
      </c>
      <c r="I81" s="260">
        <v>45992</v>
      </c>
      <c r="J81" s="1706">
        <v>5.5088274538847679E-4</v>
      </c>
      <c r="K81" s="1707">
        <v>2.4874539353708803E-3</v>
      </c>
      <c r="L81" s="1707">
        <v>5.2014086996617749E-3</v>
      </c>
      <c r="M81" s="1707">
        <v>2.9847743343815883E-3</v>
      </c>
      <c r="N81" s="1707">
        <v>6.6899999999999998E-3</v>
      </c>
      <c r="O81" s="1707">
        <v>9.92E-3</v>
      </c>
      <c r="P81" s="1707">
        <v>1.047642541894836E-2</v>
      </c>
      <c r="Q81" s="1707">
        <v>9.097647652796588E-3</v>
      </c>
      <c r="R81" s="1707">
        <v>6.2669974697159994E-3</v>
      </c>
      <c r="S81" s="1321">
        <v>7.6999999999999996E-4</v>
      </c>
      <c r="T81" s="1284">
        <v>4.5690572933809975E-4</v>
      </c>
      <c r="U81" s="1285">
        <v>3.7070553146796386E-3</v>
      </c>
      <c r="V81" s="1286">
        <v>4.694891869650635E-3</v>
      </c>
      <c r="W81" s="1285">
        <v>3.7070553146796386E-3</v>
      </c>
      <c r="X81" s="1285">
        <v>6.8689521117682797E-3</v>
      </c>
      <c r="Y81" s="1285">
        <v>1.164639389186394E-2</v>
      </c>
      <c r="Z81" s="1285">
        <v>9.7848219840697588E-3</v>
      </c>
      <c r="AA81" s="1285">
        <v>1.6631014321106686E-2</v>
      </c>
      <c r="AB81" s="1285">
        <v>5.7442314458862522E-3</v>
      </c>
      <c r="AC81" s="1287">
        <v>4.7235026853046665E-4</v>
      </c>
    </row>
    <row r="82" spans="1:34" s="229" customFormat="1" ht="17.399999999999999">
      <c r="A82" s="307" t="s">
        <v>6</v>
      </c>
      <c r="B82" s="366" t="s">
        <v>131</v>
      </c>
      <c r="C82" s="334">
        <v>9</v>
      </c>
      <c r="D82" s="335" t="s">
        <v>132</v>
      </c>
      <c r="E82" s="336" t="s">
        <v>136</v>
      </c>
      <c r="F82" s="337" t="s">
        <v>134</v>
      </c>
      <c r="G82" s="338" t="s">
        <v>135</v>
      </c>
      <c r="H82" s="349">
        <v>162.9</v>
      </c>
      <c r="I82" s="261">
        <v>45992</v>
      </c>
      <c r="J82" s="1189">
        <v>0.33100000000000002</v>
      </c>
      <c r="K82" s="1297">
        <v>1.494</v>
      </c>
      <c r="L82" s="1297">
        <v>1.988</v>
      </c>
      <c r="M82" s="1297">
        <v>3.9889999999999999</v>
      </c>
      <c r="N82" s="1297">
        <v>1.1100000000000001</v>
      </c>
      <c r="O82" s="1297">
        <v>1.67</v>
      </c>
      <c r="P82" s="1297">
        <v>1.6839999999999999</v>
      </c>
      <c r="Q82" s="1297">
        <v>0.51500000000000001</v>
      </c>
      <c r="R82" s="1297">
        <v>1.74</v>
      </c>
      <c r="S82" s="1298">
        <v>0.27</v>
      </c>
      <c r="T82" s="1299">
        <v>0.27449528242879395</v>
      </c>
      <c r="U82" s="1300">
        <v>2.2270878438234054</v>
      </c>
      <c r="V82" s="1300">
        <v>2.0711419628338943</v>
      </c>
      <c r="W82" s="1300">
        <v>4.7154583668128973</v>
      </c>
      <c r="X82" s="1300">
        <v>1.1705215924631365</v>
      </c>
      <c r="Y82" s="1300">
        <v>1.9175276027394588</v>
      </c>
      <c r="Z82" s="1300">
        <v>1.4162911421191582</v>
      </c>
      <c r="AA82" s="1300">
        <v>0.97424432000000016</v>
      </c>
      <c r="AB82" s="1300">
        <v>1.7958162048116961</v>
      </c>
      <c r="AC82" s="1301">
        <v>0.16722994868042346</v>
      </c>
    </row>
    <row r="83" spans="1:34" ht="17.399999999999999">
      <c r="A83" s="361" t="s">
        <v>6</v>
      </c>
      <c r="B83" s="362" t="s">
        <v>113</v>
      </c>
      <c r="C83" s="329">
        <v>1</v>
      </c>
      <c r="D83" s="330" t="s">
        <v>114</v>
      </c>
      <c r="E83" s="331" t="s">
        <v>38</v>
      </c>
      <c r="F83" s="332" t="s">
        <v>115</v>
      </c>
      <c r="G83" s="333" t="s">
        <v>116</v>
      </c>
      <c r="H83" s="348">
        <v>0</v>
      </c>
      <c r="I83" s="262">
        <v>46023</v>
      </c>
      <c r="J83" s="1063"/>
      <c r="K83" s="1064"/>
      <c r="L83" s="1064"/>
      <c r="M83" s="1064"/>
      <c r="N83" s="1064"/>
      <c r="O83" s="1064"/>
      <c r="P83" s="1064"/>
      <c r="Q83" s="1064"/>
      <c r="R83" s="1064"/>
      <c r="S83" s="1292"/>
      <c r="T83" s="1293"/>
      <c r="U83" s="1294"/>
      <c r="V83" s="1294"/>
      <c r="W83" s="1294"/>
      <c r="X83" s="1294"/>
      <c r="Y83" s="1294"/>
      <c r="Z83" s="1294"/>
      <c r="AA83" s="1294"/>
      <c r="AB83" s="1294"/>
      <c r="AC83" s="1295"/>
    </row>
    <row r="84" spans="1:34" ht="17.399999999999999">
      <c r="A84" s="305" t="s">
        <v>6</v>
      </c>
      <c r="B84" s="363" t="s">
        <v>113</v>
      </c>
      <c r="C84" s="254">
        <v>2</v>
      </c>
      <c r="D84" s="253" t="s">
        <v>117</v>
      </c>
      <c r="E84" s="247" t="s">
        <v>38</v>
      </c>
      <c r="F84" s="248" t="s">
        <v>115</v>
      </c>
      <c r="G84" s="249" t="s">
        <v>116</v>
      </c>
      <c r="H84" s="342" t="s">
        <v>41</v>
      </c>
      <c r="I84" s="260">
        <v>46023</v>
      </c>
      <c r="J84" s="1059"/>
      <c r="K84" s="1296"/>
      <c r="L84" s="1060"/>
      <c r="M84" s="1060"/>
      <c r="N84" s="1060"/>
      <c r="O84" s="1060"/>
      <c r="P84" s="1060"/>
      <c r="Q84" s="1060"/>
      <c r="R84" s="1060"/>
      <c r="S84" s="1119"/>
      <c r="T84" s="1274"/>
      <c r="U84" s="1275"/>
      <c r="V84" s="1275"/>
      <c r="W84" s="1275"/>
      <c r="X84" s="1275"/>
      <c r="Y84" s="1275"/>
      <c r="Z84" s="1275"/>
      <c r="AA84" s="1275"/>
      <c r="AB84" s="1275"/>
      <c r="AC84" s="1276"/>
    </row>
    <row r="85" spans="1:34" ht="17.399999999999999">
      <c r="A85" s="305" t="s">
        <v>6</v>
      </c>
      <c r="B85" s="363" t="s">
        <v>113</v>
      </c>
      <c r="C85" s="245">
        <v>3</v>
      </c>
      <c r="D85" s="246" t="s">
        <v>118</v>
      </c>
      <c r="E85" s="247" t="s">
        <v>38</v>
      </c>
      <c r="F85" s="248" t="s">
        <v>115</v>
      </c>
      <c r="G85" s="249" t="s">
        <v>116</v>
      </c>
      <c r="H85" s="343">
        <v>4</v>
      </c>
      <c r="I85" s="260">
        <v>46023</v>
      </c>
      <c r="J85" s="1059"/>
      <c r="K85" s="1060"/>
      <c r="L85" s="1060"/>
      <c r="M85" s="1060">
        <v>1</v>
      </c>
      <c r="N85" s="1060"/>
      <c r="O85" s="1060"/>
      <c r="P85" s="1060"/>
      <c r="Q85" s="1060"/>
      <c r="R85" s="1060"/>
      <c r="S85" s="1119"/>
      <c r="T85" s="1274"/>
      <c r="U85" s="1275"/>
      <c r="V85" s="1275"/>
      <c r="W85" s="1275"/>
      <c r="X85" s="1275"/>
      <c r="Y85" s="1275"/>
      <c r="Z85" s="1275"/>
      <c r="AA85" s="1275"/>
      <c r="AB85" s="1275"/>
      <c r="AC85" s="1276"/>
    </row>
    <row r="86" spans="1:34" ht="32.4">
      <c r="A86" s="305" t="s">
        <v>6</v>
      </c>
      <c r="B86" s="363" t="s">
        <v>113</v>
      </c>
      <c r="C86" s="245">
        <v>4</v>
      </c>
      <c r="D86" s="246" t="s">
        <v>119</v>
      </c>
      <c r="E86" s="247" t="s">
        <v>38</v>
      </c>
      <c r="F86" s="248" t="s">
        <v>115</v>
      </c>
      <c r="G86" s="249" t="s">
        <v>116</v>
      </c>
      <c r="H86" s="343">
        <v>9</v>
      </c>
      <c r="I86" s="260">
        <v>46023</v>
      </c>
      <c r="J86" s="1059"/>
      <c r="K86" s="1060">
        <v>1</v>
      </c>
      <c r="L86" s="1060"/>
      <c r="M86" s="1060"/>
      <c r="N86" s="1060"/>
      <c r="O86" s="1060"/>
      <c r="P86" s="1060"/>
      <c r="Q86" s="1060"/>
      <c r="R86" s="1060">
        <v>1</v>
      </c>
      <c r="S86" s="1119"/>
      <c r="T86" s="1277"/>
      <c r="U86" s="759"/>
      <c r="V86" s="759"/>
      <c r="W86" s="759"/>
      <c r="X86" s="759"/>
      <c r="Y86" s="759"/>
      <c r="Z86" s="759"/>
      <c r="AA86" s="759"/>
      <c r="AB86" s="759"/>
      <c r="AC86" s="762"/>
    </row>
    <row r="87" spans="1:34" ht="17.399999999999999">
      <c r="A87" s="305" t="s">
        <v>6</v>
      </c>
      <c r="B87" s="363" t="s">
        <v>113</v>
      </c>
      <c r="C87" s="254">
        <v>5</v>
      </c>
      <c r="D87" s="253" t="s">
        <v>120</v>
      </c>
      <c r="E87" s="247" t="s">
        <v>38</v>
      </c>
      <c r="F87" s="248" t="s">
        <v>115</v>
      </c>
      <c r="G87" s="249" t="s">
        <v>116</v>
      </c>
      <c r="H87" s="343">
        <v>6</v>
      </c>
      <c r="I87" s="260">
        <v>46023</v>
      </c>
      <c r="J87" s="1059">
        <v>1</v>
      </c>
      <c r="K87" s="1060"/>
      <c r="L87" s="1060">
        <v>2</v>
      </c>
      <c r="M87" s="1060"/>
      <c r="N87" s="1060"/>
      <c r="O87" s="1060">
        <v>1</v>
      </c>
      <c r="P87" s="1060"/>
      <c r="Q87" s="1060">
        <v>1</v>
      </c>
      <c r="R87" s="1060"/>
      <c r="S87" s="1119"/>
      <c r="T87" s="1277"/>
      <c r="U87" s="759"/>
      <c r="V87" s="759"/>
      <c r="W87" s="759"/>
      <c r="X87" s="759"/>
      <c r="Y87" s="759"/>
      <c r="Z87" s="759"/>
      <c r="AA87" s="759"/>
      <c r="AB87" s="759"/>
      <c r="AC87" s="762"/>
    </row>
    <row r="88" spans="1:34" ht="30">
      <c r="A88" s="305" t="s">
        <v>6</v>
      </c>
      <c r="B88" s="363" t="s">
        <v>113</v>
      </c>
      <c r="C88" s="245">
        <v>6</v>
      </c>
      <c r="D88" s="246" t="s">
        <v>125</v>
      </c>
      <c r="E88" s="247" t="s">
        <v>38</v>
      </c>
      <c r="F88" s="248" t="s">
        <v>156</v>
      </c>
      <c r="G88" s="249" t="s">
        <v>127</v>
      </c>
      <c r="H88" s="344">
        <v>6</v>
      </c>
      <c r="I88" s="260">
        <v>46023</v>
      </c>
      <c r="J88" s="1059">
        <v>1</v>
      </c>
      <c r="K88" s="1060"/>
      <c r="L88" s="1060">
        <v>2</v>
      </c>
      <c r="M88" s="1060"/>
      <c r="N88" s="1060"/>
      <c r="O88" s="1060"/>
      <c r="P88" s="1060"/>
      <c r="Q88" s="1060"/>
      <c r="R88" s="1060"/>
      <c r="S88" s="1119"/>
      <c r="T88" s="1277"/>
      <c r="U88" s="759"/>
      <c r="V88" s="759"/>
      <c r="W88" s="759"/>
      <c r="X88" s="759"/>
      <c r="Y88" s="759"/>
      <c r="Z88" s="759"/>
      <c r="AA88" s="759"/>
      <c r="AB88" s="759"/>
      <c r="AC88" s="762"/>
    </row>
    <row r="89" spans="1:34" ht="17.399999999999999">
      <c r="A89" s="305" t="s">
        <v>6</v>
      </c>
      <c r="B89" s="364" t="s">
        <v>113</v>
      </c>
      <c r="C89" s="318">
        <v>7</v>
      </c>
      <c r="D89" s="319" t="s">
        <v>129</v>
      </c>
      <c r="E89" s="320" t="s">
        <v>38</v>
      </c>
      <c r="F89" s="321" t="s">
        <v>126</v>
      </c>
      <c r="G89" s="322" t="s">
        <v>130</v>
      </c>
      <c r="H89" s="345">
        <v>5</v>
      </c>
      <c r="I89" s="260">
        <v>46023</v>
      </c>
      <c r="J89" s="1278"/>
      <c r="K89" s="1279"/>
      <c r="L89" s="1279"/>
      <c r="M89" s="1279">
        <v>1</v>
      </c>
      <c r="N89" s="1279"/>
      <c r="O89" s="1279"/>
      <c r="P89" s="1279"/>
      <c r="Q89" s="1279"/>
      <c r="R89" s="1279"/>
      <c r="S89" s="1152"/>
      <c r="T89" s="1280"/>
      <c r="U89" s="1281"/>
      <c r="V89" s="1281"/>
      <c r="W89" s="1281"/>
      <c r="X89" s="1281"/>
      <c r="Y89" s="1281"/>
      <c r="Z89" s="1281"/>
      <c r="AA89" s="1281"/>
      <c r="AB89" s="1281"/>
      <c r="AC89" s="1157"/>
    </row>
    <row r="90" spans="1:34" ht="17.399999999999999">
      <c r="A90" s="305" t="s">
        <v>6</v>
      </c>
      <c r="B90" s="365" t="s">
        <v>131</v>
      </c>
      <c r="C90" s="230">
        <v>8</v>
      </c>
      <c r="D90" s="231" t="s">
        <v>132</v>
      </c>
      <c r="E90" s="232" t="s">
        <v>133</v>
      </c>
      <c r="F90" s="233" t="s">
        <v>134</v>
      </c>
      <c r="G90" s="234" t="s">
        <v>135</v>
      </c>
      <c r="H90" s="346">
        <v>5.6228257045651073E-3</v>
      </c>
      <c r="I90" s="260">
        <v>46023</v>
      </c>
      <c r="J90" s="1706">
        <v>3.7896204970663897E-4</v>
      </c>
      <c r="K90" s="1707">
        <v>2.23979188707957E-3</v>
      </c>
      <c r="L90" s="1707">
        <v>4.6699999999999997E-3</v>
      </c>
      <c r="M90" s="1707">
        <v>3.3994297604129815E-3</v>
      </c>
      <c r="N90" s="1707">
        <v>6.0000000000000001E-3</v>
      </c>
      <c r="O90" s="1707">
        <v>1.15E-2</v>
      </c>
      <c r="P90" s="1707">
        <v>1.3102522310947969E-2</v>
      </c>
      <c r="Q90" s="1707">
        <v>1.2114806956606444E-2</v>
      </c>
      <c r="R90" s="1707">
        <v>9.8482563175961973E-3</v>
      </c>
      <c r="S90" s="1321">
        <v>6.7000000000000002E-4</v>
      </c>
      <c r="T90" s="1284">
        <v>4.6375150606531686E-4</v>
      </c>
      <c r="U90" s="1285">
        <v>3.822278476642584E-3</v>
      </c>
      <c r="V90" s="1286">
        <v>4.8042656867356903E-3</v>
      </c>
      <c r="W90" s="1285">
        <v>3.822278476642584E-3</v>
      </c>
      <c r="X90" s="1285">
        <v>6.8830792640192711E-3</v>
      </c>
      <c r="Y90" s="1285">
        <v>1.1615505989212212E-2</v>
      </c>
      <c r="Z90" s="1285">
        <v>9.9229737115464709E-3</v>
      </c>
      <c r="AA90" s="1285">
        <v>1.6502102562514106E-2</v>
      </c>
      <c r="AB90" s="1285">
        <v>5.2799205592738785E-3</v>
      </c>
      <c r="AC90" s="1287">
        <v>4.726859289405049E-4</v>
      </c>
    </row>
    <row r="91" spans="1:34" s="229" customFormat="1" ht="17.399999999999999">
      <c r="A91" s="307" t="s">
        <v>6</v>
      </c>
      <c r="B91" s="366" t="s">
        <v>131</v>
      </c>
      <c r="C91" s="334">
        <v>9</v>
      </c>
      <c r="D91" s="335" t="s">
        <v>132</v>
      </c>
      <c r="E91" s="336" t="s">
        <v>136</v>
      </c>
      <c r="F91" s="337" t="s">
        <v>134</v>
      </c>
      <c r="G91" s="338" t="s">
        <v>135</v>
      </c>
      <c r="H91" s="349">
        <v>162.9</v>
      </c>
      <c r="I91" s="261">
        <v>46023</v>
      </c>
      <c r="J91" s="1189">
        <v>0.29599999999999999</v>
      </c>
      <c r="K91" s="1297">
        <v>1.75</v>
      </c>
      <c r="L91" s="1297">
        <v>2.4700000000000002</v>
      </c>
      <c r="M91" s="1297">
        <v>4.8</v>
      </c>
      <c r="N91" s="1900">
        <v>1.1100000000000001</v>
      </c>
      <c r="O91" s="1297">
        <v>2.1800000000000002</v>
      </c>
      <c r="P91" s="1297">
        <v>1.9119999999999999</v>
      </c>
      <c r="Q91" s="1297">
        <v>0.77700000000000002</v>
      </c>
      <c r="R91" s="1297">
        <v>2.7839999999999998</v>
      </c>
      <c r="S91" s="1298">
        <v>0.25</v>
      </c>
      <c r="T91" s="1299">
        <v>0.27264733854122214</v>
      </c>
      <c r="U91" s="1300">
        <v>2.2471820364788608</v>
      </c>
      <c r="V91" s="1300">
        <v>2.1142549909502959</v>
      </c>
      <c r="W91" s="1300">
        <v>4.5961881587508824</v>
      </c>
      <c r="X91" s="1300">
        <v>1.1457904370649059</v>
      </c>
      <c r="Y91" s="1300">
        <v>1.8809481236367211</v>
      </c>
      <c r="Z91" s="1300">
        <v>1.3765777256893208</v>
      </c>
      <c r="AA91" s="1300">
        <v>0.99625783999999984</v>
      </c>
      <c r="AB91" s="1300">
        <v>1.7522052078385706</v>
      </c>
      <c r="AC91" s="1301">
        <v>0.17150253434011936</v>
      </c>
      <c r="AH91" s="229">
        <v>4</v>
      </c>
    </row>
    <row r="92" spans="1:34" ht="17.399999999999999">
      <c r="A92" s="361" t="s">
        <v>6</v>
      </c>
      <c r="B92" s="362" t="s">
        <v>113</v>
      </c>
      <c r="C92" s="329">
        <v>1</v>
      </c>
      <c r="D92" s="330" t="s">
        <v>114</v>
      </c>
      <c r="E92" s="331" t="s">
        <v>38</v>
      </c>
      <c r="F92" s="332" t="s">
        <v>115</v>
      </c>
      <c r="G92" s="333" t="s">
        <v>116</v>
      </c>
      <c r="H92" s="348">
        <v>0</v>
      </c>
      <c r="I92" s="262">
        <v>46054</v>
      </c>
      <c r="J92" s="1063"/>
      <c r="K92" s="1064"/>
      <c r="L92" s="1064"/>
      <c r="M92" s="1064"/>
      <c r="N92" s="1064"/>
      <c r="O92" s="1064"/>
      <c r="P92" s="1064"/>
      <c r="Q92" s="1064"/>
      <c r="R92" s="1064"/>
      <c r="S92" s="1292"/>
      <c r="T92" s="1293"/>
      <c r="U92" s="1294"/>
      <c r="V92" s="1294"/>
      <c r="W92" s="1294"/>
      <c r="X92" s="1294"/>
      <c r="Y92" s="1294"/>
      <c r="Z92" s="1294"/>
      <c r="AA92" s="1294"/>
      <c r="AB92" s="1294"/>
      <c r="AC92" s="1295"/>
    </row>
    <row r="93" spans="1:34" ht="17.399999999999999">
      <c r="A93" s="305" t="s">
        <v>6</v>
      </c>
      <c r="B93" s="363" t="s">
        <v>113</v>
      </c>
      <c r="C93" s="254">
        <v>2</v>
      </c>
      <c r="D93" s="253" t="s">
        <v>117</v>
      </c>
      <c r="E93" s="247" t="s">
        <v>38</v>
      </c>
      <c r="F93" s="248" t="s">
        <v>115</v>
      </c>
      <c r="G93" s="249" t="s">
        <v>116</v>
      </c>
      <c r="H93" s="342" t="s">
        <v>41</v>
      </c>
      <c r="I93" s="260">
        <v>46054</v>
      </c>
      <c r="J93" s="1059"/>
      <c r="K93" s="1296"/>
      <c r="L93" s="1060"/>
      <c r="M93" s="1060"/>
      <c r="N93" s="1060"/>
      <c r="O93" s="1060"/>
      <c r="P93" s="1060"/>
      <c r="Q93" s="1060"/>
      <c r="R93" s="1060"/>
      <c r="S93" s="1119"/>
      <c r="T93" s="1274"/>
      <c r="U93" s="1275"/>
      <c r="V93" s="1275"/>
      <c r="W93" s="1275"/>
      <c r="X93" s="1275"/>
      <c r="Y93" s="1275"/>
      <c r="Z93" s="1275"/>
      <c r="AA93" s="1275"/>
      <c r="AB93" s="1275"/>
      <c r="AC93" s="1276"/>
    </row>
    <row r="94" spans="1:34" ht="17.399999999999999">
      <c r="A94" s="305" t="s">
        <v>6</v>
      </c>
      <c r="B94" s="363" t="s">
        <v>113</v>
      </c>
      <c r="C94" s="245">
        <v>3</v>
      </c>
      <c r="D94" s="246" t="s">
        <v>118</v>
      </c>
      <c r="E94" s="247" t="s">
        <v>38</v>
      </c>
      <c r="F94" s="248" t="s">
        <v>115</v>
      </c>
      <c r="G94" s="249" t="s">
        <v>116</v>
      </c>
      <c r="H94" s="343">
        <v>4</v>
      </c>
      <c r="I94" s="260">
        <v>46054</v>
      </c>
      <c r="J94" s="1059"/>
      <c r="K94" s="1060">
        <v>1</v>
      </c>
      <c r="L94" s="1060"/>
      <c r="M94" s="1060"/>
      <c r="N94" s="1060"/>
      <c r="O94" s="1060"/>
      <c r="P94" s="1060"/>
      <c r="Q94" s="1060"/>
      <c r="R94" s="1060"/>
      <c r="S94" s="1119"/>
      <c r="T94" s="1274"/>
      <c r="U94" s="1275"/>
      <c r="V94" s="1275"/>
      <c r="W94" s="1275"/>
      <c r="X94" s="1275"/>
      <c r="Y94" s="1275"/>
      <c r="Z94" s="1275"/>
      <c r="AA94" s="1275"/>
      <c r="AB94" s="1275"/>
      <c r="AC94" s="1276"/>
    </row>
    <row r="95" spans="1:34" ht="32.4">
      <c r="A95" s="305" t="s">
        <v>6</v>
      </c>
      <c r="B95" s="363" t="s">
        <v>113</v>
      </c>
      <c r="C95" s="245">
        <v>4</v>
      </c>
      <c r="D95" s="246" t="s">
        <v>119</v>
      </c>
      <c r="E95" s="247" t="s">
        <v>38</v>
      </c>
      <c r="F95" s="248" t="s">
        <v>115</v>
      </c>
      <c r="G95" s="249" t="s">
        <v>116</v>
      </c>
      <c r="H95" s="343">
        <v>9</v>
      </c>
      <c r="I95" s="260">
        <v>46054</v>
      </c>
      <c r="J95" s="1059"/>
      <c r="K95" s="1060">
        <v>1</v>
      </c>
      <c r="L95" s="1060"/>
      <c r="M95" s="1060"/>
      <c r="N95" s="1060"/>
      <c r="O95" s="1060"/>
      <c r="P95" s="1060"/>
      <c r="Q95" s="1060"/>
      <c r="R95" s="1060"/>
      <c r="S95" s="1119"/>
      <c r="T95" s="1277"/>
      <c r="U95" s="759"/>
      <c r="V95" s="759"/>
      <c r="W95" s="759"/>
      <c r="X95" s="759"/>
      <c r="Y95" s="759"/>
      <c r="Z95" s="759"/>
      <c r="AA95" s="759"/>
      <c r="AB95" s="759"/>
      <c r="AC95" s="762"/>
    </row>
    <row r="96" spans="1:34" ht="17.399999999999999">
      <c r="A96" s="305" t="s">
        <v>6</v>
      </c>
      <c r="B96" s="363" t="s">
        <v>113</v>
      </c>
      <c r="C96" s="254">
        <v>5</v>
      </c>
      <c r="D96" s="253" t="s">
        <v>120</v>
      </c>
      <c r="E96" s="247" t="s">
        <v>38</v>
      </c>
      <c r="F96" s="248" t="s">
        <v>115</v>
      </c>
      <c r="G96" s="249" t="s">
        <v>116</v>
      </c>
      <c r="H96" s="343">
        <v>6</v>
      </c>
      <c r="I96" s="260">
        <v>46054</v>
      </c>
      <c r="J96" s="1059"/>
      <c r="K96" s="1060">
        <v>1</v>
      </c>
      <c r="L96" s="1060"/>
      <c r="M96" s="1060"/>
      <c r="N96" s="1060"/>
      <c r="O96" s="1060"/>
      <c r="P96" s="1060"/>
      <c r="Q96" s="1060"/>
      <c r="R96" s="1060"/>
      <c r="S96" s="1119"/>
      <c r="T96" s="1277"/>
      <c r="U96" s="759"/>
      <c r="V96" s="759"/>
      <c r="W96" s="759"/>
      <c r="X96" s="759"/>
      <c r="Y96" s="759"/>
      <c r="Z96" s="759"/>
      <c r="AA96" s="759"/>
      <c r="AB96" s="759"/>
      <c r="AC96" s="762"/>
    </row>
    <row r="97" spans="1:29" ht="30">
      <c r="A97" s="305" t="s">
        <v>6</v>
      </c>
      <c r="B97" s="363" t="s">
        <v>113</v>
      </c>
      <c r="C97" s="245">
        <v>6</v>
      </c>
      <c r="D97" s="246" t="s">
        <v>125</v>
      </c>
      <c r="E97" s="247" t="s">
        <v>38</v>
      </c>
      <c r="F97" s="248" t="s">
        <v>156</v>
      </c>
      <c r="G97" s="249" t="s">
        <v>127</v>
      </c>
      <c r="H97" s="344">
        <v>6</v>
      </c>
      <c r="I97" s="260">
        <v>46054</v>
      </c>
      <c r="J97" s="1059"/>
      <c r="K97" s="1060">
        <v>1</v>
      </c>
      <c r="L97" s="1060"/>
      <c r="M97" s="1060">
        <v>1</v>
      </c>
      <c r="N97" s="1060"/>
      <c r="O97" s="1060"/>
      <c r="P97" s="1060"/>
      <c r="Q97" s="1060"/>
      <c r="R97" s="1060"/>
      <c r="S97" s="1119"/>
      <c r="T97" s="1277"/>
      <c r="U97" s="759"/>
      <c r="V97" s="759"/>
      <c r="W97" s="759"/>
      <c r="X97" s="759"/>
      <c r="Y97" s="759"/>
      <c r="Z97" s="759"/>
      <c r="AA97" s="759"/>
      <c r="AB97" s="759"/>
      <c r="AC97" s="762"/>
    </row>
    <row r="98" spans="1:29" ht="17.399999999999999">
      <c r="A98" s="305" t="s">
        <v>6</v>
      </c>
      <c r="B98" s="364" t="s">
        <v>113</v>
      </c>
      <c r="C98" s="318">
        <v>7</v>
      </c>
      <c r="D98" s="319" t="s">
        <v>129</v>
      </c>
      <c r="E98" s="320" t="s">
        <v>38</v>
      </c>
      <c r="F98" s="321" t="s">
        <v>126</v>
      </c>
      <c r="G98" s="322" t="s">
        <v>130</v>
      </c>
      <c r="H98" s="345">
        <v>5</v>
      </c>
      <c r="I98" s="260">
        <v>46054</v>
      </c>
      <c r="J98" s="1278"/>
      <c r="K98" s="1279">
        <v>1</v>
      </c>
      <c r="L98" s="1279"/>
      <c r="M98" s="1279">
        <v>1</v>
      </c>
      <c r="N98" s="1279"/>
      <c r="O98" s="1279"/>
      <c r="P98" s="1279"/>
      <c r="Q98" s="1279"/>
      <c r="R98" s="1279"/>
      <c r="S98" s="1152"/>
      <c r="T98" s="1280"/>
      <c r="U98" s="1281"/>
      <c r="V98" s="1281"/>
      <c r="W98" s="1281"/>
      <c r="X98" s="1281"/>
      <c r="Y98" s="1281"/>
      <c r="Z98" s="1281"/>
      <c r="AA98" s="1281"/>
      <c r="AB98" s="1281"/>
      <c r="AC98" s="1157"/>
    </row>
    <row r="99" spans="1:29" ht="17.399999999999999">
      <c r="A99" s="305" t="s">
        <v>6</v>
      </c>
      <c r="B99" s="365" t="s">
        <v>131</v>
      </c>
      <c r="C99" s="230">
        <v>8</v>
      </c>
      <c r="D99" s="231" t="s">
        <v>132</v>
      </c>
      <c r="E99" s="232" t="s">
        <v>133</v>
      </c>
      <c r="F99" s="233" t="s">
        <v>134</v>
      </c>
      <c r="G99" s="234" t="s">
        <v>135</v>
      </c>
      <c r="H99" s="346">
        <v>5.6228257045651073E-3</v>
      </c>
      <c r="I99" s="260">
        <v>46054</v>
      </c>
      <c r="J99" s="1706">
        <v>4.3079737031029134E-4</v>
      </c>
      <c r="K99" s="1707">
        <v>2.1980529090305377E-3</v>
      </c>
      <c r="L99" s="1707">
        <v>4.1999999999999997E-3</v>
      </c>
      <c r="M99" s="1707">
        <v>3.8432764941246874E-3</v>
      </c>
      <c r="N99" s="1707"/>
      <c r="O99" s="1707"/>
      <c r="P99" s="1707">
        <v>1.7627833859768682E-2</v>
      </c>
      <c r="Q99" s="1707">
        <v>9.2595085195593292E-3</v>
      </c>
      <c r="R99" s="1707">
        <v>1.3887756425171467E-2</v>
      </c>
      <c r="S99" s="1321"/>
      <c r="T99" s="1284">
        <v>4.8595822688986723E-4</v>
      </c>
      <c r="U99" s="1285">
        <v>4.0472752522725123E-3</v>
      </c>
      <c r="V99" s="1286">
        <v>4.8890749124237227E-3</v>
      </c>
      <c r="W99" s="1285">
        <v>4.0472752522725123E-3</v>
      </c>
      <c r="X99" s="1285">
        <v>6.8642184347219816E-3</v>
      </c>
      <c r="Y99" s="1285">
        <v>1.1623381119932873E-2</v>
      </c>
      <c r="Z99" s="1285">
        <v>9.2898097150880023E-3</v>
      </c>
      <c r="AA99" s="1285">
        <v>1.7178795745749938E-2</v>
      </c>
      <c r="AB99" s="1285">
        <v>5.4925701900842543E-3</v>
      </c>
      <c r="AC99" s="1287">
        <v>5.1508393489456579E-4</v>
      </c>
    </row>
    <row r="100" spans="1:29" s="229" customFormat="1" ht="17.399999999999999">
      <c r="A100" s="307" t="s">
        <v>6</v>
      </c>
      <c r="B100" s="366" t="s">
        <v>131</v>
      </c>
      <c r="C100" s="334">
        <v>9</v>
      </c>
      <c r="D100" s="335" t="s">
        <v>132</v>
      </c>
      <c r="E100" s="336" t="s">
        <v>136</v>
      </c>
      <c r="F100" s="337" t="s">
        <v>134</v>
      </c>
      <c r="G100" s="338" t="s">
        <v>135</v>
      </c>
      <c r="H100" s="349">
        <v>162.9</v>
      </c>
      <c r="I100" s="261">
        <v>46054</v>
      </c>
      <c r="J100" s="1189">
        <v>0.31639036999999998</v>
      </c>
      <c r="K100" s="1297">
        <v>1.6143152700000005</v>
      </c>
      <c r="L100" s="1297">
        <v>2.3346576170999995</v>
      </c>
      <c r="M100" s="1297">
        <v>5.3196105447999971</v>
      </c>
      <c r="N100" s="1297"/>
      <c r="O100" s="1297"/>
      <c r="P100" s="1297">
        <v>2.5515467853999998</v>
      </c>
      <c r="Q100" s="1297">
        <v>0.59857492040000004</v>
      </c>
      <c r="R100" s="1297">
        <v>4.0787032101000023</v>
      </c>
      <c r="S100" s="1298"/>
      <c r="T100" s="1299">
        <v>0.27600042690325111</v>
      </c>
      <c r="U100" s="1300">
        <v>2.2986537434941581</v>
      </c>
      <c r="V100" s="1300">
        <v>2.1389041687602486</v>
      </c>
      <c r="W100" s="1300">
        <v>4.6307152704440666</v>
      </c>
      <c r="X100" s="1300">
        <v>1.1197695096471856</v>
      </c>
      <c r="Y100" s="1300">
        <v>1.8345062542105364</v>
      </c>
      <c r="Z100" s="1300">
        <v>1.3883010278700743</v>
      </c>
      <c r="AA100" s="1300">
        <v>0.68719219999999992</v>
      </c>
      <c r="AB100" s="1300">
        <v>1.7408438672616957</v>
      </c>
      <c r="AC100" s="1301">
        <v>0.17604314197846779</v>
      </c>
    </row>
    <row r="101" spans="1:29" ht="17.399999999999999">
      <c r="A101" s="361" t="s">
        <v>6</v>
      </c>
      <c r="B101" s="362" t="s">
        <v>113</v>
      </c>
      <c r="C101" s="329">
        <v>1</v>
      </c>
      <c r="D101" s="330" t="s">
        <v>114</v>
      </c>
      <c r="E101" s="331" t="s">
        <v>38</v>
      </c>
      <c r="F101" s="332" t="s">
        <v>115</v>
      </c>
      <c r="G101" s="333" t="s">
        <v>116</v>
      </c>
      <c r="H101" s="348">
        <v>0</v>
      </c>
      <c r="I101" s="262">
        <v>46082</v>
      </c>
      <c r="J101" s="1063"/>
      <c r="K101" s="1064"/>
      <c r="L101" s="1064"/>
      <c r="M101" s="1064"/>
      <c r="N101" s="1064"/>
      <c r="O101" s="1064"/>
      <c r="P101" s="1064"/>
      <c r="Q101" s="1064"/>
      <c r="R101" s="1064"/>
      <c r="S101" s="1292"/>
      <c r="T101" s="1293"/>
      <c r="U101" s="1294"/>
      <c r="V101" s="1294"/>
      <c r="W101" s="1294"/>
      <c r="X101" s="1294"/>
      <c r="Y101" s="1294"/>
      <c r="Z101" s="1294"/>
      <c r="AA101" s="1294"/>
      <c r="AB101" s="1294"/>
      <c r="AC101" s="1295"/>
    </row>
    <row r="102" spans="1:29" ht="17.399999999999999">
      <c r="A102" s="305" t="s">
        <v>6</v>
      </c>
      <c r="B102" s="363" t="s">
        <v>113</v>
      </c>
      <c r="C102" s="254">
        <v>2</v>
      </c>
      <c r="D102" s="253" t="s">
        <v>117</v>
      </c>
      <c r="E102" s="247" t="s">
        <v>38</v>
      </c>
      <c r="F102" s="248" t="s">
        <v>115</v>
      </c>
      <c r="G102" s="249" t="s">
        <v>116</v>
      </c>
      <c r="H102" s="342" t="s">
        <v>41</v>
      </c>
      <c r="I102" s="260">
        <v>46082</v>
      </c>
      <c r="J102" s="1059"/>
      <c r="K102" s="1296"/>
      <c r="L102" s="1060"/>
      <c r="M102" s="1060"/>
      <c r="N102" s="1060"/>
      <c r="O102" s="1060"/>
      <c r="P102" s="1060"/>
      <c r="Q102" s="1060"/>
      <c r="R102" s="1060"/>
      <c r="S102" s="1119"/>
      <c r="T102" s="1274"/>
      <c r="U102" s="1275"/>
      <c r="V102" s="1275"/>
      <c r="W102" s="1275"/>
      <c r="X102" s="1275"/>
      <c r="Y102" s="1275"/>
      <c r="Z102" s="1275"/>
      <c r="AA102" s="1275"/>
      <c r="AB102" s="1275"/>
      <c r="AC102" s="1276"/>
    </row>
    <row r="103" spans="1:29" ht="17.399999999999999">
      <c r="A103" s="305" t="s">
        <v>6</v>
      </c>
      <c r="B103" s="363" t="s">
        <v>113</v>
      </c>
      <c r="C103" s="245">
        <v>3</v>
      </c>
      <c r="D103" s="246" t="s">
        <v>118</v>
      </c>
      <c r="E103" s="247" t="s">
        <v>38</v>
      </c>
      <c r="F103" s="248" t="s">
        <v>115</v>
      </c>
      <c r="G103" s="249" t="s">
        <v>116</v>
      </c>
      <c r="H103" s="343">
        <v>4</v>
      </c>
      <c r="I103" s="260">
        <v>46082</v>
      </c>
      <c r="J103" s="1059"/>
      <c r="K103" s="1060"/>
      <c r="L103" s="1060"/>
      <c r="M103" s="1060"/>
      <c r="N103" s="1060"/>
      <c r="O103" s="1060"/>
      <c r="P103" s="1060"/>
      <c r="Q103" s="1060"/>
      <c r="R103" s="1060"/>
      <c r="S103" s="1119"/>
      <c r="T103" s="1274"/>
      <c r="U103" s="1275"/>
      <c r="V103" s="1275"/>
      <c r="W103" s="1275"/>
      <c r="X103" s="1275"/>
      <c r="Y103" s="1275"/>
      <c r="Z103" s="1275"/>
      <c r="AA103" s="1275"/>
      <c r="AB103" s="1275"/>
      <c r="AC103" s="1276"/>
    </row>
    <row r="104" spans="1:29" ht="32.4">
      <c r="A104" s="305" t="s">
        <v>6</v>
      </c>
      <c r="B104" s="363" t="s">
        <v>113</v>
      </c>
      <c r="C104" s="245">
        <v>4</v>
      </c>
      <c r="D104" s="246" t="s">
        <v>119</v>
      </c>
      <c r="E104" s="247" t="s">
        <v>38</v>
      </c>
      <c r="F104" s="248" t="s">
        <v>115</v>
      </c>
      <c r="G104" s="249" t="s">
        <v>116</v>
      </c>
      <c r="H104" s="343">
        <v>9</v>
      </c>
      <c r="I104" s="260">
        <v>46082</v>
      </c>
      <c r="J104" s="1059"/>
      <c r="K104" s="1060"/>
      <c r="L104" s="1060"/>
      <c r="M104" s="1060"/>
      <c r="N104" s="1060"/>
      <c r="O104" s="1060"/>
      <c r="P104" s="1060"/>
      <c r="Q104" s="1060"/>
      <c r="R104" s="1060"/>
      <c r="S104" s="1119"/>
      <c r="T104" s="1277"/>
      <c r="U104" s="759"/>
      <c r="V104" s="759"/>
      <c r="W104" s="759"/>
      <c r="X104" s="759"/>
      <c r="Y104" s="759"/>
      <c r="Z104" s="759"/>
      <c r="AA104" s="759"/>
      <c r="AB104" s="759"/>
      <c r="AC104" s="762"/>
    </row>
    <row r="105" spans="1:29" ht="17.399999999999999">
      <c r="A105" s="305" t="s">
        <v>6</v>
      </c>
      <c r="B105" s="363" t="s">
        <v>113</v>
      </c>
      <c r="C105" s="254">
        <v>5</v>
      </c>
      <c r="D105" s="253" t="s">
        <v>120</v>
      </c>
      <c r="E105" s="247" t="s">
        <v>38</v>
      </c>
      <c r="F105" s="248" t="s">
        <v>115</v>
      </c>
      <c r="G105" s="249" t="s">
        <v>116</v>
      </c>
      <c r="H105" s="343">
        <v>6</v>
      </c>
      <c r="I105" s="260">
        <v>46082</v>
      </c>
      <c r="J105" s="1059"/>
      <c r="K105" s="1060"/>
      <c r="L105" s="1060"/>
      <c r="M105" s="1060"/>
      <c r="N105" s="1060"/>
      <c r="O105" s="1060"/>
      <c r="P105" s="1060"/>
      <c r="Q105" s="1060"/>
      <c r="R105" s="1060"/>
      <c r="S105" s="1119"/>
      <c r="T105" s="1277"/>
      <c r="U105" s="759"/>
      <c r="V105" s="759"/>
      <c r="W105" s="759"/>
      <c r="X105" s="759"/>
      <c r="Y105" s="759"/>
      <c r="Z105" s="759"/>
      <c r="AA105" s="759"/>
      <c r="AB105" s="759"/>
      <c r="AC105" s="762"/>
    </row>
    <row r="106" spans="1:29" ht="30">
      <c r="A106" s="305" t="s">
        <v>6</v>
      </c>
      <c r="B106" s="363" t="s">
        <v>113</v>
      </c>
      <c r="C106" s="245">
        <v>6</v>
      </c>
      <c r="D106" s="246" t="s">
        <v>125</v>
      </c>
      <c r="E106" s="247" t="s">
        <v>38</v>
      </c>
      <c r="F106" s="248" t="s">
        <v>156</v>
      </c>
      <c r="G106" s="249" t="s">
        <v>127</v>
      </c>
      <c r="H106" s="344">
        <v>6</v>
      </c>
      <c r="I106" s="260">
        <v>46082</v>
      </c>
      <c r="J106" s="1059"/>
      <c r="K106" s="1060"/>
      <c r="L106" s="1060"/>
      <c r="M106" s="1060"/>
      <c r="N106" s="1060"/>
      <c r="O106" s="1060"/>
      <c r="P106" s="1060"/>
      <c r="Q106" s="1060"/>
      <c r="R106" s="1060"/>
      <c r="S106" s="1119"/>
      <c r="T106" s="1277"/>
      <c r="U106" s="759"/>
      <c r="V106" s="759"/>
      <c r="W106" s="759"/>
      <c r="X106" s="759"/>
      <c r="Y106" s="759"/>
      <c r="Z106" s="759"/>
      <c r="AA106" s="759"/>
      <c r="AB106" s="759"/>
      <c r="AC106" s="762"/>
    </row>
    <row r="107" spans="1:29" ht="17.399999999999999">
      <c r="A107" s="305" t="s">
        <v>6</v>
      </c>
      <c r="B107" s="364" t="s">
        <v>113</v>
      </c>
      <c r="C107" s="318">
        <v>7</v>
      </c>
      <c r="D107" s="319" t="s">
        <v>129</v>
      </c>
      <c r="E107" s="320" t="s">
        <v>38</v>
      </c>
      <c r="F107" s="321" t="s">
        <v>126</v>
      </c>
      <c r="G107" s="322" t="s">
        <v>130</v>
      </c>
      <c r="H107" s="345">
        <v>5</v>
      </c>
      <c r="I107" s="260">
        <v>46082</v>
      </c>
      <c r="J107" s="1278"/>
      <c r="K107" s="1279"/>
      <c r="L107" s="1279"/>
      <c r="M107" s="1279"/>
      <c r="N107" s="1279"/>
      <c r="O107" s="1279"/>
      <c r="P107" s="1279"/>
      <c r="Q107" s="1279"/>
      <c r="R107" s="1279"/>
      <c r="S107" s="1152"/>
      <c r="T107" s="1280"/>
      <c r="U107" s="1281"/>
      <c r="V107" s="1281"/>
      <c r="W107" s="1281"/>
      <c r="X107" s="1281"/>
      <c r="Y107" s="1281"/>
      <c r="Z107" s="1281"/>
      <c r="AA107" s="1281"/>
      <c r="AB107" s="1281"/>
      <c r="AC107" s="1157"/>
    </row>
    <row r="108" spans="1:29" ht="17.399999999999999">
      <c r="A108" s="305" t="s">
        <v>6</v>
      </c>
      <c r="B108" s="365" t="s">
        <v>131</v>
      </c>
      <c r="C108" s="230">
        <v>8</v>
      </c>
      <c r="D108" s="231" t="s">
        <v>132</v>
      </c>
      <c r="E108" s="232" t="s">
        <v>133</v>
      </c>
      <c r="F108" s="233" t="s">
        <v>134</v>
      </c>
      <c r="G108" s="234" t="s">
        <v>135</v>
      </c>
      <c r="H108" s="346">
        <v>5.6228257045651073E-3</v>
      </c>
      <c r="I108" s="260">
        <v>46082</v>
      </c>
      <c r="J108" s="1282"/>
      <c r="K108" s="1283"/>
      <c r="L108" s="1283"/>
      <c r="M108" s="1283"/>
      <c r="N108" s="1283"/>
      <c r="O108" s="1283"/>
      <c r="P108" s="1283"/>
      <c r="Q108" s="1283"/>
      <c r="R108" s="1283"/>
      <c r="S108" s="1129"/>
      <c r="T108" s="1284">
        <v>4.3906819316205355E-4</v>
      </c>
      <c r="U108" s="1285">
        <v>3.5320011510552377E-3</v>
      </c>
      <c r="V108" s="1286">
        <v>4.7807906306835315E-3</v>
      </c>
      <c r="W108" s="1285">
        <v>3.5320011510552377E-3</v>
      </c>
      <c r="X108" s="1285">
        <v>6.7408645690274658E-3</v>
      </c>
      <c r="Y108" s="1285">
        <v>1.0985911323996164E-2</v>
      </c>
      <c r="Z108" s="1285">
        <v>9.2806173843760047E-3</v>
      </c>
      <c r="AA108" s="1285">
        <v>1.6960141989726341E-2</v>
      </c>
      <c r="AB108" s="1285">
        <v>5.7057508507639141E-3</v>
      </c>
      <c r="AC108" s="1287">
        <v>4.6600392937600892E-4</v>
      </c>
    </row>
    <row r="109" spans="1:29" ht="17.399999999999999">
      <c r="A109" s="372" t="s">
        <v>6</v>
      </c>
      <c r="B109" s="373" t="s">
        <v>131</v>
      </c>
      <c r="C109" s="235">
        <v>9</v>
      </c>
      <c r="D109" s="236" t="s">
        <v>132</v>
      </c>
      <c r="E109" s="237" t="s">
        <v>136</v>
      </c>
      <c r="F109" s="238" t="s">
        <v>134</v>
      </c>
      <c r="G109" s="239" t="s">
        <v>135</v>
      </c>
      <c r="H109" s="350">
        <v>162.9</v>
      </c>
      <c r="I109" s="263">
        <v>46082</v>
      </c>
      <c r="J109" s="1302"/>
      <c r="K109" s="1303"/>
      <c r="L109" s="1303"/>
      <c r="M109" s="1303"/>
      <c r="N109" s="1303"/>
      <c r="O109" s="1303"/>
      <c r="P109" s="1303"/>
      <c r="Q109" s="1303"/>
      <c r="R109" s="1303"/>
      <c r="S109" s="1304"/>
      <c r="T109" s="1305">
        <v>0.2790551511867817</v>
      </c>
      <c r="U109" s="1306">
        <v>2.2448064572872108</v>
      </c>
      <c r="V109" s="1306">
        <v>2.1337327054108264</v>
      </c>
      <c r="W109" s="1306">
        <v>4.8468241360888866</v>
      </c>
      <c r="X109" s="1306">
        <v>1.2245114707986209</v>
      </c>
      <c r="Y109" s="1306">
        <v>1.9282008523005889</v>
      </c>
      <c r="Z109" s="1306">
        <v>1.3664381970207697</v>
      </c>
      <c r="AA109" s="1306">
        <v>0.66201895999999993</v>
      </c>
      <c r="AB109" s="1306">
        <v>1.7805940103429458</v>
      </c>
      <c r="AC109" s="1307">
        <v>0.17698910190312372</v>
      </c>
    </row>
    <row r="110" spans="1:29" ht="17.399999999999999"/>
    <row r="111" spans="1:29" ht="34.35" customHeight="1">
      <c r="J111" s="2419">
        <f>J10+J19+J28+J37+J46+J55+J64+J73+J82+J91</f>
        <v>2.8235149499999999</v>
      </c>
      <c r="K111" s="2419">
        <f t="shared" ref="K111:S111" si="0">K10+K19+K28+K37+K46+K55+K64+K73+K82+K91</f>
        <v>15.99478633</v>
      </c>
      <c r="L111" s="2420">
        <f t="shared" si="0"/>
        <v>22.193000022399996</v>
      </c>
      <c r="M111" s="2420">
        <f t="shared" si="0"/>
        <v>45.183561323399992</v>
      </c>
      <c r="N111" s="2419">
        <f t="shared" si="0"/>
        <v>10.682457669999998</v>
      </c>
      <c r="O111" s="2420">
        <f t="shared" si="0"/>
        <v>21.761888380000002</v>
      </c>
      <c r="P111" s="2420">
        <f t="shared" si="0"/>
        <v>19.481187211400002</v>
      </c>
      <c r="Q111" s="2419">
        <f t="shared" si="0"/>
        <v>7.5652845354</v>
      </c>
      <c r="R111" s="2420">
        <f t="shared" si="0"/>
        <v>26.306976625899996</v>
      </c>
      <c r="S111" s="2419">
        <f t="shared" si="0"/>
        <v>1.5924334299999998</v>
      </c>
    </row>
    <row r="112" spans="1:29" ht="34.35" customHeight="1">
      <c r="J112" s="2421">
        <f>(J9+J18+J27+J36+J45+J54+J63+J72+J81+J90)/10</f>
        <v>4.0891271605979793E-4</v>
      </c>
      <c r="K112" s="2421">
        <f t="shared" ref="K112:S112" si="1">(K9+K18+K27+K36+K45+K54+K63+K72+K81+K90)/10</f>
        <v>2.323004902335449E-3</v>
      </c>
      <c r="L112" s="2421">
        <f t="shared" si="1"/>
        <v>4.7578402627979398E-3</v>
      </c>
      <c r="M112" s="2421">
        <f t="shared" si="1"/>
        <v>3.7073478438901714E-3</v>
      </c>
      <c r="N112" s="2421">
        <f t="shared" si="1"/>
        <v>5.980377111218539E-3</v>
      </c>
      <c r="O112" s="2422">
        <f t="shared" si="1"/>
        <v>1.1688331910775689E-2</v>
      </c>
      <c r="P112" s="2422">
        <f t="shared" si="1"/>
        <v>1.1421124503091615E-2</v>
      </c>
      <c r="Q112" s="2422">
        <f t="shared" si="1"/>
        <v>1.0842250779836188E-2</v>
      </c>
      <c r="R112" s="2422">
        <f t="shared" si="1"/>
        <v>7.954946132210261E-3</v>
      </c>
      <c r="S112" s="2421">
        <f t="shared" si="1"/>
        <v>4.2172713089715081E-4</v>
      </c>
    </row>
  </sheetData>
  <sheetProtection algorithmName="SHA-512" hashValue="S083Jjj/P62T2vM91V8fxZz70bo5FotC/4vPysiG7H/r4Hnf/DPHMyHfGyZky2z6qNEeO7bYAZArPczzJf7oAQ==" saltValue="bGekc6x6kuPlcI8BLX0QHQ==" spinCount="100000" sheet="1" formatCells="0" formatColumns="0" formatRows="0" sort="0" autoFilter="0" pivotTables="0"/>
  <autoFilter ref="A1:AH109" xr:uid="{5B1FDADE-35C6-42CD-9C13-54ECB5787117}">
    <filterColumn colId="1">
      <filters>
        <filter val="Loss"/>
      </filters>
    </filterColumn>
  </autoFilter>
  <conditionalFormatting sqref="I2:S109">
    <cfRule type="expression" dxfId="40" priority="146">
      <formula>MONTH($I2)=MONTH(TODAY()-29)</formula>
    </cfRule>
  </conditionalFormatting>
  <pageMargins left="0.7" right="0.7" top="0.75" bottom="0.75" header="0.3" footer="0.3"/>
  <headerFooter>
    <oddHeader>&amp;C&amp;"Calibri"&amp;10&amp;KFF0000 CONFIDENTIAL&amp;1#_x000D_</oddHead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7887C-EB9C-4824-8B7C-7B538616A955}">
  <sheetPr codeName="Sheet19"/>
  <dimension ref="A1:AN14"/>
  <sheetViews>
    <sheetView topLeftCell="D1" zoomScale="98" zoomScaleNormal="98" workbookViewId="0">
      <pane ySplit="1" topLeftCell="A2" activePane="bottomLeft" state="frozen"/>
      <selection activeCell="D69" sqref="D69"/>
      <selection pane="bottomLeft" activeCell="X7" sqref="X7"/>
    </sheetView>
  </sheetViews>
  <sheetFormatPr defaultColWidth="8.109375" defaultRowHeight="34.35" customHeight="1"/>
  <cols>
    <col min="1" max="1" width="10.6640625" style="174" customWidth="1"/>
    <col min="2" max="2" width="14.6640625" style="175" customWidth="1"/>
    <col min="3" max="3" width="4.109375" style="174" customWidth="1"/>
    <col min="4" max="4" width="16.6640625" style="174" customWidth="1"/>
    <col min="5" max="5" width="5.109375" style="176" customWidth="1"/>
    <col min="6" max="6" width="8.109375" style="174" customWidth="1"/>
    <col min="7" max="7" width="13.6640625" style="174" customWidth="1"/>
    <col min="8" max="8" width="10.6640625" style="169" customWidth="1"/>
    <col min="9" max="9" width="12.109375" style="174" customWidth="1"/>
    <col min="10" max="10" width="8.109375" style="1105" customWidth="1"/>
    <col min="11" max="22" width="8.109375" style="1105" bestFit="1" customWidth="1"/>
    <col min="23" max="27" width="8.109375" style="1105"/>
    <col min="28" max="28" width="8.109375" style="1105" bestFit="1" customWidth="1"/>
    <col min="29" max="29" width="10.6640625" style="1105" bestFit="1" customWidth="1"/>
    <col min="30" max="30" width="9.6640625" style="1105" bestFit="1" customWidth="1"/>
    <col min="31" max="31" width="8.109375" style="1105" bestFit="1" customWidth="1"/>
    <col min="32" max="33" width="10.6640625" style="1105" bestFit="1" customWidth="1"/>
    <col min="34" max="34" width="9.6640625" style="1105" bestFit="1" customWidth="1"/>
    <col min="35" max="35" width="10.6640625" style="1105" bestFit="1" customWidth="1"/>
    <col min="36" max="40" width="8.109375" style="1105" bestFit="1" customWidth="1"/>
    <col min="41" max="16384" width="8.109375" style="174"/>
  </cols>
  <sheetData>
    <row r="1" spans="1:40" ht="50.85" customHeight="1">
      <c r="A1" s="118" t="s">
        <v>1</v>
      </c>
      <c r="B1" s="119" t="s">
        <v>19</v>
      </c>
      <c r="C1" s="119" t="s">
        <v>93</v>
      </c>
      <c r="D1" s="119" t="s">
        <v>21</v>
      </c>
      <c r="E1" s="127" t="s">
        <v>22</v>
      </c>
      <c r="F1" s="126" t="s">
        <v>23</v>
      </c>
      <c r="G1" s="127" t="s">
        <v>24</v>
      </c>
      <c r="H1" s="383" t="s">
        <v>25</v>
      </c>
      <c r="I1" s="111" t="s">
        <v>26</v>
      </c>
      <c r="J1" s="1101" t="s">
        <v>272</v>
      </c>
      <c r="K1" s="1102" t="s">
        <v>273</v>
      </c>
      <c r="L1" s="1102" t="s">
        <v>274</v>
      </c>
      <c r="M1" s="1102" t="s">
        <v>275</v>
      </c>
      <c r="N1" s="1102" t="s">
        <v>276</v>
      </c>
      <c r="O1" s="1102" t="s">
        <v>277</v>
      </c>
      <c r="P1" s="1102" t="s">
        <v>278</v>
      </c>
      <c r="Q1" s="1102" t="s">
        <v>102</v>
      </c>
      <c r="R1" s="1102" t="s">
        <v>126</v>
      </c>
      <c r="S1" s="1102" t="s">
        <v>279</v>
      </c>
      <c r="T1" s="1102" t="s">
        <v>280</v>
      </c>
      <c r="U1" s="1102" t="s">
        <v>281</v>
      </c>
      <c r="V1" s="1384" t="s">
        <v>99</v>
      </c>
    </row>
    <row r="2" spans="1:40" s="108" customFormat="1" ht="34.35" customHeight="1">
      <c r="A2" s="387" t="s">
        <v>6</v>
      </c>
      <c r="B2" s="388" t="s">
        <v>131</v>
      </c>
      <c r="C2" s="389">
        <v>9</v>
      </c>
      <c r="D2" s="390" t="s">
        <v>137</v>
      </c>
      <c r="E2" s="375" t="s">
        <v>136</v>
      </c>
      <c r="F2" s="374" t="s">
        <v>138</v>
      </c>
      <c r="G2" s="375" t="s">
        <v>135</v>
      </c>
      <c r="H2" s="384">
        <v>231.81399999999999</v>
      </c>
      <c r="I2" s="376">
        <v>45748</v>
      </c>
      <c r="J2" s="1385">
        <v>0</v>
      </c>
      <c r="K2" s="1386">
        <v>3.11</v>
      </c>
      <c r="L2" s="1386">
        <v>0.08</v>
      </c>
      <c r="M2" s="1386">
        <v>0</v>
      </c>
      <c r="N2" s="1386">
        <v>0.06</v>
      </c>
      <c r="O2" s="1386">
        <v>0.56000000000000005</v>
      </c>
      <c r="P2" s="1386">
        <v>0</v>
      </c>
      <c r="Q2" s="1386">
        <v>0.97</v>
      </c>
      <c r="R2" s="1386">
        <v>0</v>
      </c>
      <c r="S2" s="1386">
        <v>0</v>
      </c>
      <c r="T2" s="1386">
        <v>0</v>
      </c>
      <c r="U2" s="1386">
        <v>0</v>
      </c>
      <c r="V2" s="1718">
        <v>0</v>
      </c>
      <c r="W2" s="860"/>
      <c r="X2" s="860"/>
      <c r="Y2" s="860"/>
      <c r="Z2" s="860"/>
      <c r="AA2" s="860"/>
      <c r="AB2" s="860"/>
      <c r="AC2" s="860"/>
      <c r="AD2" s="860"/>
      <c r="AE2" s="860"/>
      <c r="AF2" s="860"/>
      <c r="AG2" s="860"/>
      <c r="AH2" s="860"/>
      <c r="AI2" s="860"/>
      <c r="AJ2" s="860"/>
      <c r="AK2" s="860"/>
      <c r="AL2" s="860"/>
      <c r="AM2" s="860"/>
      <c r="AN2" s="860"/>
    </row>
    <row r="3" spans="1:40" s="108" customFormat="1" ht="34.35" customHeight="1">
      <c r="A3" s="391" t="s">
        <v>6</v>
      </c>
      <c r="B3" s="392" t="s">
        <v>131</v>
      </c>
      <c r="C3" s="393">
        <v>9</v>
      </c>
      <c r="D3" s="394" t="s">
        <v>137</v>
      </c>
      <c r="E3" s="378" t="s">
        <v>136</v>
      </c>
      <c r="F3" s="377" t="s">
        <v>138</v>
      </c>
      <c r="G3" s="378" t="s">
        <v>135</v>
      </c>
      <c r="H3" s="385">
        <v>231.81399999999999</v>
      </c>
      <c r="I3" s="379">
        <v>45786</v>
      </c>
      <c r="J3" s="1387">
        <v>0</v>
      </c>
      <c r="K3" s="1388">
        <v>2</v>
      </c>
      <c r="L3" s="1388">
        <v>0.44</v>
      </c>
      <c r="M3" s="1388">
        <v>0.01</v>
      </c>
      <c r="N3" s="1388">
        <v>0.25</v>
      </c>
      <c r="O3" s="1388">
        <v>2.63</v>
      </c>
      <c r="P3" s="1388">
        <v>0</v>
      </c>
      <c r="Q3" s="1388">
        <v>0.39</v>
      </c>
      <c r="R3" s="1388">
        <v>0</v>
      </c>
      <c r="S3" s="1718">
        <v>0</v>
      </c>
      <c r="T3" s="1718">
        <v>0</v>
      </c>
      <c r="U3" s="1718">
        <v>0</v>
      </c>
      <c r="V3" s="1718">
        <v>0</v>
      </c>
      <c r="W3" s="860"/>
      <c r="X3" s="860"/>
      <c r="Y3" s="860"/>
      <c r="Z3" s="860"/>
      <c r="AA3" s="860"/>
      <c r="AB3" s="860"/>
      <c r="AC3" s="860"/>
      <c r="AD3" s="860"/>
      <c r="AE3" s="860"/>
      <c r="AF3" s="860"/>
      <c r="AG3" s="860"/>
      <c r="AH3" s="860"/>
      <c r="AI3" s="860"/>
      <c r="AJ3" s="860"/>
      <c r="AK3" s="860"/>
      <c r="AL3" s="860"/>
      <c r="AM3" s="860"/>
      <c r="AN3" s="860"/>
    </row>
    <row r="4" spans="1:40" s="108" customFormat="1" ht="34.35" customHeight="1">
      <c r="A4" s="391" t="s">
        <v>6</v>
      </c>
      <c r="B4" s="392" t="s">
        <v>131</v>
      </c>
      <c r="C4" s="393">
        <v>9</v>
      </c>
      <c r="D4" s="394" t="s">
        <v>137</v>
      </c>
      <c r="E4" s="378" t="s">
        <v>136</v>
      </c>
      <c r="F4" s="377" t="s">
        <v>138</v>
      </c>
      <c r="G4" s="378" t="s">
        <v>135</v>
      </c>
      <c r="H4" s="385">
        <v>231.81399999999999</v>
      </c>
      <c r="I4" s="379">
        <v>45817</v>
      </c>
      <c r="J4" s="1103">
        <v>0</v>
      </c>
      <c r="K4" s="1104">
        <f>ROUND(1056339.416889/1000000,2)</f>
        <v>1.06</v>
      </c>
      <c r="L4" s="1104">
        <f>ROUND(1010729.27672/1000000,2)</f>
        <v>1.01</v>
      </c>
      <c r="M4" s="1104"/>
      <c r="N4" s="1104">
        <f>ROUND(395644.970229/1000000,2)</f>
        <v>0.4</v>
      </c>
      <c r="O4" s="1104">
        <f>ROUND(3364482.006806/1000000,2)</f>
        <v>3.36</v>
      </c>
      <c r="P4" s="1104">
        <f>ROUND(348066.25/1000000,2)</f>
        <v>0.35</v>
      </c>
      <c r="Q4" s="1104">
        <v>0</v>
      </c>
      <c r="R4" s="1104">
        <v>0</v>
      </c>
      <c r="S4" s="1718">
        <v>0</v>
      </c>
      <c r="T4" s="1718">
        <v>0</v>
      </c>
      <c r="U4" s="1718">
        <v>0</v>
      </c>
      <c r="V4" s="1718">
        <v>0</v>
      </c>
      <c r="W4" s="860"/>
      <c r="X4" s="860"/>
      <c r="Y4" s="860"/>
      <c r="Z4" s="860"/>
      <c r="AA4" s="860"/>
      <c r="AB4" s="860"/>
      <c r="AC4" s="860"/>
      <c r="AD4" s="860"/>
      <c r="AE4" s="860"/>
      <c r="AF4" s="860"/>
      <c r="AG4" s="860"/>
      <c r="AH4" s="860"/>
      <c r="AI4" s="860"/>
      <c r="AJ4" s="860"/>
      <c r="AK4" s="860"/>
      <c r="AL4" s="860"/>
      <c r="AM4" s="860"/>
      <c r="AN4" s="860"/>
    </row>
    <row r="5" spans="1:40" s="108" customFormat="1" ht="34.35" customHeight="1">
      <c r="A5" s="391" t="s">
        <v>6</v>
      </c>
      <c r="B5" s="392" t="s">
        <v>131</v>
      </c>
      <c r="C5" s="393">
        <v>9</v>
      </c>
      <c r="D5" s="394" t="s">
        <v>137</v>
      </c>
      <c r="E5" s="378" t="s">
        <v>136</v>
      </c>
      <c r="F5" s="377" t="s">
        <v>138</v>
      </c>
      <c r="G5" s="378" t="s">
        <v>135</v>
      </c>
      <c r="H5" s="385">
        <v>231.81399999999999</v>
      </c>
      <c r="I5" s="379">
        <v>45839</v>
      </c>
      <c r="J5" s="1387">
        <v>0</v>
      </c>
      <c r="K5" s="1104">
        <v>2.72</v>
      </c>
      <c r="L5" s="1104">
        <v>0.12</v>
      </c>
      <c r="M5" s="1104">
        <v>7.0000000000000007E-2</v>
      </c>
      <c r="N5" s="1104">
        <v>0.63</v>
      </c>
      <c r="O5" s="1104">
        <v>2.84</v>
      </c>
      <c r="P5" s="1104">
        <v>0.25</v>
      </c>
      <c r="Q5" s="1104">
        <v>0</v>
      </c>
      <c r="R5" s="1104">
        <v>0</v>
      </c>
      <c r="S5" s="1718">
        <v>0</v>
      </c>
      <c r="T5" s="1718">
        <v>0</v>
      </c>
      <c r="U5" s="1718">
        <v>0</v>
      </c>
      <c r="V5" s="1718">
        <v>0</v>
      </c>
      <c r="W5" s="860"/>
      <c r="X5" s="860"/>
      <c r="Y5" s="860"/>
      <c r="Z5" s="860"/>
      <c r="AA5" s="860"/>
      <c r="AB5" s="860" t="s">
        <v>272</v>
      </c>
      <c r="AC5" s="860" t="s">
        <v>273</v>
      </c>
      <c r="AD5" s="860" t="s">
        <v>274</v>
      </c>
      <c r="AE5" s="860" t="s">
        <v>275</v>
      </c>
      <c r="AF5" s="860" t="s">
        <v>276</v>
      </c>
      <c r="AG5" s="860" t="s">
        <v>277</v>
      </c>
      <c r="AH5" s="860" t="s">
        <v>278</v>
      </c>
      <c r="AI5" s="860" t="s">
        <v>102</v>
      </c>
      <c r="AJ5" s="860" t="s">
        <v>126</v>
      </c>
      <c r="AK5" s="860" t="s">
        <v>279</v>
      </c>
      <c r="AL5" s="860" t="s">
        <v>280</v>
      </c>
      <c r="AM5" s="860" t="s">
        <v>281</v>
      </c>
      <c r="AN5" s="860" t="s">
        <v>99</v>
      </c>
    </row>
    <row r="6" spans="1:40" s="108" customFormat="1" ht="34.35" customHeight="1">
      <c r="A6" s="391" t="s">
        <v>6</v>
      </c>
      <c r="B6" s="392" t="s">
        <v>131</v>
      </c>
      <c r="C6" s="393">
        <v>9</v>
      </c>
      <c r="D6" s="394" t="s">
        <v>137</v>
      </c>
      <c r="E6" s="378" t="s">
        <v>136</v>
      </c>
      <c r="F6" s="377" t="s">
        <v>138</v>
      </c>
      <c r="G6" s="378" t="s">
        <v>135</v>
      </c>
      <c r="H6" s="385">
        <v>231.81399999999999</v>
      </c>
      <c r="I6" s="379">
        <v>45870</v>
      </c>
      <c r="J6" s="1103">
        <v>8.0000000000000004E-4</v>
      </c>
      <c r="K6" s="1104">
        <v>2.98</v>
      </c>
      <c r="L6" s="1104">
        <v>0.66</v>
      </c>
      <c r="M6" s="1104">
        <v>0.01</v>
      </c>
      <c r="N6" s="1104">
        <v>1.17</v>
      </c>
      <c r="O6" s="1104">
        <v>2.2799999999999998</v>
      </c>
      <c r="P6" s="1104">
        <v>0.32</v>
      </c>
      <c r="Q6" s="1104">
        <v>1.1100000000000001</v>
      </c>
      <c r="R6" s="1104">
        <v>0</v>
      </c>
      <c r="S6" s="1104">
        <v>0</v>
      </c>
      <c r="T6" s="1104">
        <v>0</v>
      </c>
      <c r="U6" s="1104">
        <v>0</v>
      </c>
      <c r="V6" s="1389">
        <v>0</v>
      </c>
      <c r="W6" s="860"/>
      <c r="X6" s="860"/>
      <c r="Y6" s="860"/>
      <c r="Z6" s="860"/>
      <c r="AA6" s="860"/>
      <c r="AB6" s="860">
        <v>804.3</v>
      </c>
      <c r="AC6" s="860">
        <v>2982176.4275884712</v>
      </c>
      <c r="AD6" s="860">
        <v>655412.10399355076</v>
      </c>
      <c r="AE6" s="860">
        <v>9589.6</v>
      </c>
      <c r="AF6" s="860">
        <v>1166208.4261740355</v>
      </c>
      <c r="AG6" s="860">
        <v>2277005.8965592952</v>
      </c>
      <c r="AH6" s="860">
        <v>317561.42967600713</v>
      </c>
      <c r="AI6" s="860">
        <v>1105054.1800000002</v>
      </c>
      <c r="AJ6" s="860"/>
      <c r="AK6" s="860"/>
      <c r="AL6" s="860"/>
      <c r="AM6" s="860"/>
      <c r="AN6" s="860"/>
    </row>
    <row r="7" spans="1:40" s="108" customFormat="1" ht="34.35" customHeight="1">
      <c r="A7" s="391" t="s">
        <v>6</v>
      </c>
      <c r="B7" s="392" t="s">
        <v>131</v>
      </c>
      <c r="C7" s="393">
        <v>9</v>
      </c>
      <c r="D7" s="394" t="s">
        <v>137</v>
      </c>
      <c r="E7" s="378" t="s">
        <v>136</v>
      </c>
      <c r="F7" s="377" t="s">
        <v>138</v>
      </c>
      <c r="G7" s="378" t="s">
        <v>135</v>
      </c>
      <c r="H7" s="385">
        <v>231.81399999999999</v>
      </c>
      <c r="I7" s="379">
        <v>45909</v>
      </c>
      <c r="J7" s="1390">
        <v>0</v>
      </c>
      <c r="K7" s="1104">
        <v>2.4040302700000034</v>
      </c>
      <c r="L7" s="1104">
        <v>0.69925804000000003</v>
      </c>
      <c r="M7" s="1391">
        <f>116669.98/1000000</f>
        <v>0.11666997999999999</v>
      </c>
      <c r="N7" s="1391">
        <f>105335.89/1000000</f>
        <v>0.10533589</v>
      </c>
      <c r="O7" s="1391">
        <f>1386738.98/1000000</f>
        <v>1.3867389800000001</v>
      </c>
      <c r="P7" s="1391">
        <f>775497.6/1000000</f>
        <v>0.77549760000000001</v>
      </c>
      <c r="Q7" s="1391">
        <f>92809.84/1000000</f>
        <v>9.2809839999999991E-2</v>
      </c>
      <c r="R7" s="1104">
        <v>0</v>
      </c>
      <c r="S7" s="1718">
        <v>0</v>
      </c>
      <c r="T7" s="1718">
        <v>0</v>
      </c>
      <c r="U7" s="1718">
        <v>0</v>
      </c>
      <c r="V7" s="1718">
        <v>0</v>
      </c>
      <c r="W7" s="860"/>
      <c r="X7" s="860"/>
      <c r="Y7" s="860"/>
      <c r="Z7" s="860"/>
      <c r="AA7" s="860"/>
      <c r="AB7" s="860">
        <f>ROUND(AB6/1000000,4)</f>
        <v>8.0000000000000004E-4</v>
      </c>
      <c r="AC7" s="860">
        <f t="shared" ref="AC7:AI7" si="0">ROUND(AC6/1000000,2)</f>
        <v>2.98</v>
      </c>
      <c r="AD7" s="860">
        <f t="shared" si="0"/>
        <v>0.66</v>
      </c>
      <c r="AE7" s="860">
        <f t="shared" si="0"/>
        <v>0.01</v>
      </c>
      <c r="AF7" s="860">
        <f t="shared" si="0"/>
        <v>1.17</v>
      </c>
      <c r="AG7" s="860">
        <f t="shared" si="0"/>
        <v>2.2799999999999998</v>
      </c>
      <c r="AH7" s="860">
        <f t="shared" si="0"/>
        <v>0.32</v>
      </c>
      <c r="AI7" s="860">
        <f t="shared" si="0"/>
        <v>1.1100000000000001</v>
      </c>
      <c r="AJ7" s="860">
        <f t="shared" ref="AJ7:AN7" si="1">AJ6/1000000</f>
        <v>0</v>
      </c>
      <c r="AK7" s="860">
        <f t="shared" si="1"/>
        <v>0</v>
      </c>
      <c r="AL7" s="860">
        <f t="shared" si="1"/>
        <v>0</v>
      </c>
      <c r="AM7" s="860">
        <f t="shared" si="1"/>
        <v>0</v>
      </c>
      <c r="AN7" s="860">
        <f t="shared" si="1"/>
        <v>0</v>
      </c>
    </row>
    <row r="8" spans="1:40" s="108" customFormat="1" ht="34.35" customHeight="1">
      <c r="A8" s="391" t="s">
        <v>6</v>
      </c>
      <c r="B8" s="392" t="s">
        <v>131</v>
      </c>
      <c r="C8" s="393">
        <v>9</v>
      </c>
      <c r="D8" s="394" t="s">
        <v>137</v>
      </c>
      <c r="E8" s="378" t="s">
        <v>136</v>
      </c>
      <c r="F8" s="377" t="s">
        <v>138</v>
      </c>
      <c r="G8" s="378" t="s">
        <v>135</v>
      </c>
      <c r="H8" s="385">
        <v>231.81399999999999</v>
      </c>
      <c r="I8" s="379">
        <v>45931</v>
      </c>
      <c r="J8" s="1103">
        <v>0</v>
      </c>
      <c r="K8" s="1104">
        <v>1.03</v>
      </c>
      <c r="L8" s="1104">
        <v>0.44</v>
      </c>
      <c r="M8" s="1104">
        <v>0</v>
      </c>
      <c r="N8" s="1104">
        <v>1.35</v>
      </c>
      <c r="O8" s="1104">
        <v>2.17</v>
      </c>
      <c r="P8" s="1104">
        <v>0.62</v>
      </c>
      <c r="Q8" s="1104">
        <v>0.52</v>
      </c>
      <c r="R8" s="1104">
        <v>0</v>
      </c>
      <c r="S8" s="1104">
        <v>0</v>
      </c>
      <c r="T8" s="1104">
        <v>0</v>
      </c>
      <c r="U8" s="1104">
        <v>0</v>
      </c>
      <c r="V8" s="1389">
        <v>0</v>
      </c>
      <c r="W8" s="860"/>
      <c r="X8" s="860"/>
      <c r="Y8" s="860"/>
      <c r="Z8" s="860"/>
      <c r="AA8" s="860"/>
      <c r="AB8" s="860"/>
      <c r="AC8" s="860"/>
      <c r="AD8" s="860"/>
      <c r="AE8" s="860"/>
      <c r="AF8" s="860"/>
      <c r="AG8" s="860"/>
      <c r="AH8" s="860"/>
      <c r="AI8" s="860"/>
      <c r="AJ8" s="860"/>
      <c r="AK8" s="860"/>
      <c r="AL8" s="860"/>
      <c r="AM8" s="860"/>
      <c r="AN8" s="860"/>
    </row>
    <row r="9" spans="1:40" s="108" customFormat="1" ht="34.35" customHeight="1">
      <c r="A9" s="391" t="s">
        <v>6</v>
      </c>
      <c r="B9" s="392" t="s">
        <v>131</v>
      </c>
      <c r="C9" s="393">
        <v>9</v>
      </c>
      <c r="D9" s="394" t="s">
        <v>137</v>
      </c>
      <c r="E9" s="378" t="s">
        <v>136</v>
      </c>
      <c r="F9" s="377" t="s">
        <v>138</v>
      </c>
      <c r="G9" s="378" t="s">
        <v>135</v>
      </c>
      <c r="H9" s="385">
        <v>231.81399999999999</v>
      </c>
      <c r="I9" s="379">
        <v>45962</v>
      </c>
      <c r="J9" s="1103">
        <v>0</v>
      </c>
      <c r="K9" s="1104">
        <v>0.78</v>
      </c>
      <c r="L9" s="1104">
        <v>0.46</v>
      </c>
      <c r="M9" s="1104">
        <v>0</v>
      </c>
      <c r="N9" s="1104">
        <v>1.74</v>
      </c>
      <c r="O9" s="1104">
        <v>2.66</v>
      </c>
      <c r="P9" s="1104">
        <v>0.53</v>
      </c>
      <c r="Q9" s="1104">
        <v>0.06</v>
      </c>
      <c r="R9" s="1104">
        <v>0</v>
      </c>
      <c r="S9" s="1104">
        <v>0</v>
      </c>
      <c r="T9" s="1104">
        <v>0</v>
      </c>
      <c r="U9" s="1104">
        <v>0</v>
      </c>
      <c r="V9" s="1389">
        <v>0</v>
      </c>
      <c r="W9" s="860"/>
      <c r="X9" s="860"/>
      <c r="Y9" s="860"/>
      <c r="Z9" s="860"/>
      <c r="AA9" s="860"/>
      <c r="AB9" s="860"/>
      <c r="AC9" s="860"/>
      <c r="AD9" s="860"/>
      <c r="AE9" s="860"/>
      <c r="AF9" s="860"/>
      <c r="AG9" s="860"/>
      <c r="AH9" s="860"/>
      <c r="AI9" s="860"/>
      <c r="AJ9" s="860"/>
      <c r="AK9" s="860"/>
      <c r="AL9" s="860"/>
      <c r="AM9" s="860"/>
      <c r="AN9" s="860"/>
    </row>
    <row r="10" spans="1:40" s="108" customFormat="1" ht="34.35" customHeight="1">
      <c r="A10" s="391" t="s">
        <v>6</v>
      </c>
      <c r="B10" s="392" t="s">
        <v>131</v>
      </c>
      <c r="C10" s="393">
        <v>9</v>
      </c>
      <c r="D10" s="394" t="s">
        <v>137</v>
      </c>
      <c r="E10" s="378" t="s">
        <v>136</v>
      </c>
      <c r="F10" s="377" t="s">
        <v>138</v>
      </c>
      <c r="G10" s="378" t="s">
        <v>135</v>
      </c>
      <c r="H10" s="385">
        <v>231.81399999999999</v>
      </c>
      <c r="I10" s="379">
        <v>45992</v>
      </c>
      <c r="J10" s="1392">
        <v>0</v>
      </c>
      <c r="K10" s="1391">
        <v>0.76171471361102028</v>
      </c>
      <c r="L10" s="1391">
        <v>2.1229596657998608</v>
      </c>
      <c r="M10" s="1391">
        <v>0</v>
      </c>
      <c r="N10" s="1391">
        <v>1.743518782149557</v>
      </c>
      <c r="O10" s="1391">
        <v>2.6640914469126646</v>
      </c>
      <c r="P10" s="1391">
        <v>0.53276830985813983</v>
      </c>
      <c r="Q10" s="1391">
        <v>6.0832800000000006E-2</v>
      </c>
      <c r="R10" s="1391">
        <v>0</v>
      </c>
      <c r="S10" s="1391">
        <v>0</v>
      </c>
      <c r="T10" s="1391">
        <v>4.415852E-2</v>
      </c>
      <c r="U10" s="1391">
        <v>0</v>
      </c>
      <c r="V10" s="1393">
        <v>0</v>
      </c>
      <c r="W10" s="860"/>
      <c r="X10" s="860"/>
      <c r="Y10" s="860"/>
      <c r="Z10" s="860"/>
      <c r="AA10" s="860"/>
      <c r="AB10" s="860"/>
      <c r="AC10" s="860"/>
      <c r="AD10" s="860"/>
      <c r="AE10" s="860"/>
      <c r="AF10" s="860"/>
      <c r="AG10" s="860"/>
      <c r="AH10" s="860"/>
      <c r="AI10" s="860"/>
      <c r="AJ10" s="860"/>
      <c r="AK10" s="860"/>
      <c r="AL10" s="860"/>
      <c r="AM10" s="860"/>
      <c r="AN10" s="860"/>
    </row>
    <row r="11" spans="1:40" s="108" customFormat="1" ht="34.35" customHeight="1">
      <c r="A11" s="391" t="s">
        <v>6</v>
      </c>
      <c r="B11" s="392" t="s">
        <v>131</v>
      </c>
      <c r="C11" s="393">
        <v>9</v>
      </c>
      <c r="D11" s="394" t="s">
        <v>137</v>
      </c>
      <c r="E11" s="378" t="s">
        <v>136</v>
      </c>
      <c r="F11" s="377" t="s">
        <v>138</v>
      </c>
      <c r="G11" s="378" t="s">
        <v>135</v>
      </c>
      <c r="H11" s="385">
        <v>231.81399999999999</v>
      </c>
      <c r="I11" s="379">
        <v>46023</v>
      </c>
      <c r="J11" s="1387">
        <v>0</v>
      </c>
      <c r="K11" s="1104">
        <v>2.93</v>
      </c>
      <c r="L11" s="1104">
        <v>2.1800000000000002</v>
      </c>
      <c r="M11" s="1104">
        <v>0</v>
      </c>
      <c r="N11" s="1104">
        <v>0.37</v>
      </c>
      <c r="O11" s="1104">
        <v>2.2799999999999998</v>
      </c>
      <c r="P11" s="1104">
        <v>0.59</v>
      </c>
      <c r="Q11" s="1104">
        <v>0</v>
      </c>
      <c r="R11" s="1104">
        <v>0</v>
      </c>
      <c r="S11" s="1104">
        <v>0</v>
      </c>
      <c r="T11" s="1104">
        <v>0</v>
      </c>
      <c r="U11" s="1104">
        <v>0</v>
      </c>
      <c r="V11" s="1389">
        <v>0</v>
      </c>
      <c r="W11" s="860"/>
      <c r="X11" s="860"/>
      <c r="Y11" s="860"/>
      <c r="Z11" s="860"/>
      <c r="AA11" s="860"/>
      <c r="AB11" s="860"/>
      <c r="AC11" s="860"/>
      <c r="AD11" s="860"/>
      <c r="AE11" s="860"/>
      <c r="AF11" s="860"/>
      <c r="AG11" s="860"/>
      <c r="AH11" s="860"/>
      <c r="AI11" s="860"/>
      <c r="AJ11" s="860"/>
      <c r="AK11" s="860"/>
      <c r="AL11" s="860"/>
      <c r="AM11" s="860"/>
      <c r="AN11" s="860"/>
    </row>
    <row r="12" spans="1:40" s="108" customFormat="1" ht="34.35" customHeight="1">
      <c r="A12" s="391" t="s">
        <v>6</v>
      </c>
      <c r="B12" s="392" t="s">
        <v>131</v>
      </c>
      <c r="C12" s="393">
        <v>9</v>
      </c>
      <c r="D12" s="394" t="s">
        <v>137</v>
      </c>
      <c r="E12" s="378" t="s">
        <v>136</v>
      </c>
      <c r="F12" s="377" t="s">
        <v>138</v>
      </c>
      <c r="G12" s="378" t="s">
        <v>135</v>
      </c>
      <c r="H12" s="385">
        <v>231.81399999999999</v>
      </c>
      <c r="I12" s="379">
        <v>46054</v>
      </c>
      <c r="J12" s="1387">
        <v>0</v>
      </c>
      <c r="K12" s="1104">
        <v>2.63</v>
      </c>
      <c r="L12" s="1104">
        <v>0.96</v>
      </c>
      <c r="M12" s="1104">
        <v>0</v>
      </c>
      <c r="N12" s="1104">
        <v>0.23</v>
      </c>
      <c r="O12" s="1104">
        <v>2.89</v>
      </c>
      <c r="P12" s="1104">
        <v>0.47</v>
      </c>
      <c r="Q12" s="1104">
        <v>7.51</v>
      </c>
      <c r="R12" s="1104">
        <v>0</v>
      </c>
      <c r="S12" s="1104">
        <v>0</v>
      </c>
      <c r="T12" s="1104">
        <v>0</v>
      </c>
      <c r="U12" s="1104">
        <v>0</v>
      </c>
      <c r="V12" s="1389">
        <v>0</v>
      </c>
      <c r="W12" s="860"/>
      <c r="X12" s="860"/>
      <c r="Y12" s="860"/>
      <c r="Z12" s="860"/>
      <c r="AA12" s="860"/>
      <c r="AB12" s="860"/>
      <c r="AC12" s="860"/>
      <c r="AD12" s="860"/>
      <c r="AE12" s="860"/>
      <c r="AF12" s="860"/>
      <c r="AG12" s="860"/>
      <c r="AH12" s="860"/>
      <c r="AI12" s="860"/>
      <c r="AJ12" s="860"/>
      <c r="AK12" s="860"/>
      <c r="AL12" s="860"/>
      <c r="AM12" s="860"/>
      <c r="AN12" s="860"/>
    </row>
    <row r="13" spans="1:40" s="108" customFormat="1" ht="34.35" customHeight="1">
      <c r="A13" s="395" t="s">
        <v>6</v>
      </c>
      <c r="B13" s="396" t="s">
        <v>131</v>
      </c>
      <c r="C13" s="397">
        <v>9</v>
      </c>
      <c r="D13" s="398" t="s">
        <v>137</v>
      </c>
      <c r="E13" s="381" t="s">
        <v>136</v>
      </c>
      <c r="F13" s="380" t="s">
        <v>138</v>
      </c>
      <c r="G13" s="381" t="s">
        <v>135</v>
      </c>
      <c r="H13" s="386">
        <v>231.81399999999999</v>
      </c>
      <c r="I13" s="382">
        <v>46082</v>
      </c>
      <c r="J13" s="1394"/>
      <c r="K13" s="1395"/>
      <c r="L13" s="1395"/>
      <c r="M13" s="1395"/>
      <c r="N13" s="1395"/>
      <c r="O13" s="1395"/>
      <c r="P13" s="1395"/>
      <c r="Q13" s="1395"/>
      <c r="R13" s="1395"/>
      <c r="S13" s="1395"/>
      <c r="T13" s="1395"/>
      <c r="U13" s="1395"/>
      <c r="V13" s="1396"/>
      <c r="W13" s="860"/>
      <c r="X13" s="860"/>
      <c r="Y13" s="860"/>
      <c r="Z13" s="860"/>
      <c r="AA13" s="860"/>
      <c r="AB13" s="860"/>
      <c r="AC13" s="860"/>
      <c r="AD13" s="860"/>
      <c r="AE13" s="860"/>
      <c r="AF13" s="860"/>
      <c r="AG13" s="860"/>
      <c r="AH13" s="860"/>
      <c r="AI13" s="860"/>
      <c r="AJ13" s="860"/>
      <c r="AK13" s="860"/>
      <c r="AL13" s="860"/>
      <c r="AM13" s="860"/>
      <c r="AN13" s="860"/>
    </row>
    <row r="14" spans="1:40" ht="34.35" customHeight="1">
      <c r="J14" s="1397">
        <f>SUM(J2:J13)</f>
        <v>8.0000000000000004E-4</v>
      </c>
      <c r="K14" s="1397">
        <f t="shared" ref="K14:V14" si="2">SUM(K2:K13)</f>
        <v>22.405744983611022</v>
      </c>
      <c r="L14" s="1397">
        <f t="shared" si="2"/>
        <v>9.1722177057998593</v>
      </c>
      <c r="M14" s="1397">
        <f t="shared" si="2"/>
        <v>0.20666997999999998</v>
      </c>
      <c r="N14" s="1397">
        <f t="shared" si="2"/>
        <v>8.048854672149556</v>
      </c>
      <c r="O14" s="1397">
        <f t="shared" si="2"/>
        <v>25.720830426912666</v>
      </c>
      <c r="P14" s="1397">
        <f t="shared" si="2"/>
        <v>4.4382659098581394</v>
      </c>
      <c r="Q14" s="1397">
        <f t="shared" si="2"/>
        <v>10.71364264</v>
      </c>
      <c r="R14" s="1397">
        <f t="shared" si="2"/>
        <v>0</v>
      </c>
      <c r="S14" s="1397">
        <f t="shared" si="2"/>
        <v>0</v>
      </c>
      <c r="T14" s="1397">
        <f t="shared" si="2"/>
        <v>4.415852E-2</v>
      </c>
      <c r="U14" s="1397">
        <f t="shared" si="2"/>
        <v>0</v>
      </c>
      <c r="V14" s="1397">
        <f t="shared" si="2"/>
        <v>0</v>
      </c>
    </row>
  </sheetData>
  <sheetProtection algorithmName="SHA-512" hashValue="Ci9WYp5q1EPsqoct/nNTHUPTivJ9hwr1YeLU83CpyQLyGa1zHJExLaY8F2BgLDC0828cJ8/ldOSnq5GfNvYRkw==" saltValue="FClvnY4D5nSgUHLbXyB4Iw==" spinCount="100000" sheet="1" formatCells="0" formatColumns="0" formatRows="0" sort="0" autoFilter="0" pivotTables="0"/>
  <autoFilter ref="A1:AN1" xr:uid="{5EF7887C-EB9C-4824-8B7C-7B538616A955}"/>
  <phoneticPr fontId="10" type="noConversion"/>
  <conditionalFormatting sqref="I2:V13">
    <cfRule type="expression" dxfId="39" priority="147">
      <formula>MONTH($I2)=MONTH(TODAY()-29)</formula>
    </cfRule>
  </conditionalFormatting>
  <pageMargins left="0.7" right="0.7" top="0.75" bottom="0.75" header="0.3" footer="0.3"/>
  <headerFooter>
    <oddHeader>&amp;C&amp;"Calibri"&amp;10&amp;KFF0000 CONFIDENTIAL&amp;1#_x000D_</oddHead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129D5-B6FD-432C-A21E-F1EFE3FAF2EB}">
  <sheetPr codeName="Sheet6"/>
  <dimension ref="A1:BRV109"/>
  <sheetViews>
    <sheetView showGridLines="0" zoomScale="80" zoomScaleNormal="80" workbookViewId="0">
      <pane xSplit="1" ySplit="1" topLeftCell="B45" activePane="bottomRight" state="frozen"/>
      <selection pane="topRight" activeCell="D69" sqref="D69"/>
      <selection pane="bottomLeft" activeCell="D69" sqref="D69"/>
      <selection pane="bottomRight" activeCell="P48" sqref="P48"/>
    </sheetView>
  </sheetViews>
  <sheetFormatPr defaultColWidth="8.109375" defaultRowHeight="34.35" customHeight="1"/>
  <cols>
    <col min="1" max="1" width="13.6640625" style="108" customWidth="1"/>
    <col min="2" max="2" width="38.109375" style="228" customWidth="1"/>
    <col min="3" max="3" width="6.33203125" style="108" customWidth="1"/>
    <col min="4" max="4" width="33.33203125" style="108" customWidth="1"/>
    <col min="5" max="5" width="7" style="109" customWidth="1"/>
    <col min="6" max="6" width="7.109375" style="108" customWidth="1"/>
    <col min="7" max="7" width="12" style="108" customWidth="1"/>
    <col min="8" max="8" width="9.6640625" style="109" customWidth="1"/>
    <col min="9" max="9" width="12.109375" style="108" customWidth="1"/>
    <col min="10" max="11" width="9.6640625" style="1100" customWidth="1"/>
    <col min="12" max="12" width="9.6640625" style="860" customWidth="1"/>
    <col min="13" max="13" width="9.6640625" style="1100" customWidth="1"/>
    <col min="14" max="14" width="10.33203125" style="860" customWidth="1"/>
    <col min="15" max="15" width="44.6640625" style="860" customWidth="1"/>
    <col min="16" max="16" width="38.6640625" style="860" customWidth="1"/>
    <col min="17" max="18" width="10" style="860" customWidth="1"/>
    <col min="19" max="23" width="8.109375" style="860"/>
    <col min="24" max="16384" width="8.109375" style="108"/>
  </cols>
  <sheetData>
    <row r="1" spans="1:23 1842:1842" s="169" customFormat="1" ht="75.599999999999994" customHeight="1">
      <c r="A1" s="165" t="s">
        <v>1</v>
      </c>
      <c r="B1" s="167" t="s">
        <v>19</v>
      </c>
      <c r="C1" s="167" t="s">
        <v>282</v>
      </c>
      <c r="D1" s="167" t="s">
        <v>21</v>
      </c>
      <c r="E1" s="179" t="s">
        <v>22</v>
      </c>
      <c r="F1" s="421" t="s">
        <v>23</v>
      </c>
      <c r="G1" s="422" t="s">
        <v>24</v>
      </c>
      <c r="H1" s="455" t="s">
        <v>25</v>
      </c>
      <c r="I1" s="111" t="s">
        <v>26</v>
      </c>
      <c r="J1" s="1066" t="s">
        <v>27</v>
      </c>
      <c r="K1" s="647" t="s">
        <v>28</v>
      </c>
      <c r="L1" s="648" t="s">
        <v>29</v>
      </c>
      <c r="M1" s="647" t="s">
        <v>30</v>
      </c>
      <c r="N1" s="1067" t="s">
        <v>31</v>
      </c>
      <c r="O1" s="1878" t="s">
        <v>32</v>
      </c>
      <c r="P1" s="1068" t="s">
        <v>33</v>
      </c>
      <c r="Q1" s="1068" t="s">
        <v>34</v>
      </c>
      <c r="R1" s="1069" t="s">
        <v>35</v>
      </c>
      <c r="S1" s="1879"/>
      <c r="T1" s="1879"/>
      <c r="U1" s="1879"/>
      <c r="V1" s="1879"/>
      <c r="W1" s="1879"/>
      <c r="BRV1" s="1880"/>
    </row>
    <row r="2" spans="1:23 1842:1842" ht="19.2">
      <c r="A2" s="408" t="s">
        <v>8</v>
      </c>
      <c r="B2" s="401" t="s">
        <v>283</v>
      </c>
      <c r="C2" s="402">
        <v>1</v>
      </c>
      <c r="D2" s="403" t="s">
        <v>284</v>
      </c>
      <c r="E2" s="412" t="s">
        <v>38</v>
      </c>
      <c r="F2" s="415" t="s">
        <v>106</v>
      </c>
      <c r="G2" s="416" t="s">
        <v>285</v>
      </c>
      <c r="H2" s="456">
        <v>322</v>
      </c>
      <c r="I2" s="400">
        <v>45748</v>
      </c>
      <c r="J2" s="409">
        <v>27</v>
      </c>
      <c r="K2" s="1883">
        <v>10</v>
      </c>
      <c r="L2" s="1398">
        <v>27</v>
      </c>
      <c r="M2" s="1399">
        <f>K2</f>
        <v>10</v>
      </c>
      <c r="N2" s="1400"/>
      <c r="O2" s="1401"/>
      <c r="P2" s="1402"/>
      <c r="Q2" s="1402"/>
      <c r="R2" s="1403"/>
    </row>
    <row r="3" spans="1:23 1842:1842" ht="104.4">
      <c r="A3" s="446" t="s">
        <v>8</v>
      </c>
      <c r="B3" s="404" t="s">
        <v>286</v>
      </c>
      <c r="C3" s="405">
        <v>2</v>
      </c>
      <c r="D3" s="406" t="s">
        <v>287</v>
      </c>
      <c r="E3" s="413" t="s">
        <v>288</v>
      </c>
      <c r="F3" s="417" t="s">
        <v>106</v>
      </c>
      <c r="G3" s="418" t="s">
        <v>289</v>
      </c>
      <c r="H3" s="457">
        <v>0</v>
      </c>
      <c r="I3" s="445">
        <v>45748</v>
      </c>
      <c r="J3" s="410">
        <v>4</v>
      </c>
      <c r="K3" s="1086">
        <v>1</v>
      </c>
      <c r="L3" s="1087">
        <f>J3</f>
        <v>4</v>
      </c>
      <c r="M3" s="1088">
        <f>K3</f>
        <v>1</v>
      </c>
      <c r="N3" s="1077"/>
      <c r="O3" s="1598" t="s">
        <v>290</v>
      </c>
      <c r="P3" s="1599" t="s">
        <v>291</v>
      </c>
      <c r="Q3" s="1079" t="s">
        <v>182</v>
      </c>
      <c r="R3" s="1080" t="s">
        <v>182</v>
      </c>
      <c r="S3" s="108"/>
      <c r="T3" s="108"/>
      <c r="U3" s="108"/>
      <c r="V3" s="108"/>
      <c r="W3" s="108"/>
    </row>
    <row r="4" spans="1:23 1842:1842" ht="19.2">
      <c r="A4" s="446" t="s">
        <v>8</v>
      </c>
      <c r="B4" s="404" t="s">
        <v>292</v>
      </c>
      <c r="C4" s="405">
        <v>3</v>
      </c>
      <c r="D4" s="443" t="s">
        <v>41</v>
      </c>
      <c r="E4" s="413" t="s">
        <v>133</v>
      </c>
      <c r="F4" s="417" t="s">
        <v>105</v>
      </c>
      <c r="G4" s="418" t="s">
        <v>43</v>
      </c>
      <c r="H4" s="458">
        <v>1</v>
      </c>
      <c r="I4" s="445">
        <v>45748</v>
      </c>
      <c r="J4" s="411">
        <v>1</v>
      </c>
      <c r="K4" s="1082">
        <v>1</v>
      </c>
      <c r="L4" s="1083">
        <v>1</v>
      </c>
      <c r="M4" s="1082">
        <v>1</v>
      </c>
      <c r="N4" s="1077">
        <v>1</v>
      </c>
      <c r="O4" s="1078"/>
      <c r="P4" s="1079"/>
      <c r="Q4" s="1079"/>
      <c r="R4" s="1080"/>
      <c r="S4" s="108"/>
      <c r="T4" s="108"/>
      <c r="U4" s="108"/>
      <c r="V4" s="108"/>
      <c r="W4" s="108"/>
    </row>
    <row r="5" spans="1:23 1842:1842" ht="38.4">
      <c r="A5" s="446" t="s">
        <v>8</v>
      </c>
      <c r="B5" s="404" t="s">
        <v>293</v>
      </c>
      <c r="C5" s="405">
        <v>4</v>
      </c>
      <c r="D5" s="443" t="s">
        <v>41</v>
      </c>
      <c r="E5" s="413" t="s">
        <v>38</v>
      </c>
      <c r="F5" s="417" t="s">
        <v>105</v>
      </c>
      <c r="G5" s="418" t="s">
        <v>43</v>
      </c>
      <c r="H5" s="457">
        <v>0</v>
      </c>
      <c r="I5" s="445">
        <v>45748</v>
      </c>
      <c r="J5" s="255">
        <f t="shared" ref="J5" si="0">IF(H5=0,0,IF(H5="-","-",ROUND(H5/12,2)))</f>
        <v>0</v>
      </c>
      <c r="K5" s="1600">
        <v>0</v>
      </c>
      <c r="L5" s="1120">
        <v>0</v>
      </c>
      <c r="M5" s="1121">
        <v>0</v>
      </c>
      <c r="N5" s="1077">
        <v>0</v>
      </c>
      <c r="O5" s="1078"/>
      <c r="P5" s="1079"/>
      <c r="Q5" s="1079"/>
      <c r="R5" s="1080"/>
      <c r="S5" s="108"/>
      <c r="T5" s="108"/>
      <c r="U5" s="108"/>
      <c r="V5" s="108"/>
      <c r="W5" s="108"/>
    </row>
    <row r="6" spans="1:23 1842:1842" ht="104.4">
      <c r="A6" s="448" t="s">
        <v>8</v>
      </c>
      <c r="B6" s="432" t="s">
        <v>294</v>
      </c>
      <c r="C6" s="433">
        <v>5</v>
      </c>
      <c r="D6" s="444" t="s">
        <v>41</v>
      </c>
      <c r="E6" s="451" t="s">
        <v>136</v>
      </c>
      <c r="F6" s="423" t="s">
        <v>110</v>
      </c>
      <c r="G6" s="424" t="s">
        <v>134</v>
      </c>
      <c r="H6" s="1193">
        <v>7.65</v>
      </c>
      <c r="I6" s="447">
        <v>45748</v>
      </c>
      <c r="J6" s="1195">
        <f>H6/12</f>
        <v>0.63750000000000007</v>
      </c>
      <c r="K6" s="1196">
        <v>0.52</v>
      </c>
      <c r="L6" s="1197">
        <v>0.64</v>
      </c>
      <c r="M6" s="1198">
        <v>0.52</v>
      </c>
      <c r="N6" s="1070"/>
      <c r="O6" s="1071" t="s">
        <v>295</v>
      </c>
      <c r="P6" s="1072"/>
      <c r="Q6" s="1072"/>
      <c r="R6" s="1073"/>
      <c r="S6" s="108"/>
      <c r="T6" s="108"/>
      <c r="U6" s="108"/>
      <c r="V6" s="108"/>
      <c r="W6" s="108"/>
    </row>
    <row r="7" spans="1:23 1842:1842" ht="19.2">
      <c r="A7" s="450" t="s">
        <v>8</v>
      </c>
      <c r="B7" s="425" t="s">
        <v>283</v>
      </c>
      <c r="C7" s="426">
        <v>1</v>
      </c>
      <c r="D7" s="427" t="s">
        <v>284</v>
      </c>
      <c r="E7" s="428" t="s">
        <v>38</v>
      </c>
      <c r="F7" s="429" t="s">
        <v>106</v>
      </c>
      <c r="G7" s="430" t="s">
        <v>285</v>
      </c>
      <c r="H7" s="460">
        <v>322</v>
      </c>
      <c r="I7" s="449">
        <v>45778</v>
      </c>
      <c r="J7" s="431">
        <v>27</v>
      </c>
      <c r="K7" s="1404">
        <v>15</v>
      </c>
      <c r="L7" s="1090">
        <f>J7+L2</f>
        <v>54</v>
      </c>
      <c r="M7" s="1091">
        <f>K7+M2</f>
        <v>25</v>
      </c>
      <c r="N7" s="1092"/>
      <c r="O7" s="1093"/>
      <c r="P7" s="1094"/>
      <c r="Q7" s="1094"/>
      <c r="R7" s="1095"/>
    </row>
    <row r="8" spans="1:23 1842:1842" ht="183.75" customHeight="1">
      <c r="A8" s="446" t="s">
        <v>8</v>
      </c>
      <c r="B8" s="404" t="s">
        <v>286</v>
      </c>
      <c r="C8" s="405">
        <v>2</v>
      </c>
      <c r="D8" s="406" t="s">
        <v>287</v>
      </c>
      <c r="E8" s="413" t="s">
        <v>288</v>
      </c>
      <c r="F8" s="417" t="s">
        <v>106</v>
      </c>
      <c r="G8" s="418" t="s">
        <v>289</v>
      </c>
      <c r="H8" s="457">
        <v>0</v>
      </c>
      <c r="I8" s="445">
        <v>45778</v>
      </c>
      <c r="J8" s="410">
        <v>4</v>
      </c>
      <c r="K8" s="1086">
        <v>4</v>
      </c>
      <c r="L8" s="1087">
        <f>L3+J8</f>
        <v>8</v>
      </c>
      <c r="M8" s="1088">
        <f>K8+M3</f>
        <v>5</v>
      </c>
      <c r="N8" s="1077"/>
      <c r="O8" s="1598" t="s">
        <v>296</v>
      </c>
      <c r="P8" s="1599" t="s">
        <v>297</v>
      </c>
      <c r="Q8" s="1601" t="s">
        <v>182</v>
      </c>
      <c r="R8" s="1602" t="s">
        <v>182</v>
      </c>
      <c r="S8" s="108"/>
      <c r="T8" s="108"/>
      <c r="U8" s="108"/>
      <c r="V8" s="108"/>
      <c r="W8" s="108"/>
    </row>
    <row r="9" spans="1:23 1842:1842" ht="19.2">
      <c r="A9" s="446" t="s">
        <v>8</v>
      </c>
      <c r="B9" s="404" t="s">
        <v>292</v>
      </c>
      <c r="C9" s="405">
        <v>3</v>
      </c>
      <c r="D9" s="443" t="s">
        <v>41</v>
      </c>
      <c r="E9" s="413" t="s">
        <v>133</v>
      </c>
      <c r="F9" s="417" t="s">
        <v>105</v>
      </c>
      <c r="G9" s="418" t="s">
        <v>43</v>
      </c>
      <c r="H9" s="458">
        <v>1</v>
      </c>
      <c r="I9" s="445">
        <v>45778</v>
      </c>
      <c r="J9" s="411">
        <v>1</v>
      </c>
      <c r="K9" s="1082">
        <v>1</v>
      </c>
      <c r="L9" s="1083">
        <v>1</v>
      </c>
      <c r="M9" s="1082">
        <v>1</v>
      </c>
      <c r="N9" s="1077"/>
      <c r="O9" s="1277"/>
      <c r="P9" s="1079"/>
      <c r="Q9" s="1079"/>
      <c r="R9" s="1080"/>
      <c r="S9" s="108"/>
      <c r="T9" s="108"/>
      <c r="U9" s="108"/>
      <c r="V9" s="108"/>
      <c r="W9" s="108"/>
    </row>
    <row r="10" spans="1:23 1842:1842" ht="38.4">
      <c r="A10" s="446" t="s">
        <v>8</v>
      </c>
      <c r="B10" s="404" t="s">
        <v>293</v>
      </c>
      <c r="C10" s="405">
        <v>4</v>
      </c>
      <c r="D10" s="443" t="s">
        <v>41</v>
      </c>
      <c r="E10" s="413" t="s">
        <v>38</v>
      </c>
      <c r="F10" s="417" t="s">
        <v>105</v>
      </c>
      <c r="G10" s="418" t="s">
        <v>43</v>
      </c>
      <c r="H10" s="457">
        <v>0</v>
      </c>
      <c r="I10" s="445">
        <v>45778</v>
      </c>
      <c r="J10" s="255">
        <f t="shared" ref="J10" si="1">IF(H10=0,0,IF(H10="-","-",ROUND(H10/12,2)))</f>
        <v>0</v>
      </c>
      <c r="K10" s="1600">
        <v>0</v>
      </c>
      <c r="L10" s="1188">
        <v>0</v>
      </c>
      <c r="M10" s="1121">
        <v>0</v>
      </c>
      <c r="N10" s="1077"/>
      <c r="O10" s="1078"/>
      <c r="P10" s="1079"/>
      <c r="Q10" s="1079"/>
      <c r="R10" s="1080"/>
      <c r="S10" s="108"/>
      <c r="T10" s="108"/>
      <c r="U10" s="108"/>
      <c r="V10" s="108"/>
      <c r="W10" s="108"/>
    </row>
    <row r="11" spans="1:23 1842:1842" ht="19.2">
      <c r="A11" s="448" t="s">
        <v>8</v>
      </c>
      <c r="B11" s="432" t="s">
        <v>294</v>
      </c>
      <c r="C11" s="433">
        <v>5</v>
      </c>
      <c r="D11" s="444" t="s">
        <v>41</v>
      </c>
      <c r="E11" s="451" t="s">
        <v>136</v>
      </c>
      <c r="F11" s="434" t="s">
        <v>110</v>
      </c>
      <c r="G11" s="435" t="s">
        <v>134</v>
      </c>
      <c r="H11" s="461">
        <v>7.65</v>
      </c>
      <c r="I11" s="447">
        <v>45778</v>
      </c>
      <c r="J11" s="339">
        <f>H11/12</f>
        <v>0.63750000000000007</v>
      </c>
      <c r="K11" s="1603">
        <v>0</v>
      </c>
      <c r="L11" s="1190">
        <f>L6+J11</f>
        <v>1.2775000000000001</v>
      </c>
      <c r="M11" s="1191">
        <v>0.52</v>
      </c>
      <c r="N11" s="1096"/>
      <c r="O11" s="1604"/>
      <c r="P11" s="1098"/>
      <c r="Q11" s="1098"/>
      <c r="R11" s="1099"/>
      <c r="S11" s="108"/>
      <c r="T11" s="108"/>
      <c r="U11" s="108"/>
      <c r="V11" s="108"/>
      <c r="W11" s="108"/>
    </row>
    <row r="12" spans="1:23 1842:1842" ht="19.2">
      <c r="A12" s="450" t="s">
        <v>8</v>
      </c>
      <c r="B12" s="436" t="s">
        <v>283</v>
      </c>
      <c r="C12" s="437">
        <v>1</v>
      </c>
      <c r="D12" s="438" t="s">
        <v>284</v>
      </c>
      <c r="E12" s="439" t="s">
        <v>38</v>
      </c>
      <c r="F12" s="440" t="s">
        <v>106</v>
      </c>
      <c r="G12" s="441" t="s">
        <v>285</v>
      </c>
      <c r="H12" s="462">
        <v>322</v>
      </c>
      <c r="I12" s="449">
        <v>45809</v>
      </c>
      <c r="J12" s="442">
        <v>27</v>
      </c>
      <c r="K12" s="1884">
        <v>19</v>
      </c>
      <c r="L12" s="1405">
        <f>J12+L7</f>
        <v>81</v>
      </c>
      <c r="M12" s="1406">
        <f>K12+M7</f>
        <v>44</v>
      </c>
      <c r="N12" s="1407"/>
      <c r="O12" s="1408"/>
      <c r="P12" s="1409"/>
      <c r="Q12" s="1409"/>
      <c r="R12" s="1338"/>
    </row>
    <row r="13" spans="1:23 1842:1842" ht="32.4">
      <c r="A13" s="446" t="s">
        <v>8</v>
      </c>
      <c r="B13" s="404" t="s">
        <v>286</v>
      </c>
      <c r="C13" s="405">
        <v>2</v>
      </c>
      <c r="D13" s="406" t="s">
        <v>287</v>
      </c>
      <c r="E13" s="413" t="s">
        <v>288</v>
      </c>
      <c r="F13" s="417" t="s">
        <v>106</v>
      </c>
      <c r="G13" s="418" t="s">
        <v>289</v>
      </c>
      <c r="H13" s="457">
        <v>0</v>
      </c>
      <c r="I13" s="445">
        <v>45809</v>
      </c>
      <c r="J13" s="410">
        <v>4</v>
      </c>
      <c r="K13" s="1086">
        <v>2</v>
      </c>
      <c r="L13" s="1087">
        <f>L8+J13</f>
        <v>12</v>
      </c>
      <c r="M13" s="1088">
        <f>K13+M8</f>
        <v>7</v>
      </c>
      <c r="N13" s="1077"/>
      <c r="O13" s="1078"/>
      <c r="P13" s="1079"/>
      <c r="Q13" s="1079"/>
      <c r="R13" s="1080"/>
      <c r="S13" s="108"/>
      <c r="T13" s="108"/>
      <c r="U13" s="108"/>
      <c r="V13" s="108"/>
      <c r="W13" s="108"/>
    </row>
    <row r="14" spans="1:23 1842:1842" ht="19.2">
      <c r="A14" s="446" t="s">
        <v>8</v>
      </c>
      <c r="B14" s="404" t="s">
        <v>292</v>
      </c>
      <c r="C14" s="405">
        <v>3</v>
      </c>
      <c r="D14" s="443" t="s">
        <v>41</v>
      </c>
      <c r="E14" s="413" t="s">
        <v>133</v>
      </c>
      <c r="F14" s="417" t="s">
        <v>105</v>
      </c>
      <c r="G14" s="418" t="s">
        <v>43</v>
      </c>
      <c r="H14" s="458">
        <v>1</v>
      </c>
      <c r="I14" s="445">
        <v>45809</v>
      </c>
      <c r="J14" s="411">
        <v>1</v>
      </c>
      <c r="K14" s="1082">
        <v>1</v>
      </c>
      <c r="L14" s="1083">
        <v>1</v>
      </c>
      <c r="M14" s="1082">
        <v>1</v>
      </c>
      <c r="N14" s="1077"/>
      <c r="O14" s="1078"/>
      <c r="P14" s="1079"/>
      <c r="Q14" s="1079"/>
      <c r="R14" s="1080"/>
      <c r="S14" s="108"/>
      <c r="T14" s="108"/>
      <c r="U14" s="108"/>
      <c r="V14" s="108"/>
      <c r="W14" s="108"/>
    </row>
    <row r="15" spans="1:23 1842:1842" ht="38.4">
      <c r="A15" s="446" t="s">
        <v>8</v>
      </c>
      <c r="B15" s="404" t="s">
        <v>293</v>
      </c>
      <c r="C15" s="405">
        <v>4</v>
      </c>
      <c r="D15" s="443" t="s">
        <v>41</v>
      </c>
      <c r="E15" s="413" t="s">
        <v>38</v>
      </c>
      <c r="F15" s="417" t="s">
        <v>105</v>
      </c>
      <c r="G15" s="418" t="s">
        <v>43</v>
      </c>
      <c r="H15" s="457">
        <v>0</v>
      </c>
      <c r="I15" s="445">
        <v>45809</v>
      </c>
      <c r="J15" s="1059">
        <f t="shared" ref="J15" si="2">IF(H15=0,0,IF(H15="-","-",ROUND(H15/12,2)))</f>
        <v>0</v>
      </c>
      <c r="K15" s="1074">
        <v>0</v>
      </c>
      <c r="L15" s="1188">
        <v>0</v>
      </c>
      <c r="M15" s="1076">
        <v>0</v>
      </c>
      <c r="N15" s="1077"/>
      <c r="O15" s="1078"/>
      <c r="P15" s="1079"/>
      <c r="Q15" s="1079"/>
      <c r="R15" s="1080"/>
      <c r="S15" s="108"/>
      <c r="T15" s="108"/>
      <c r="U15" s="108"/>
      <c r="V15" s="108"/>
      <c r="W15" s="108"/>
    </row>
    <row r="16" spans="1:23 1842:1842" ht="87">
      <c r="A16" s="448" t="s">
        <v>8</v>
      </c>
      <c r="B16" s="432" t="s">
        <v>294</v>
      </c>
      <c r="C16" s="433">
        <v>5</v>
      </c>
      <c r="D16" s="444" t="s">
        <v>41</v>
      </c>
      <c r="E16" s="451" t="s">
        <v>136</v>
      </c>
      <c r="F16" s="423" t="s">
        <v>110</v>
      </c>
      <c r="G16" s="424" t="s">
        <v>134</v>
      </c>
      <c r="H16" s="459">
        <v>7.65</v>
      </c>
      <c r="I16" s="447">
        <v>45809</v>
      </c>
      <c r="J16" s="328">
        <f>H16/12</f>
        <v>0.63750000000000007</v>
      </c>
      <c r="K16" s="1196">
        <v>0.43</v>
      </c>
      <c r="L16" s="1605">
        <f>L11+J16</f>
        <v>1.915</v>
      </c>
      <c r="M16" s="1198">
        <v>0.87</v>
      </c>
      <c r="N16" s="1070"/>
      <c r="O16" s="1071" t="s">
        <v>298</v>
      </c>
      <c r="P16" s="1072"/>
      <c r="Q16" s="1072"/>
      <c r="R16" s="1073"/>
      <c r="S16" s="108"/>
      <c r="T16" s="108"/>
      <c r="U16" s="108"/>
      <c r="V16" s="108"/>
      <c r="W16" s="108"/>
    </row>
    <row r="17" spans="1:23" ht="19.2">
      <c r="A17" s="450" t="s">
        <v>8</v>
      </c>
      <c r="B17" s="436" t="s">
        <v>283</v>
      </c>
      <c r="C17" s="437">
        <v>1</v>
      </c>
      <c r="D17" s="438" t="s">
        <v>284</v>
      </c>
      <c r="E17" s="439" t="s">
        <v>38</v>
      </c>
      <c r="F17" s="429" t="s">
        <v>106</v>
      </c>
      <c r="G17" s="430" t="s">
        <v>285</v>
      </c>
      <c r="H17" s="460">
        <v>322</v>
      </c>
      <c r="I17" s="449">
        <v>45839</v>
      </c>
      <c r="J17" s="431">
        <v>27</v>
      </c>
      <c r="K17" s="1885">
        <v>8</v>
      </c>
      <c r="L17" s="1090">
        <f>J17+L12</f>
        <v>108</v>
      </c>
      <c r="M17" s="1881">
        <f>K17+M12</f>
        <v>52</v>
      </c>
      <c r="N17" s="1092"/>
      <c r="O17" s="1093"/>
      <c r="P17" s="1094"/>
      <c r="Q17" s="1094"/>
      <c r="R17" s="1095"/>
    </row>
    <row r="18" spans="1:23" ht="32.4">
      <c r="A18" s="446" t="s">
        <v>8</v>
      </c>
      <c r="B18" s="404" t="s">
        <v>286</v>
      </c>
      <c r="C18" s="405">
        <v>2</v>
      </c>
      <c r="D18" s="406" t="s">
        <v>287</v>
      </c>
      <c r="E18" s="413" t="s">
        <v>288</v>
      </c>
      <c r="F18" s="417" t="s">
        <v>106</v>
      </c>
      <c r="G18" s="418" t="s">
        <v>289</v>
      </c>
      <c r="H18" s="457">
        <v>0</v>
      </c>
      <c r="I18" s="445">
        <v>45839</v>
      </c>
      <c r="J18" s="410">
        <v>4</v>
      </c>
      <c r="K18" s="1086">
        <v>2</v>
      </c>
      <c r="L18" s="1087">
        <f>L13+J18</f>
        <v>16</v>
      </c>
      <c r="M18" s="1088">
        <f>K18+M13</f>
        <v>9</v>
      </c>
      <c r="N18" s="1077"/>
      <c r="O18" s="1078"/>
      <c r="P18" s="1079"/>
      <c r="Q18" s="1079"/>
      <c r="R18" s="1080"/>
      <c r="S18" s="108"/>
      <c r="T18" s="108"/>
      <c r="U18" s="108"/>
      <c r="V18" s="108"/>
      <c r="W18" s="108"/>
    </row>
    <row r="19" spans="1:23" ht="19.2">
      <c r="A19" s="446" t="s">
        <v>8</v>
      </c>
      <c r="B19" s="404" t="s">
        <v>292</v>
      </c>
      <c r="C19" s="405">
        <v>3</v>
      </c>
      <c r="D19" s="406" t="s">
        <v>41</v>
      </c>
      <c r="E19" s="413" t="s">
        <v>133</v>
      </c>
      <c r="F19" s="417" t="s">
        <v>105</v>
      </c>
      <c r="G19" s="418" t="s">
        <v>43</v>
      </c>
      <c r="H19" s="458">
        <v>1</v>
      </c>
      <c r="I19" s="445">
        <v>45839</v>
      </c>
      <c r="J19" s="411">
        <v>1</v>
      </c>
      <c r="K19" s="1082">
        <v>1</v>
      </c>
      <c r="L19" s="1083">
        <v>1</v>
      </c>
      <c r="M19" s="1082">
        <v>1</v>
      </c>
      <c r="N19" s="1084">
        <v>1</v>
      </c>
      <c r="O19" s="1078"/>
      <c r="P19" s="1079"/>
      <c r="Q19" s="1079"/>
      <c r="R19" s="1080"/>
      <c r="S19" s="108"/>
      <c r="T19" s="108"/>
      <c r="U19" s="108"/>
      <c r="V19" s="108"/>
      <c r="W19" s="108"/>
    </row>
    <row r="20" spans="1:23" ht="38.4">
      <c r="A20" s="446" t="s">
        <v>8</v>
      </c>
      <c r="B20" s="404" t="s">
        <v>293</v>
      </c>
      <c r="C20" s="405">
        <v>4</v>
      </c>
      <c r="D20" s="406" t="s">
        <v>41</v>
      </c>
      <c r="E20" s="413" t="s">
        <v>38</v>
      </c>
      <c r="F20" s="417" t="s">
        <v>105</v>
      </c>
      <c r="G20" s="418" t="s">
        <v>43</v>
      </c>
      <c r="H20" s="457">
        <v>0</v>
      </c>
      <c r="I20" s="445">
        <v>45839</v>
      </c>
      <c r="J20" s="255">
        <f t="shared" ref="J20" si="3">IF(H20=0,0,IF(H20="-","-",ROUND(H20/12,2)))</f>
        <v>0</v>
      </c>
      <c r="K20" s="1600">
        <v>0</v>
      </c>
      <c r="L20" s="1188">
        <v>0</v>
      </c>
      <c r="M20" s="1606">
        <v>0</v>
      </c>
      <c r="N20" s="1607">
        <v>0</v>
      </c>
      <c r="O20" s="1277"/>
      <c r="P20" s="1079"/>
      <c r="Q20" s="1079"/>
      <c r="R20" s="1080"/>
      <c r="S20" s="108"/>
      <c r="T20" s="108"/>
      <c r="U20" s="108"/>
      <c r="V20" s="108"/>
      <c r="W20" s="108"/>
    </row>
    <row r="21" spans="1:23" ht="34.799999999999997">
      <c r="A21" s="448" t="s">
        <v>8</v>
      </c>
      <c r="B21" s="432" t="s">
        <v>294</v>
      </c>
      <c r="C21" s="433">
        <v>5</v>
      </c>
      <c r="D21" s="444" t="s">
        <v>41</v>
      </c>
      <c r="E21" s="451" t="s">
        <v>136</v>
      </c>
      <c r="F21" s="434" t="s">
        <v>110</v>
      </c>
      <c r="G21" s="435" t="s">
        <v>134</v>
      </c>
      <c r="H21" s="1192">
        <v>7.65</v>
      </c>
      <c r="I21" s="447">
        <v>45839</v>
      </c>
      <c r="J21" s="339">
        <f>H21/12</f>
        <v>0.63750000000000007</v>
      </c>
      <c r="K21" s="1608">
        <v>0.63</v>
      </c>
      <c r="L21" s="1190">
        <f>L16+J21</f>
        <v>2.5525000000000002</v>
      </c>
      <c r="M21" s="1191">
        <v>1.5</v>
      </c>
      <c r="N21" s="1609"/>
      <c r="O21" s="1097" t="s">
        <v>299</v>
      </c>
      <c r="P21" s="1098"/>
      <c r="Q21" s="1098"/>
      <c r="R21" s="1099"/>
      <c r="S21" s="108"/>
      <c r="T21" s="108"/>
      <c r="U21" s="108"/>
      <c r="V21" s="108"/>
      <c r="W21" s="108"/>
    </row>
    <row r="22" spans="1:23" ht="19.2">
      <c r="A22" s="450" t="s">
        <v>8</v>
      </c>
      <c r="B22" s="436" t="s">
        <v>283</v>
      </c>
      <c r="C22" s="437">
        <v>1</v>
      </c>
      <c r="D22" s="438" t="s">
        <v>284</v>
      </c>
      <c r="E22" s="439" t="s">
        <v>38</v>
      </c>
      <c r="F22" s="429" t="s">
        <v>106</v>
      </c>
      <c r="G22" s="430" t="s">
        <v>285</v>
      </c>
      <c r="H22" s="460">
        <v>322</v>
      </c>
      <c r="I22" s="449">
        <v>45870</v>
      </c>
      <c r="J22" s="431">
        <v>27</v>
      </c>
      <c r="K22" s="1404">
        <v>18</v>
      </c>
      <c r="L22" s="1090">
        <f>J22+L17</f>
        <v>135</v>
      </c>
      <c r="M22" s="1881">
        <f>K22+M17</f>
        <v>70</v>
      </c>
      <c r="N22" s="1092">
        <v>7</v>
      </c>
      <c r="O22" s="1093"/>
      <c r="P22" s="1094"/>
      <c r="Q22" s="1094"/>
      <c r="R22" s="1095"/>
    </row>
    <row r="23" spans="1:23" ht="32.4">
      <c r="A23" s="446" t="s">
        <v>8</v>
      </c>
      <c r="B23" s="404" t="s">
        <v>286</v>
      </c>
      <c r="C23" s="405">
        <v>2</v>
      </c>
      <c r="D23" s="406" t="s">
        <v>287</v>
      </c>
      <c r="E23" s="413" t="s">
        <v>288</v>
      </c>
      <c r="F23" s="417" t="s">
        <v>106</v>
      </c>
      <c r="G23" s="418" t="s">
        <v>289</v>
      </c>
      <c r="H23" s="457">
        <v>0</v>
      </c>
      <c r="I23" s="445">
        <v>45870</v>
      </c>
      <c r="J23" s="410">
        <v>3</v>
      </c>
      <c r="K23" s="1086">
        <v>3</v>
      </c>
      <c r="L23" s="1087">
        <f>L18+J23</f>
        <v>19</v>
      </c>
      <c r="M23" s="1088">
        <f>K23+M18</f>
        <v>12</v>
      </c>
      <c r="N23" s="1077">
        <v>1</v>
      </c>
      <c r="O23" s="1078"/>
      <c r="P23" s="1079"/>
      <c r="Q23" s="1079"/>
      <c r="R23" s="1080"/>
      <c r="S23" s="108"/>
      <c r="T23" s="108"/>
      <c r="U23" s="108"/>
      <c r="V23" s="108"/>
      <c r="W23" s="108"/>
    </row>
    <row r="24" spans="1:23" ht="19.2">
      <c r="A24" s="446" t="s">
        <v>8</v>
      </c>
      <c r="B24" s="404" t="s">
        <v>292</v>
      </c>
      <c r="C24" s="405">
        <v>3</v>
      </c>
      <c r="D24" s="443" t="s">
        <v>41</v>
      </c>
      <c r="E24" s="413" t="s">
        <v>133</v>
      </c>
      <c r="F24" s="417" t="s">
        <v>105</v>
      </c>
      <c r="G24" s="418" t="s">
        <v>43</v>
      </c>
      <c r="H24" s="458">
        <v>1</v>
      </c>
      <c r="I24" s="445">
        <v>45870</v>
      </c>
      <c r="J24" s="1081">
        <v>1</v>
      </c>
      <c r="K24" s="1082">
        <v>1</v>
      </c>
      <c r="L24" s="1083">
        <v>1</v>
      </c>
      <c r="M24" s="1082">
        <v>1</v>
      </c>
      <c r="N24" s="1084">
        <v>1</v>
      </c>
      <c r="O24" s="1078"/>
      <c r="P24" s="1079"/>
      <c r="Q24" s="1079"/>
      <c r="R24" s="1080"/>
      <c r="S24" s="108"/>
      <c r="T24" s="108"/>
      <c r="U24" s="108"/>
      <c r="V24" s="108"/>
      <c r="W24" s="108"/>
    </row>
    <row r="25" spans="1:23" ht="38.4">
      <c r="A25" s="446" t="s">
        <v>8</v>
      </c>
      <c r="B25" s="404" t="s">
        <v>293</v>
      </c>
      <c r="C25" s="405">
        <v>4</v>
      </c>
      <c r="D25" s="443" t="s">
        <v>41</v>
      </c>
      <c r="E25" s="413" t="s">
        <v>38</v>
      </c>
      <c r="F25" s="417" t="s">
        <v>105</v>
      </c>
      <c r="G25" s="418" t="s">
        <v>43</v>
      </c>
      <c r="H25" s="457">
        <v>0</v>
      </c>
      <c r="I25" s="445">
        <v>45870</v>
      </c>
      <c r="J25" s="255">
        <f t="shared" ref="J25" si="4">IF(H25=0,0,IF(H25="-","-",ROUND(H25/12,2)))</f>
        <v>0</v>
      </c>
      <c r="K25" s="1600">
        <v>0</v>
      </c>
      <c r="L25" s="1120">
        <v>0</v>
      </c>
      <c r="M25" s="1121">
        <v>0</v>
      </c>
      <c r="N25" s="1610">
        <v>0</v>
      </c>
      <c r="O25" s="1078"/>
      <c r="P25" s="1079"/>
      <c r="Q25" s="1079"/>
      <c r="R25" s="1080"/>
      <c r="S25" s="108"/>
      <c r="T25" s="108"/>
      <c r="U25" s="108"/>
      <c r="V25" s="108"/>
      <c r="W25" s="108"/>
    </row>
    <row r="26" spans="1:23" ht="104.4">
      <c r="A26" s="448" t="s">
        <v>8</v>
      </c>
      <c r="B26" s="432" t="s">
        <v>294</v>
      </c>
      <c r="C26" s="433">
        <v>5</v>
      </c>
      <c r="D26" s="444" t="s">
        <v>41</v>
      </c>
      <c r="E26" s="451" t="s">
        <v>136</v>
      </c>
      <c r="F26" s="434" t="s">
        <v>110</v>
      </c>
      <c r="G26" s="435" t="s">
        <v>134</v>
      </c>
      <c r="H26" s="1192">
        <v>7.65</v>
      </c>
      <c r="I26" s="447">
        <v>45870</v>
      </c>
      <c r="J26" s="339">
        <f>H26/12</f>
        <v>0.63750000000000007</v>
      </c>
      <c r="K26" s="1603">
        <v>0.51</v>
      </c>
      <c r="L26" s="1190">
        <f>L21+J26</f>
        <v>3.1900000000000004</v>
      </c>
      <c r="M26" s="1191">
        <v>2.0099999999999998</v>
      </c>
      <c r="N26" s="1611"/>
      <c r="O26" s="1097" t="s">
        <v>300</v>
      </c>
      <c r="P26" s="1098"/>
      <c r="Q26" s="1098"/>
      <c r="R26" s="1099"/>
      <c r="S26" s="108"/>
      <c r="T26" s="108"/>
      <c r="U26" s="108"/>
      <c r="V26" s="108"/>
      <c r="W26" s="108"/>
    </row>
    <row r="27" spans="1:23" ht="19.2">
      <c r="A27" s="450" t="s">
        <v>8</v>
      </c>
      <c r="B27" s="436" t="s">
        <v>283</v>
      </c>
      <c r="C27" s="437">
        <v>1</v>
      </c>
      <c r="D27" s="438" t="s">
        <v>284</v>
      </c>
      <c r="E27" s="439" t="s">
        <v>38</v>
      </c>
      <c r="F27" s="429" t="s">
        <v>106</v>
      </c>
      <c r="G27" s="430" t="s">
        <v>285</v>
      </c>
      <c r="H27" s="460">
        <v>322</v>
      </c>
      <c r="I27" s="449">
        <v>45901</v>
      </c>
      <c r="J27" s="431">
        <v>27</v>
      </c>
      <c r="K27" s="1885">
        <v>13</v>
      </c>
      <c r="L27" s="1090">
        <f>J27+L22</f>
        <v>162</v>
      </c>
      <c r="M27" s="1091">
        <f>K27+M22</f>
        <v>83</v>
      </c>
      <c r="N27" s="1092"/>
      <c r="O27" s="1093"/>
      <c r="P27" s="1094"/>
      <c r="Q27" s="1094"/>
      <c r="R27" s="1095"/>
    </row>
    <row r="28" spans="1:23" ht="32.4">
      <c r="A28" s="446" t="s">
        <v>8</v>
      </c>
      <c r="B28" s="404" t="s">
        <v>286</v>
      </c>
      <c r="C28" s="405">
        <v>2</v>
      </c>
      <c r="D28" s="406" t="s">
        <v>287</v>
      </c>
      <c r="E28" s="413" t="s">
        <v>288</v>
      </c>
      <c r="F28" s="417" t="s">
        <v>106</v>
      </c>
      <c r="G28" s="418" t="s">
        <v>289</v>
      </c>
      <c r="H28" s="457">
        <v>0</v>
      </c>
      <c r="I28" s="445">
        <v>45901</v>
      </c>
      <c r="J28" s="410">
        <v>3</v>
      </c>
      <c r="K28" s="1086">
        <v>3</v>
      </c>
      <c r="L28" s="1087">
        <f>L23+J28</f>
        <v>22</v>
      </c>
      <c r="M28" s="1088">
        <f>K28+M23</f>
        <v>15</v>
      </c>
      <c r="N28" s="1077"/>
      <c r="O28" s="1078"/>
      <c r="P28" s="1079"/>
      <c r="Q28" s="1079"/>
      <c r="R28" s="1080"/>
      <c r="S28" s="108"/>
      <c r="T28" s="108"/>
      <c r="U28" s="108"/>
      <c r="V28" s="108"/>
      <c r="W28" s="108"/>
    </row>
    <row r="29" spans="1:23" ht="19.2">
      <c r="A29" s="446" t="s">
        <v>8</v>
      </c>
      <c r="B29" s="404" t="s">
        <v>292</v>
      </c>
      <c r="C29" s="405">
        <v>3</v>
      </c>
      <c r="D29" s="406" t="s">
        <v>41</v>
      </c>
      <c r="E29" s="413" t="s">
        <v>133</v>
      </c>
      <c r="F29" s="417" t="s">
        <v>105</v>
      </c>
      <c r="G29" s="418" t="s">
        <v>43</v>
      </c>
      <c r="H29" s="458">
        <v>1</v>
      </c>
      <c r="I29" s="445">
        <v>45901</v>
      </c>
      <c r="J29" s="411">
        <v>1</v>
      </c>
      <c r="K29" s="1082">
        <v>1</v>
      </c>
      <c r="L29" s="1083">
        <v>1</v>
      </c>
      <c r="M29" s="1082">
        <v>1</v>
      </c>
      <c r="N29" s="1077"/>
      <c r="O29" s="1078"/>
      <c r="P29" s="1079"/>
      <c r="Q29" s="1079"/>
      <c r="R29" s="1080"/>
      <c r="S29" s="108"/>
      <c r="T29" s="108"/>
      <c r="U29" s="108"/>
      <c r="V29" s="108"/>
      <c r="W29" s="108"/>
    </row>
    <row r="30" spans="1:23" ht="38.4">
      <c r="A30" s="446" t="s">
        <v>8</v>
      </c>
      <c r="B30" s="404" t="s">
        <v>293</v>
      </c>
      <c r="C30" s="405">
        <v>4</v>
      </c>
      <c r="D30" s="406" t="s">
        <v>41</v>
      </c>
      <c r="E30" s="413" t="s">
        <v>38</v>
      </c>
      <c r="F30" s="417" t="s">
        <v>105</v>
      </c>
      <c r="G30" s="418" t="s">
        <v>43</v>
      </c>
      <c r="H30" s="457">
        <v>0</v>
      </c>
      <c r="I30" s="445">
        <v>45901</v>
      </c>
      <c r="J30" s="255">
        <f t="shared" ref="J30" si="5">IF(H30=0,0,IF(H30="-","-",ROUND(H30/12,2)))</f>
        <v>0</v>
      </c>
      <c r="K30" s="1600">
        <v>0</v>
      </c>
      <c r="L30" s="1120">
        <v>0</v>
      </c>
      <c r="M30" s="1121">
        <v>0</v>
      </c>
      <c r="N30" s="1077"/>
      <c r="O30" s="1078"/>
      <c r="P30" s="1079"/>
      <c r="Q30" s="1079"/>
      <c r="R30" s="1080"/>
      <c r="S30" s="108"/>
      <c r="T30" s="108"/>
      <c r="U30" s="108"/>
      <c r="V30" s="108"/>
      <c r="W30" s="108"/>
    </row>
    <row r="31" spans="1:23" ht="19.2">
      <c r="A31" s="448" t="s">
        <v>8</v>
      </c>
      <c r="B31" s="432" t="s">
        <v>294</v>
      </c>
      <c r="C31" s="433">
        <v>5</v>
      </c>
      <c r="D31" s="444" t="s">
        <v>41</v>
      </c>
      <c r="E31" s="451" t="s">
        <v>136</v>
      </c>
      <c r="F31" s="423" t="s">
        <v>110</v>
      </c>
      <c r="G31" s="424" t="s">
        <v>134</v>
      </c>
      <c r="H31" s="1193">
        <v>7.65</v>
      </c>
      <c r="I31" s="447">
        <v>45901</v>
      </c>
      <c r="J31" s="328">
        <f>H31/12</f>
        <v>0.63750000000000007</v>
      </c>
      <c r="K31" s="1196">
        <v>0.16</v>
      </c>
      <c r="L31" s="1197">
        <f>L26+J31</f>
        <v>3.8275000000000006</v>
      </c>
      <c r="M31" s="1198">
        <v>2.15</v>
      </c>
      <c r="N31" s="1070"/>
      <c r="O31" s="1612" t="s">
        <v>301</v>
      </c>
      <c r="P31" s="1072"/>
      <c r="Q31" s="1072"/>
      <c r="R31" s="1073"/>
      <c r="S31" s="108"/>
      <c r="T31" s="108"/>
      <c r="U31" s="108"/>
      <c r="V31" s="108"/>
      <c r="W31" s="108"/>
    </row>
    <row r="32" spans="1:23" ht="19.2">
      <c r="A32" s="450" t="s">
        <v>8</v>
      </c>
      <c r="B32" s="436" t="s">
        <v>283</v>
      </c>
      <c r="C32" s="437">
        <v>1</v>
      </c>
      <c r="D32" s="438" t="s">
        <v>284</v>
      </c>
      <c r="E32" s="439" t="s">
        <v>38</v>
      </c>
      <c r="F32" s="429" t="s">
        <v>106</v>
      </c>
      <c r="G32" s="430" t="s">
        <v>285</v>
      </c>
      <c r="H32" s="460">
        <v>322</v>
      </c>
      <c r="I32" s="449">
        <v>45931</v>
      </c>
      <c r="J32" s="431">
        <v>27</v>
      </c>
      <c r="K32" s="1404">
        <v>11</v>
      </c>
      <c r="L32" s="1090">
        <f>J32+L27</f>
        <v>189</v>
      </c>
      <c r="M32" s="1091">
        <f>K32+M27</f>
        <v>94</v>
      </c>
      <c r="N32" s="1092"/>
      <c r="O32" s="1093"/>
      <c r="P32" s="1094"/>
      <c r="Q32" s="1094"/>
      <c r="R32" s="1095"/>
    </row>
    <row r="33" spans="1:27" ht="32.4">
      <c r="A33" s="446" t="s">
        <v>8</v>
      </c>
      <c r="B33" s="404" t="s">
        <v>286</v>
      </c>
      <c r="C33" s="405">
        <v>2</v>
      </c>
      <c r="D33" s="406" t="s">
        <v>287</v>
      </c>
      <c r="E33" s="413" t="s">
        <v>288</v>
      </c>
      <c r="F33" s="417" t="s">
        <v>106</v>
      </c>
      <c r="G33" s="418" t="s">
        <v>289</v>
      </c>
      <c r="H33" s="457">
        <v>0</v>
      </c>
      <c r="I33" s="445">
        <v>45931</v>
      </c>
      <c r="J33" s="1085">
        <v>2</v>
      </c>
      <c r="K33" s="1086">
        <v>2</v>
      </c>
      <c r="L33" s="1087">
        <f>L28+J33</f>
        <v>24</v>
      </c>
      <c r="M33" s="1088">
        <f>K33+M28</f>
        <v>17</v>
      </c>
      <c r="N33" s="1077"/>
      <c r="O33" s="1078"/>
      <c r="P33" s="1079"/>
      <c r="Q33" s="1079"/>
      <c r="R33" s="1080"/>
      <c r="S33" s="108"/>
      <c r="T33" s="108"/>
      <c r="U33" s="108"/>
      <c r="V33" s="108"/>
      <c r="W33" s="108"/>
    </row>
    <row r="34" spans="1:27" ht="19.2">
      <c r="A34" s="446" t="s">
        <v>8</v>
      </c>
      <c r="B34" s="404" t="s">
        <v>292</v>
      </c>
      <c r="C34" s="405">
        <v>3</v>
      </c>
      <c r="D34" s="443" t="s">
        <v>41</v>
      </c>
      <c r="E34" s="413" t="s">
        <v>133</v>
      </c>
      <c r="F34" s="417" t="s">
        <v>105</v>
      </c>
      <c r="G34" s="418" t="s">
        <v>43</v>
      </c>
      <c r="H34" s="458">
        <v>1</v>
      </c>
      <c r="I34" s="445">
        <v>45931</v>
      </c>
      <c r="J34" s="411">
        <v>1</v>
      </c>
      <c r="K34" s="1082">
        <v>1</v>
      </c>
      <c r="L34" s="1083">
        <v>1</v>
      </c>
      <c r="M34" s="1082">
        <v>1</v>
      </c>
      <c r="N34" s="1077"/>
      <c r="O34" s="1078"/>
      <c r="P34" s="1079"/>
      <c r="Q34" s="1079"/>
      <c r="R34" s="1080"/>
      <c r="S34" s="108"/>
      <c r="T34" s="108"/>
      <c r="U34" s="108"/>
      <c r="V34" s="108"/>
      <c r="W34" s="108"/>
    </row>
    <row r="35" spans="1:27" ht="38.4">
      <c r="A35" s="446" t="s">
        <v>8</v>
      </c>
      <c r="B35" s="404" t="s">
        <v>293</v>
      </c>
      <c r="C35" s="405">
        <v>4</v>
      </c>
      <c r="D35" s="443" t="s">
        <v>41</v>
      </c>
      <c r="E35" s="413" t="s">
        <v>38</v>
      </c>
      <c r="F35" s="417" t="s">
        <v>105</v>
      </c>
      <c r="G35" s="418" t="s">
        <v>43</v>
      </c>
      <c r="H35" s="457">
        <v>0</v>
      </c>
      <c r="I35" s="445">
        <v>45931</v>
      </c>
      <c r="J35" s="255">
        <f t="shared" ref="J35" si="6">IF(H35=0,0,IF(H35="-","-",ROUND(H35/12,2)))</f>
        <v>0</v>
      </c>
      <c r="K35" s="1600">
        <v>0</v>
      </c>
      <c r="L35" s="1120">
        <v>0</v>
      </c>
      <c r="M35" s="1121">
        <v>0</v>
      </c>
      <c r="N35" s="1077"/>
      <c r="O35" s="1078"/>
      <c r="P35" s="1079"/>
      <c r="Q35" s="1079"/>
      <c r="R35" s="1080"/>
      <c r="S35" s="108"/>
      <c r="T35" s="108"/>
      <c r="U35" s="108"/>
      <c r="V35" s="108"/>
      <c r="W35" s="108"/>
    </row>
    <row r="36" spans="1:27" ht="52.2">
      <c r="A36" s="448" t="s">
        <v>8</v>
      </c>
      <c r="B36" s="432" t="s">
        <v>294</v>
      </c>
      <c r="C36" s="433">
        <v>5</v>
      </c>
      <c r="D36" s="444" t="s">
        <v>41</v>
      </c>
      <c r="E36" s="451" t="s">
        <v>136</v>
      </c>
      <c r="F36" s="434" t="s">
        <v>110</v>
      </c>
      <c r="G36" s="435" t="s">
        <v>134</v>
      </c>
      <c r="H36" s="1192">
        <v>7.65</v>
      </c>
      <c r="I36" s="447">
        <v>45931</v>
      </c>
      <c r="J36" s="339">
        <f>H36/12</f>
        <v>0.63750000000000007</v>
      </c>
      <c r="K36" s="1603">
        <v>0.09</v>
      </c>
      <c r="L36" s="1190">
        <f>L31+J36</f>
        <v>4.4650000000000007</v>
      </c>
      <c r="M36" s="1191">
        <f>M31+K36</f>
        <v>2.2399999999999998</v>
      </c>
      <c r="N36" s="1096"/>
      <c r="O36" s="1097" t="s">
        <v>302</v>
      </c>
      <c r="P36" s="1098"/>
      <c r="Q36" s="1098"/>
      <c r="R36" s="1099"/>
      <c r="S36" s="108"/>
      <c r="T36" s="108"/>
      <c r="U36" s="108"/>
      <c r="V36" s="108"/>
      <c r="W36" s="108"/>
    </row>
    <row r="37" spans="1:27" ht="19.2">
      <c r="A37" s="450" t="s">
        <v>8</v>
      </c>
      <c r="B37" s="1874" t="s">
        <v>283</v>
      </c>
      <c r="C37" s="437">
        <v>1</v>
      </c>
      <c r="D37" s="438" t="s">
        <v>284</v>
      </c>
      <c r="E37" s="439" t="s">
        <v>38</v>
      </c>
      <c r="F37" s="429" t="s">
        <v>106</v>
      </c>
      <c r="G37" s="430" t="s">
        <v>285</v>
      </c>
      <c r="H37" s="460">
        <v>322</v>
      </c>
      <c r="I37" s="449">
        <v>45962</v>
      </c>
      <c r="J37" s="431">
        <v>27</v>
      </c>
      <c r="K37" s="1885">
        <v>8</v>
      </c>
      <c r="L37" s="1090">
        <f>J37+L32</f>
        <v>216</v>
      </c>
      <c r="M37" s="1881">
        <f>K37+M32</f>
        <v>102</v>
      </c>
      <c r="N37" s="1092"/>
      <c r="O37" s="1093"/>
      <c r="P37" s="1094"/>
      <c r="Q37" s="1094"/>
      <c r="R37" s="1095"/>
    </row>
    <row r="38" spans="1:27" ht="32.4">
      <c r="A38" s="446" t="s">
        <v>8</v>
      </c>
      <c r="B38" s="1875" t="s">
        <v>286</v>
      </c>
      <c r="C38" s="405">
        <v>2</v>
      </c>
      <c r="D38" s="406" t="s">
        <v>287</v>
      </c>
      <c r="E38" s="413" t="s">
        <v>288</v>
      </c>
      <c r="F38" s="417" t="s">
        <v>106</v>
      </c>
      <c r="G38" s="418" t="s">
        <v>289</v>
      </c>
      <c r="H38" s="457">
        <v>0</v>
      </c>
      <c r="I38" s="445">
        <v>45962</v>
      </c>
      <c r="J38" s="410">
        <v>2</v>
      </c>
      <c r="K38" s="1086">
        <v>2</v>
      </c>
      <c r="L38" s="1087">
        <f>L33+J38</f>
        <v>26</v>
      </c>
      <c r="M38" s="1088">
        <f>K38+M33</f>
        <v>19</v>
      </c>
      <c r="N38" s="1077"/>
      <c r="O38" s="1078"/>
      <c r="P38" s="1079"/>
      <c r="Q38" s="1079"/>
      <c r="R38" s="1080"/>
      <c r="S38" s="108"/>
      <c r="T38" s="108"/>
      <c r="U38" s="108"/>
      <c r="V38" s="108"/>
      <c r="W38" s="108"/>
    </row>
    <row r="39" spans="1:27" ht="19.2">
      <c r="A39" s="446" t="s">
        <v>8</v>
      </c>
      <c r="B39" s="1875" t="s">
        <v>292</v>
      </c>
      <c r="C39" s="405">
        <v>3</v>
      </c>
      <c r="D39" s="406" t="s">
        <v>41</v>
      </c>
      <c r="E39" s="413" t="s">
        <v>133</v>
      </c>
      <c r="F39" s="417" t="s">
        <v>105</v>
      </c>
      <c r="G39" s="418" t="s">
        <v>43</v>
      </c>
      <c r="H39" s="458">
        <v>1</v>
      </c>
      <c r="I39" s="445">
        <v>45962</v>
      </c>
      <c r="J39" s="411">
        <v>1</v>
      </c>
      <c r="K39" s="1082">
        <v>1</v>
      </c>
      <c r="L39" s="1083">
        <v>1</v>
      </c>
      <c r="M39" s="1082">
        <v>1</v>
      </c>
      <c r="N39" s="1084">
        <v>1</v>
      </c>
      <c r="O39" s="1078"/>
      <c r="P39" s="1079"/>
      <c r="Q39" s="1079"/>
      <c r="R39" s="1080"/>
      <c r="S39" s="108"/>
      <c r="T39" s="108"/>
      <c r="U39" s="108"/>
      <c r="V39" s="108"/>
      <c r="W39" s="108"/>
    </row>
    <row r="40" spans="1:27" ht="19.2">
      <c r="A40" s="446" t="s">
        <v>8</v>
      </c>
      <c r="B40" s="1875" t="s">
        <v>293</v>
      </c>
      <c r="C40" s="405">
        <v>4</v>
      </c>
      <c r="D40" s="406" t="s">
        <v>41</v>
      </c>
      <c r="E40" s="413" t="s">
        <v>38</v>
      </c>
      <c r="F40" s="417" t="s">
        <v>105</v>
      </c>
      <c r="G40" s="418" t="s">
        <v>43</v>
      </c>
      <c r="H40" s="457">
        <v>0</v>
      </c>
      <c r="I40" s="445">
        <v>45962</v>
      </c>
      <c r="J40" s="255">
        <f t="shared" ref="J40" si="7">IF(H40=0,0,IF(H40="-","-",ROUND(H40/12,2)))</f>
        <v>0</v>
      </c>
      <c r="K40" s="1600">
        <v>0</v>
      </c>
      <c r="L40" s="1120">
        <v>0</v>
      </c>
      <c r="M40" s="1121">
        <v>0</v>
      </c>
      <c r="N40" s="1077">
        <v>0</v>
      </c>
      <c r="O40" s="1078"/>
      <c r="P40" s="1079"/>
      <c r="Q40" s="1079"/>
      <c r="R40" s="1080"/>
      <c r="S40" s="108"/>
      <c r="T40" s="108"/>
      <c r="U40" s="108"/>
      <c r="V40" s="108"/>
      <c r="W40" s="108"/>
    </row>
    <row r="41" spans="1:27" ht="52.2">
      <c r="A41" s="448" t="s">
        <v>8</v>
      </c>
      <c r="B41" s="1876" t="s">
        <v>294</v>
      </c>
      <c r="C41" s="433">
        <v>5</v>
      </c>
      <c r="D41" s="444" t="s">
        <v>41</v>
      </c>
      <c r="E41" s="451" t="s">
        <v>136</v>
      </c>
      <c r="F41" s="434" t="s">
        <v>110</v>
      </c>
      <c r="G41" s="435" t="s">
        <v>134</v>
      </c>
      <c r="H41" s="1192">
        <v>7.65</v>
      </c>
      <c r="I41" s="447">
        <v>45962</v>
      </c>
      <c r="J41" s="339">
        <f>H41/12</f>
        <v>0.63750000000000007</v>
      </c>
      <c r="K41" s="1603">
        <v>0.06</v>
      </c>
      <c r="L41" s="1190">
        <f>L36+J41</f>
        <v>5.1025000000000009</v>
      </c>
      <c r="M41" s="1191">
        <f>M36+K41</f>
        <v>2.2999999999999998</v>
      </c>
      <c r="N41" s="1096"/>
      <c r="O41" s="1097" t="s">
        <v>303</v>
      </c>
      <c r="P41" s="1098"/>
      <c r="Q41" s="1098"/>
      <c r="R41" s="1099"/>
      <c r="S41" s="108"/>
      <c r="T41" s="108"/>
      <c r="U41" s="108"/>
      <c r="V41" s="108"/>
      <c r="W41" s="108"/>
    </row>
    <row r="42" spans="1:27" ht="19.2">
      <c r="A42" s="450" t="s">
        <v>8</v>
      </c>
      <c r="B42" s="1874" t="s">
        <v>283</v>
      </c>
      <c r="C42" s="437">
        <v>1</v>
      </c>
      <c r="D42" s="438" t="s">
        <v>284</v>
      </c>
      <c r="E42" s="439" t="s">
        <v>38</v>
      </c>
      <c r="F42" s="429" t="s">
        <v>106</v>
      </c>
      <c r="G42" s="430" t="s">
        <v>285</v>
      </c>
      <c r="H42" s="460">
        <v>322</v>
      </c>
      <c r="I42" s="449">
        <v>45992</v>
      </c>
      <c r="J42" s="1089">
        <v>27</v>
      </c>
      <c r="K42" s="1887">
        <v>4</v>
      </c>
      <c r="L42" s="1090">
        <f>J42+L37</f>
        <v>243</v>
      </c>
      <c r="M42" s="1881">
        <f>K42+M37</f>
        <v>106</v>
      </c>
      <c r="N42" s="1092"/>
      <c r="O42" s="1093"/>
      <c r="P42" s="1094"/>
      <c r="Q42" s="1094"/>
      <c r="R42" s="1095"/>
    </row>
    <row r="43" spans="1:27" ht="32.4">
      <c r="A43" s="446" t="s">
        <v>8</v>
      </c>
      <c r="B43" s="1875" t="s">
        <v>286</v>
      </c>
      <c r="C43" s="405">
        <v>2</v>
      </c>
      <c r="D43" s="406" t="s">
        <v>287</v>
      </c>
      <c r="E43" s="413" t="s">
        <v>288</v>
      </c>
      <c r="F43" s="417" t="s">
        <v>106</v>
      </c>
      <c r="G43" s="418" t="s">
        <v>289</v>
      </c>
      <c r="H43" s="457">
        <v>0</v>
      </c>
      <c r="I43" s="445">
        <v>45992</v>
      </c>
      <c r="J43" s="410">
        <v>1</v>
      </c>
      <c r="K43" s="1613">
        <v>0</v>
      </c>
      <c r="L43" s="1087">
        <f>L38+J43</f>
        <v>27</v>
      </c>
      <c r="M43" s="1088">
        <f>K43+M38</f>
        <v>19</v>
      </c>
      <c r="N43" s="1077"/>
      <c r="O43" s="1078"/>
      <c r="P43" s="1079"/>
      <c r="Q43" s="1079"/>
      <c r="R43" s="1080"/>
      <c r="S43" s="108"/>
      <c r="T43" s="108"/>
      <c r="U43" s="108"/>
      <c r="V43" s="108"/>
      <c r="W43" s="108"/>
    </row>
    <row r="44" spans="1:27" ht="19.2">
      <c r="A44" s="446" t="s">
        <v>8</v>
      </c>
      <c r="B44" s="1875" t="s">
        <v>292</v>
      </c>
      <c r="C44" s="405">
        <v>3</v>
      </c>
      <c r="D44" s="443" t="s">
        <v>41</v>
      </c>
      <c r="E44" s="413" t="s">
        <v>133</v>
      </c>
      <c r="F44" s="417" t="s">
        <v>105</v>
      </c>
      <c r="G44" s="418" t="s">
        <v>43</v>
      </c>
      <c r="H44" s="458">
        <v>1</v>
      </c>
      <c r="I44" s="445">
        <v>45992</v>
      </c>
      <c r="J44" s="411">
        <v>1</v>
      </c>
      <c r="K44" s="1082">
        <v>1</v>
      </c>
      <c r="L44" s="1083">
        <v>1</v>
      </c>
      <c r="M44" s="1082">
        <v>1</v>
      </c>
      <c r="N44" s="1077"/>
      <c r="O44" s="1078"/>
      <c r="P44" s="1079"/>
      <c r="Q44" s="1079"/>
      <c r="R44" s="1080"/>
      <c r="S44" s="108"/>
      <c r="T44" s="108"/>
      <c r="U44" s="108"/>
      <c r="V44" s="108"/>
      <c r="W44" s="108"/>
    </row>
    <row r="45" spans="1:27" ht="19.2">
      <c r="A45" s="446" t="s">
        <v>8</v>
      </c>
      <c r="B45" s="1875" t="s">
        <v>293</v>
      </c>
      <c r="C45" s="405">
        <v>4</v>
      </c>
      <c r="D45" s="443" t="s">
        <v>41</v>
      </c>
      <c r="E45" s="413" t="s">
        <v>38</v>
      </c>
      <c r="F45" s="417" t="s">
        <v>105</v>
      </c>
      <c r="G45" s="418" t="s">
        <v>43</v>
      </c>
      <c r="H45" s="457">
        <v>0</v>
      </c>
      <c r="I45" s="445">
        <v>45992</v>
      </c>
      <c r="J45" s="255">
        <f t="shared" ref="J45" si="8">IF(H45=0,0,IF(H45="-","-",ROUND(H45/12,2)))</f>
        <v>0</v>
      </c>
      <c r="K45" s="1600">
        <v>0</v>
      </c>
      <c r="L45" s="1120">
        <v>0</v>
      </c>
      <c r="M45" s="1121">
        <v>0</v>
      </c>
      <c r="N45" s="1077"/>
      <c r="O45" s="1078"/>
      <c r="P45" s="1079"/>
      <c r="Q45" s="1079"/>
      <c r="R45" s="1080"/>
      <c r="S45" s="108"/>
      <c r="T45" s="108"/>
      <c r="U45" s="108"/>
      <c r="V45" s="108"/>
      <c r="W45" s="108"/>
      <c r="Z45" s="399" t="s">
        <v>304</v>
      </c>
      <c r="AA45" s="399" t="s">
        <v>305</v>
      </c>
    </row>
    <row r="46" spans="1:27" ht="84" customHeight="1">
      <c r="A46" s="448" t="s">
        <v>8</v>
      </c>
      <c r="B46" s="1876" t="s">
        <v>294</v>
      </c>
      <c r="C46" s="433">
        <v>5</v>
      </c>
      <c r="D46" s="444" t="s">
        <v>41</v>
      </c>
      <c r="E46" s="451" t="s">
        <v>136</v>
      </c>
      <c r="F46" s="423" t="s">
        <v>110</v>
      </c>
      <c r="G46" s="424" t="s">
        <v>134</v>
      </c>
      <c r="H46" s="1193">
        <v>7.65</v>
      </c>
      <c r="I46" s="447">
        <v>45992</v>
      </c>
      <c r="J46" s="328">
        <f>H46/12</f>
        <v>0.63750000000000007</v>
      </c>
      <c r="K46" s="1196">
        <v>0.19</v>
      </c>
      <c r="L46" s="1197">
        <f>L41+J46</f>
        <v>5.7400000000000011</v>
      </c>
      <c r="M46" s="1198">
        <f>M41+K46</f>
        <v>2.4899999999999998</v>
      </c>
      <c r="N46" s="1070"/>
      <c r="O46" s="1071" t="s">
        <v>306</v>
      </c>
      <c r="P46" s="1072"/>
      <c r="Q46" s="1072"/>
      <c r="R46" s="1073"/>
      <c r="S46" s="108"/>
      <c r="T46" s="108"/>
      <c r="U46" s="108"/>
      <c r="V46" s="108"/>
      <c r="W46" s="108"/>
    </row>
    <row r="47" spans="1:27" ht="19.2">
      <c r="A47" s="450" t="s">
        <v>8</v>
      </c>
      <c r="B47" s="1874" t="s">
        <v>283</v>
      </c>
      <c r="C47" s="437">
        <v>1</v>
      </c>
      <c r="D47" s="438" t="s">
        <v>284</v>
      </c>
      <c r="E47" s="439" t="s">
        <v>38</v>
      </c>
      <c r="F47" s="429" t="s">
        <v>106</v>
      </c>
      <c r="G47" s="430" t="s">
        <v>285</v>
      </c>
      <c r="H47" s="460">
        <v>322</v>
      </c>
      <c r="I47" s="449">
        <v>46023</v>
      </c>
      <c r="J47" s="1722">
        <v>27</v>
      </c>
      <c r="K47" s="1886">
        <v>9</v>
      </c>
      <c r="L47" s="1723">
        <f>J47+L42</f>
        <v>270</v>
      </c>
      <c r="M47" s="1882">
        <f>K47+M42</f>
        <v>115</v>
      </c>
      <c r="N47" s="1092"/>
      <c r="O47" s="1093"/>
      <c r="P47" s="1094"/>
      <c r="Q47" s="1094"/>
      <c r="R47" s="1095"/>
    </row>
    <row r="48" spans="1:27" ht="32.4">
      <c r="A48" s="446" t="s">
        <v>8</v>
      </c>
      <c r="B48" s="1875" t="s">
        <v>286</v>
      </c>
      <c r="C48" s="405">
        <v>2</v>
      </c>
      <c r="D48" s="406" t="s">
        <v>287</v>
      </c>
      <c r="E48" s="413" t="s">
        <v>288</v>
      </c>
      <c r="F48" s="417" t="s">
        <v>106</v>
      </c>
      <c r="G48" s="418" t="s">
        <v>289</v>
      </c>
      <c r="H48" s="457">
        <v>0</v>
      </c>
      <c r="I48" s="445">
        <v>46023</v>
      </c>
      <c r="J48" s="1724">
        <v>1</v>
      </c>
      <c r="K48" s="1725">
        <v>1</v>
      </c>
      <c r="L48" s="1726">
        <f>L43+J48</f>
        <v>28</v>
      </c>
      <c r="M48" s="1727">
        <f>K48+M43</f>
        <v>20</v>
      </c>
      <c r="N48" s="1077"/>
      <c r="O48" s="1078"/>
      <c r="P48" s="1079"/>
      <c r="Q48" s="1079"/>
      <c r="R48" s="1080"/>
      <c r="S48" s="108"/>
      <c r="T48" s="108"/>
      <c r="U48" s="108"/>
      <c r="V48" s="108"/>
      <c r="W48" s="108"/>
    </row>
    <row r="49" spans="1:23" ht="19.2">
      <c r="A49" s="446" t="s">
        <v>8</v>
      </c>
      <c r="B49" s="1875" t="s">
        <v>292</v>
      </c>
      <c r="C49" s="405">
        <v>3</v>
      </c>
      <c r="D49" s="443" t="s">
        <v>41</v>
      </c>
      <c r="E49" s="413" t="s">
        <v>133</v>
      </c>
      <c r="F49" s="417" t="s">
        <v>105</v>
      </c>
      <c r="G49" s="418" t="s">
        <v>43</v>
      </c>
      <c r="H49" s="458">
        <v>1</v>
      </c>
      <c r="I49" s="445">
        <v>46023</v>
      </c>
      <c r="J49" s="411">
        <v>1</v>
      </c>
      <c r="K49" s="1614">
        <v>1</v>
      </c>
      <c r="L49" s="1083">
        <v>1</v>
      </c>
      <c r="M49" s="1082">
        <v>1</v>
      </c>
      <c r="N49" s="1077"/>
      <c r="O49" s="1078"/>
      <c r="P49" s="1079"/>
      <c r="Q49" s="1079"/>
      <c r="R49" s="1080"/>
      <c r="S49" s="108"/>
      <c r="T49" s="108"/>
      <c r="U49" s="108"/>
      <c r="V49" s="108"/>
      <c r="W49" s="108"/>
    </row>
    <row r="50" spans="1:23" ht="19.2">
      <c r="A50" s="446" t="s">
        <v>8</v>
      </c>
      <c r="B50" s="1875" t="s">
        <v>293</v>
      </c>
      <c r="C50" s="405">
        <v>4</v>
      </c>
      <c r="D50" s="443" t="s">
        <v>41</v>
      </c>
      <c r="E50" s="413" t="s">
        <v>38</v>
      </c>
      <c r="F50" s="417" t="s">
        <v>105</v>
      </c>
      <c r="G50" s="418" t="s">
        <v>43</v>
      </c>
      <c r="H50" s="457">
        <v>0</v>
      </c>
      <c r="I50" s="445">
        <v>46023</v>
      </c>
      <c r="J50" s="255">
        <f t="shared" ref="J50" si="9">IF(H50=0,0,IF(H50="-","-",ROUND(H50/12,2)))</f>
        <v>0</v>
      </c>
      <c r="K50" s="1600">
        <v>0</v>
      </c>
      <c r="L50" s="1120">
        <v>0</v>
      </c>
      <c r="M50" s="1615">
        <v>0</v>
      </c>
      <c r="N50" s="1077"/>
      <c r="O50" s="1078"/>
      <c r="P50" s="1079"/>
      <c r="Q50" s="1079"/>
      <c r="R50" s="1080"/>
      <c r="S50" s="108"/>
      <c r="T50" s="108"/>
      <c r="U50" s="108"/>
      <c r="V50" s="108"/>
      <c r="W50" s="108"/>
    </row>
    <row r="51" spans="1:23" ht="19.2">
      <c r="A51" s="448" t="s">
        <v>8</v>
      </c>
      <c r="B51" s="1876" t="s">
        <v>294</v>
      </c>
      <c r="C51" s="433">
        <v>5</v>
      </c>
      <c r="D51" s="444" t="s">
        <v>41</v>
      </c>
      <c r="E51" s="451" t="s">
        <v>136</v>
      </c>
      <c r="F51" s="434" t="s">
        <v>110</v>
      </c>
      <c r="G51" s="435" t="s">
        <v>134</v>
      </c>
      <c r="H51" s="1192">
        <v>7.65</v>
      </c>
      <c r="I51" s="447">
        <v>46023</v>
      </c>
      <c r="J51" s="1189">
        <f>H51/12</f>
        <v>0.63750000000000007</v>
      </c>
      <c r="K51" s="1591">
        <v>0.05</v>
      </c>
      <c r="L51" s="1190">
        <f>L46+J51</f>
        <v>6.3775000000000013</v>
      </c>
      <c r="M51" s="1191">
        <f>M46+K51</f>
        <v>2.5399999999999996</v>
      </c>
      <c r="N51" s="1096"/>
      <c r="O51" s="1097" t="s">
        <v>301</v>
      </c>
      <c r="P51" s="1098"/>
      <c r="Q51" s="1098"/>
      <c r="R51" s="1099"/>
      <c r="S51" s="108"/>
      <c r="T51" s="108"/>
      <c r="U51" s="108"/>
      <c r="V51" s="108"/>
      <c r="W51" s="108"/>
    </row>
    <row r="52" spans="1:23" ht="19.2">
      <c r="A52" s="450" t="s">
        <v>8</v>
      </c>
      <c r="B52" s="1874" t="s">
        <v>283</v>
      </c>
      <c r="C52" s="437">
        <v>1</v>
      </c>
      <c r="D52" s="438" t="s">
        <v>284</v>
      </c>
      <c r="E52" s="439" t="s">
        <v>38</v>
      </c>
      <c r="F52" s="429" t="s">
        <v>106</v>
      </c>
      <c r="G52" s="430" t="s">
        <v>285</v>
      </c>
      <c r="H52" s="460">
        <v>322</v>
      </c>
      <c r="I52" s="449">
        <v>46054</v>
      </c>
      <c r="J52" s="431">
        <v>26</v>
      </c>
      <c r="K52" s="1404">
        <v>15</v>
      </c>
      <c r="L52" s="1090">
        <f>J52+L47</f>
        <v>296</v>
      </c>
      <c r="M52" s="1091">
        <f>K52+M47</f>
        <v>130</v>
      </c>
      <c r="N52" s="1092"/>
      <c r="O52" s="1093"/>
      <c r="P52" s="1094"/>
      <c r="Q52" s="1094"/>
      <c r="R52" s="1095"/>
    </row>
    <row r="53" spans="1:23" ht="313.2">
      <c r="A53" s="446" t="s">
        <v>8</v>
      </c>
      <c r="B53" s="1875" t="s">
        <v>286</v>
      </c>
      <c r="C53" s="405">
        <v>2</v>
      </c>
      <c r="D53" s="406" t="s">
        <v>287</v>
      </c>
      <c r="E53" s="413" t="s">
        <v>288</v>
      </c>
      <c r="F53" s="417" t="s">
        <v>106</v>
      </c>
      <c r="G53" s="418" t="s">
        <v>289</v>
      </c>
      <c r="H53" s="457">
        <v>0</v>
      </c>
      <c r="I53" s="445">
        <v>46054</v>
      </c>
      <c r="J53" s="410">
        <v>0</v>
      </c>
      <c r="K53" s="2556">
        <v>6</v>
      </c>
      <c r="L53" s="2557">
        <f>L48+J53</f>
        <v>28</v>
      </c>
      <c r="M53" s="2558">
        <f>K53+M48</f>
        <v>26</v>
      </c>
      <c r="N53" s="1077"/>
      <c r="O53" s="2582" t="s">
        <v>307</v>
      </c>
      <c r="P53" s="1079"/>
      <c r="Q53" s="1079"/>
      <c r="R53" s="1080"/>
      <c r="S53" s="108"/>
      <c r="T53" s="108"/>
      <c r="U53" s="108"/>
      <c r="V53" s="108"/>
      <c r="W53" s="108"/>
    </row>
    <row r="54" spans="1:23" ht="19.2">
      <c r="A54" s="446" t="s">
        <v>8</v>
      </c>
      <c r="B54" s="1875" t="s">
        <v>292</v>
      </c>
      <c r="C54" s="405">
        <v>3</v>
      </c>
      <c r="D54" s="406" t="s">
        <v>41</v>
      </c>
      <c r="E54" s="413" t="s">
        <v>133</v>
      </c>
      <c r="F54" s="417" t="s">
        <v>105</v>
      </c>
      <c r="G54" s="418" t="s">
        <v>43</v>
      </c>
      <c r="H54" s="458">
        <v>1</v>
      </c>
      <c r="I54" s="445">
        <v>46054</v>
      </c>
      <c r="J54" s="411">
        <v>1</v>
      </c>
      <c r="K54" s="411">
        <v>1</v>
      </c>
      <c r="L54" s="1083">
        <v>1</v>
      </c>
      <c r="M54" s="1082">
        <v>1</v>
      </c>
      <c r="N54" s="1077">
        <v>100</v>
      </c>
      <c r="O54" s="1078"/>
      <c r="P54" s="1079"/>
      <c r="Q54" s="1079"/>
      <c r="R54" s="1080"/>
      <c r="S54" s="108"/>
      <c r="T54" s="108"/>
      <c r="U54" s="108"/>
      <c r="V54" s="108"/>
      <c r="W54" s="108"/>
    </row>
    <row r="55" spans="1:23" ht="19.2">
      <c r="A55" s="446" t="s">
        <v>8</v>
      </c>
      <c r="B55" s="1875" t="s">
        <v>293</v>
      </c>
      <c r="C55" s="405">
        <v>4</v>
      </c>
      <c r="D55" s="406" t="s">
        <v>41</v>
      </c>
      <c r="E55" s="413" t="s">
        <v>38</v>
      </c>
      <c r="F55" s="417" t="s">
        <v>105</v>
      </c>
      <c r="G55" s="418" t="s">
        <v>43</v>
      </c>
      <c r="H55" s="457">
        <v>0</v>
      </c>
      <c r="I55" s="445">
        <v>46054</v>
      </c>
      <c r="J55" s="255">
        <f t="shared" ref="J55" si="10">IF(H55=0,0,IF(H55="-","-",ROUND(H55/12,2)))</f>
        <v>0</v>
      </c>
      <c r="K55" s="255">
        <v>0</v>
      </c>
      <c r="L55" s="1188">
        <v>0</v>
      </c>
      <c r="M55" s="1121">
        <v>0</v>
      </c>
      <c r="N55" s="2537">
        <v>0</v>
      </c>
      <c r="O55" s="1078"/>
      <c r="P55" s="1079"/>
      <c r="Q55" s="1079"/>
      <c r="R55" s="1080"/>
      <c r="S55" s="108"/>
      <c r="T55" s="108"/>
      <c r="U55" s="108"/>
      <c r="V55" s="108"/>
      <c r="W55" s="108"/>
    </row>
    <row r="56" spans="1:23" ht="19.2">
      <c r="A56" s="448" t="s">
        <v>8</v>
      </c>
      <c r="B56" s="1876" t="s">
        <v>294</v>
      </c>
      <c r="C56" s="433">
        <v>5</v>
      </c>
      <c r="D56" s="444" t="s">
        <v>41</v>
      </c>
      <c r="E56" s="451" t="s">
        <v>136</v>
      </c>
      <c r="F56" s="434" t="s">
        <v>110</v>
      </c>
      <c r="G56" s="435" t="s">
        <v>134</v>
      </c>
      <c r="H56" s="1192">
        <v>7.65</v>
      </c>
      <c r="I56" s="447">
        <v>46054</v>
      </c>
      <c r="J56" s="339">
        <f>H56/12</f>
        <v>0.63750000000000007</v>
      </c>
      <c r="K56" s="1591">
        <v>0.05</v>
      </c>
      <c r="L56" s="1190">
        <f>L51+J56</f>
        <v>7.0150000000000015</v>
      </c>
      <c r="M56" s="1191">
        <f>M51+K56</f>
        <v>2.5899999999999994</v>
      </c>
      <c r="N56" s="1096"/>
      <c r="O56" s="1097" t="s">
        <v>301</v>
      </c>
      <c r="P56" s="1098"/>
      <c r="Q56" s="1098"/>
      <c r="R56" s="1099"/>
      <c r="S56" s="108"/>
      <c r="T56" s="108"/>
      <c r="U56" s="108"/>
      <c r="V56" s="108"/>
      <c r="W56" s="108"/>
    </row>
    <row r="57" spans="1:23" ht="19.2">
      <c r="A57" s="450" t="s">
        <v>8</v>
      </c>
      <c r="B57" s="1874" t="s">
        <v>283</v>
      </c>
      <c r="C57" s="437">
        <v>1</v>
      </c>
      <c r="D57" s="438" t="s">
        <v>284</v>
      </c>
      <c r="E57" s="439" t="s">
        <v>38</v>
      </c>
      <c r="F57" s="429" t="s">
        <v>106</v>
      </c>
      <c r="G57" s="430" t="s">
        <v>285</v>
      </c>
      <c r="H57" s="460">
        <v>322</v>
      </c>
      <c r="I57" s="449">
        <v>46082</v>
      </c>
      <c r="J57" s="431">
        <v>26</v>
      </c>
      <c r="K57" s="1404"/>
      <c r="L57" s="1090">
        <f>J57+L52</f>
        <v>322</v>
      </c>
      <c r="M57" s="1091"/>
      <c r="N57" s="1092"/>
      <c r="O57" s="1093"/>
      <c r="P57" s="1094"/>
      <c r="Q57" s="1094"/>
      <c r="R57" s="1095"/>
    </row>
    <row r="58" spans="1:23" ht="32.4">
      <c r="A58" s="446" t="s">
        <v>8</v>
      </c>
      <c r="B58" s="1875" t="s">
        <v>286</v>
      </c>
      <c r="C58" s="405">
        <v>2</v>
      </c>
      <c r="D58" s="406" t="s">
        <v>287</v>
      </c>
      <c r="E58" s="413" t="s">
        <v>288</v>
      </c>
      <c r="F58" s="417" t="s">
        <v>106</v>
      </c>
      <c r="G58" s="418" t="s">
        <v>289</v>
      </c>
      <c r="H58" s="457">
        <v>0</v>
      </c>
      <c r="I58" s="445">
        <v>46082</v>
      </c>
      <c r="J58" s="410">
        <v>0</v>
      </c>
      <c r="K58" s="1086"/>
      <c r="L58" s="1087">
        <f>L53+J58</f>
        <v>28</v>
      </c>
      <c r="M58" s="1088"/>
      <c r="N58" s="1077"/>
      <c r="O58" s="1078"/>
      <c r="P58" s="1079"/>
      <c r="Q58" s="1079"/>
      <c r="R58" s="1080"/>
      <c r="S58" s="108"/>
      <c r="T58" s="108"/>
      <c r="U58" s="108"/>
      <c r="V58" s="108"/>
      <c r="W58" s="108"/>
    </row>
    <row r="59" spans="1:23" ht="19.2">
      <c r="A59" s="446" t="s">
        <v>8</v>
      </c>
      <c r="B59" s="1875" t="s">
        <v>292</v>
      </c>
      <c r="C59" s="405">
        <v>3</v>
      </c>
      <c r="D59" s="443" t="s">
        <v>41</v>
      </c>
      <c r="E59" s="413" t="s">
        <v>133</v>
      </c>
      <c r="F59" s="417" t="s">
        <v>105</v>
      </c>
      <c r="G59" s="418" t="s">
        <v>43</v>
      </c>
      <c r="H59" s="458">
        <v>1</v>
      </c>
      <c r="I59" s="445">
        <v>46082</v>
      </c>
      <c r="J59" s="411">
        <v>1</v>
      </c>
      <c r="K59" s="1074"/>
      <c r="L59" s="1083">
        <v>1</v>
      </c>
      <c r="M59" s="1082"/>
      <c r="N59" s="1077"/>
      <c r="O59" s="1078"/>
      <c r="P59" s="1079"/>
      <c r="Q59" s="1079"/>
      <c r="R59" s="1080"/>
      <c r="S59" s="108"/>
      <c r="T59" s="108"/>
      <c r="U59" s="108"/>
      <c r="V59" s="108"/>
      <c r="W59" s="108"/>
    </row>
    <row r="60" spans="1:23" ht="19.2">
      <c r="A60" s="446" t="s">
        <v>8</v>
      </c>
      <c r="B60" s="1875" t="s">
        <v>293</v>
      </c>
      <c r="C60" s="405">
        <v>4</v>
      </c>
      <c r="D60" s="443" t="s">
        <v>41</v>
      </c>
      <c r="E60" s="413" t="s">
        <v>38</v>
      </c>
      <c r="F60" s="417" t="s">
        <v>105</v>
      </c>
      <c r="G60" s="418" t="s">
        <v>43</v>
      </c>
      <c r="H60" s="457">
        <v>0</v>
      </c>
      <c r="I60" s="445">
        <v>46082</v>
      </c>
      <c r="J60" s="1059">
        <f t="shared" ref="J60" si="11">IF(H60=0,0,IF(H60="-","-",ROUND(H60/12,2)))</f>
        <v>0</v>
      </c>
      <c r="K60" s="1074"/>
      <c r="L60" s="1075"/>
      <c r="M60" s="1076"/>
      <c r="N60" s="1077"/>
      <c r="O60" s="1078"/>
      <c r="P60" s="1079"/>
      <c r="Q60" s="1079"/>
      <c r="R60" s="1080"/>
      <c r="S60" s="108"/>
      <c r="T60" s="108"/>
      <c r="U60" s="108"/>
      <c r="V60" s="108"/>
      <c r="W60" s="108"/>
    </row>
    <row r="61" spans="1:23" ht="19.2">
      <c r="A61" s="453" t="s">
        <v>8</v>
      </c>
      <c r="B61" s="1877" t="s">
        <v>294</v>
      </c>
      <c r="C61" s="407">
        <v>5</v>
      </c>
      <c r="D61" s="454" t="s">
        <v>41</v>
      </c>
      <c r="E61" s="414" t="s">
        <v>136</v>
      </c>
      <c r="F61" s="419" t="s">
        <v>110</v>
      </c>
      <c r="G61" s="420" t="s">
        <v>134</v>
      </c>
      <c r="H61" s="1194">
        <v>7.65</v>
      </c>
      <c r="I61" s="452">
        <v>46082</v>
      </c>
      <c r="J61" s="256">
        <f>H61/12</f>
        <v>0.63750000000000007</v>
      </c>
      <c r="K61" s="2531">
        <v>0.05</v>
      </c>
      <c r="L61" s="1616">
        <f>L56+J61</f>
        <v>7.6525000000000016</v>
      </c>
      <c r="M61" s="1617"/>
      <c r="N61" s="1618"/>
      <c r="O61" s="1619" t="s">
        <v>301</v>
      </c>
      <c r="P61" s="1620"/>
      <c r="Q61" s="1620"/>
      <c r="R61" s="1621"/>
      <c r="S61" s="108"/>
      <c r="T61" s="108"/>
      <c r="U61" s="108"/>
      <c r="V61" s="108"/>
      <c r="W61" s="108"/>
    </row>
    <row r="62" spans="1:23" ht="34.35" customHeight="1">
      <c r="I62" s="109"/>
      <c r="J62" s="109"/>
    </row>
    <row r="63" spans="1:23" ht="34.35" customHeight="1">
      <c r="J63" s="109"/>
    </row>
    <row r="64" spans="1:23" ht="34.35" customHeight="1">
      <c r="J64" s="109"/>
    </row>
    <row r="65" spans="10:10" ht="34.35" customHeight="1">
      <c r="J65" s="109"/>
    </row>
    <row r="66" spans="10:10" ht="34.35" customHeight="1">
      <c r="J66" s="109"/>
    </row>
    <row r="67" spans="10:10" ht="34.35" customHeight="1">
      <c r="J67" s="109"/>
    </row>
    <row r="68" spans="10:10" ht="34.35" customHeight="1">
      <c r="J68" s="109"/>
    </row>
    <row r="70" spans="10:10" ht="34.35" customHeight="1">
      <c r="J70" s="109"/>
    </row>
    <row r="71" spans="10:10" ht="34.35" customHeight="1">
      <c r="J71" s="109"/>
    </row>
    <row r="72" spans="10:10" ht="34.35" customHeight="1">
      <c r="J72" s="109"/>
    </row>
    <row r="73" spans="10:10" ht="34.35" customHeight="1">
      <c r="J73" s="109"/>
    </row>
    <row r="74" spans="10:10" ht="34.35" customHeight="1">
      <c r="J74" s="109"/>
    </row>
    <row r="75" spans="10:10" ht="34.35" customHeight="1">
      <c r="J75" s="109"/>
    </row>
    <row r="76" spans="10:10" ht="34.35" customHeight="1">
      <c r="J76" s="109"/>
    </row>
    <row r="77" spans="10:10" ht="34.35" customHeight="1">
      <c r="J77" s="109"/>
    </row>
    <row r="79" spans="10:10" ht="34.35" customHeight="1">
      <c r="J79" s="109"/>
    </row>
    <row r="80" spans="10:10" ht="34.35" customHeight="1">
      <c r="J80" s="109"/>
    </row>
    <row r="81" spans="10:10" ht="34.35" customHeight="1">
      <c r="J81" s="109"/>
    </row>
    <row r="82" spans="10:10" ht="34.35" customHeight="1">
      <c r="J82" s="109"/>
    </row>
    <row r="83" spans="10:10" ht="34.35" customHeight="1">
      <c r="J83" s="109"/>
    </row>
    <row r="84" spans="10:10" ht="34.35" customHeight="1">
      <c r="J84" s="109"/>
    </row>
    <row r="85" spans="10:10" ht="34.35" customHeight="1">
      <c r="J85" s="109"/>
    </row>
    <row r="86" spans="10:10" ht="34.35" customHeight="1">
      <c r="J86" s="109"/>
    </row>
    <row r="88" spans="10:10" ht="34.35" customHeight="1">
      <c r="J88" s="109"/>
    </row>
    <row r="89" spans="10:10" ht="34.35" customHeight="1">
      <c r="J89" s="109"/>
    </row>
    <row r="90" spans="10:10" ht="34.35" customHeight="1">
      <c r="J90" s="109"/>
    </row>
    <row r="91" spans="10:10" ht="34.35" customHeight="1">
      <c r="J91" s="109"/>
    </row>
    <row r="92" spans="10:10" ht="34.35" customHeight="1">
      <c r="J92" s="109"/>
    </row>
    <row r="93" spans="10:10" ht="34.35" customHeight="1">
      <c r="J93" s="109"/>
    </row>
    <row r="94" spans="10:10" ht="34.35" customHeight="1">
      <c r="J94" s="109"/>
    </row>
    <row r="95" spans="10:10" ht="34.35" customHeight="1">
      <c r="J95" s="109"/>
    </row>
    <row r="97" spans="10:10" ht="34.35" customHeight="1">
      <c r="J97" s="109"/>
    </row>
    <row r="98" spans="10:10" ht="34.35" customHeight="1">
      <c r="J98" s="109"/>
    </row>
    <row r="99" spans="10:10" ht="34.35" customHeight="1">
      <c r="J99" s="109"/>
    </row>
    <row r="100" spans="10:10" ht="34.35" customHeight="1">
      <c r="J100" s="109"/>
    </row>
    <row r="101" spans="10:10" ht="34.35" customHeight="1">
      <c r="J101" s="109"/>
    </row>
    <row r="102" spans="10:10" ht="34.35" customHeight="1">
      <c r="J102" s="109"/>
    </row>
    <row r="103" spans="10:10" ht="34.35" customHeight="1">
      <c r="J103" s="109"/>
    </row>
    <row r="104" spans="10:10" ht="34.35" customHeight="1">
      <c r="J104" s="109"/>
    </row>
    <row r="106" spans="10:10" ht="34.35" customHeight="1">
      <c r="J106" s="109"/>
    </row>
    <row r="107" spans="10:10" ht="34.35" customHeight="1">
      <c r="J107" s="109"/>
    </row>
    <row r="108" spans="10:10" ht="34.35" customHeight="1">
      <c r="J108" s="109"/>
    </row>
    <row r="109" spans="10:10" ht="34.35" customHeight="1">
      <c r="J109" s="109"/>
    </row>
  </sheetData>
  <sheetProtection formatCells="0" formatColumns="0" formatRows="0" sort="0" autoFilter="0" pivotTables="0"/>
  <autoFilter ref="A1:BRV61" xr:uid="{107129D5-B6FD-432C-A21E-F1EFE3FAF2EB}"/>
  <conditionalFormatting sqref="I2:R61 Z45:AA45">
    <cfRule type="expression" dxfId="38" priority="148">
      <formula>MONTH($I2)=MONTH(TODAY()-29)</formula>
    </cfRule>
  </conditionalFormatting>
  <conditionalFormatting sqref="N1:N61">
    <cfRule type="expression" dxfId="37" priority="151">
      <formula>MONTH(I1)&lt;&gt;MONTH(TODAY())</formula>
    </cfRule>
  </conditionalFormatting>
  <conditionalFormatting sqref="BRV1">
    <cfRule type="expression" dxfId="36" priority="152">
      <formula>MONTH($I38)=MONTH(TODAY()-29)</formula>
    </cfRule>
  </conditionalFormatting>
  <pageMargins left="0.7" right="0.7" top="0.75" bottom="0.75" header="0.3" footer="0.3"/>
  <headerFooter>
    <oddHeader>&amp;C&amp;"Calibri"&amp;10&amp;KFF0000 CONFIDENTIAL&amp;1#_x000D_</oddHeader>
  </headerFooter>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8FBD1-297A-4A40-A67A-E4353BD660BC}">
  <sheetPr codeName="Sheet7"/>
  <dimension ref="A1:AA61"/>
  <sheetViews>
    <sheetView showGridLines="0" zoomScale="70" zoomScaleNormal="70" workbookViewId="0">
      <pane xSplit="1" ySplit="1" topLeftCell="C48" activePane="bottomRight" state="frozen"/>
      <selection pane="topRight" activeCell="D69" sqref="D69"/>
      <selection pane="bottomLeft" activeCell="D69" sqref="D69"/>
      <selection pane="bottomRight" activeCell="S56" sqref="S56"/>
    </sheetView>
  </sheetViews>
  <sheetFormatPr defaultColWidth="8.109375" defaultRowHeight="34.35" customHeight="1"/>
  <cols>
    <col min="1" max="1" width="11.109375" style="103" customWidth="1"/>
    <col min="2" max="2" width="38.109375" style="103" customWidth="1"/>
    <col min="3" max="3" width="4.109375" style="103" customWidth="1"/>
    <col min="4" max="4" width="38.109375" style="104" customWidth="1"/>
    <col min="5" max="5" width="7.109375" style="105" customWidth="1"/>
    <col min="6" max="6" width="8.109375" style="103" customWidth="1"/>
    <col min="7" max="7" width="14.109375" style="103" customWidth="1"/>
    <col min="8" max="8" width="8.109375" style="106"/>
    <col min="9" max="9" width="9.6640625" style="103" customWidth="1"/>
    <col min="10" max="10" width="10.109375" style="742" customWidth="1"/>
    <col min="11" max="11" width="8.6640625" style="742" customWidth="1"/>
    <col min="12" max="19" width="8.6640625" style="746" customWidth="1"/>
    <col min="20" max="20" width="8.109375" style="746"/>
    <col min="21" max="21" width="8.109375" style="1414"/>
    <col min="22" max="27" width="8.109375" style="746"/>
    <col min="28" max="16384" width="8.109375" style="103"/>
  </cols>
  <sheetData>
    <row r="1" spans="1:27" s="173" customFormat="1" ht="51" customHeight="1">
      <c r="A1" s="485" t="s">
        <v>1</v>
      </c>
      <c r="B1" s="486" t="s">
        <v>19</v>
      </c>
      <c r="C1" s="486" t="s">
        <v>93</v>
      </c>
      <c r="D1" s="486" t="s">
        <v>21</v>
      </c>
      <c r="E1" s="487" t="s">
        <v>22</v>
      </c>
      <c r="F1" s="488" t="s">
        <v>23</v>
      </c>
      <c r="G1" s="487" t="s">
        <v>24</v>
      </c>
      <c r="H1" s="489" t="s">
        <v>25</v>
      </c>
      <c r="I1" s="484" t="s">
        <v>26</v>
      </c>
      <c r="J1" s="1708" t="s">
        <v>94</v>
      </c>
      <c r="K1" s="1709" t="s">
        <v>95</v>
      </c>
      <c r="L1" s="1709" t="s">
        <v>96</v>
      </c>
      <c r="M1" s="1709" t="s">
        <v>97</v>
      </c>
      <c r="N1" s="1709" t="s">
        <v>98</v>
      </c>
      <c r="O1" s="1709" t="s">
        <v>99</v>
      </c>
      <c r="P1" s="1709" t="s">
        <v>100</v>
      </c>
      <c r="Q1" s="1709" t="s">
        <v>101</v>
      </c>
      <c r="R1" s="1709" t="s">
        <v>102</v>
      </c>
      <c r="S1" s="1710" t="s">
        <v>103</v>
      </c>
      <c r="T1" s="1410"/>
      <c r="U1" s="1411"/>
      <c r="V1" s="1410"/>
      <c r="W1" s="1410"/>
      <c r="X1" s="1410"/>
      <c r="Y1" s="1410"/>
      <c r="Z1" s="1410"/>
      <c r="AA1" s="1410"/>
    </row>
    <row r="2" spans="1:27" ht="34.35" customHeight="1">
      <c r="A2" s="465" t="s">
        <v>8</v>
      </c>
      <c r="B2" s="184" t="s">
        <v>283</v>
      </c>
      <c r="C2" s="185">
        <v>1</v>
      </c>
      <c r="D2" s="186" t="s">
        <v>284</v>
      </c>
      <c r="E2" s="472" t="s">
        <v>38</v>
      </c>
      <c r="F2" s="471" t="s">
        <v>106</v>
      </c>
      <c r="G2" s="472" t="s">
        <v>285</v>
      </c>
      <c r="H2" s="456">
        <v>27</v>
      </c>
      <c r="I2" s="464">
        <v>45748</v>
      </c>
      <c r="J2" s="1268" t="s">
        <v>41</v>
      </c>
      <c r="K2" s="1269">
        <v>0</v>
      </c>
      <c r="L2" s="1269" t="s">
        <v>41</v>
      </c>
      <c r="M2" s="1269">
        <v>5</v>
      </c>
      <c r="N2" s="1269">
        <v>0</v>
      </c>
      <c r="O2" s="1269">
        <v>1</v>
      </c>
      <c r="P2" s="1269">
        <v>2</v>
      </c>
      <c r="Q2" s="1269">
        <v>0</v>
      </c>
      <c r="R2" s="1269">
        <v>1</v>
      </c>
      <c r="S2" s="1581">
        <v>1</v>
      </c>
      <c r="U2" s="1413">
        <f>SUM(J2:S2)</f>
        <v>10</v>
      </c>
      <c r="W2" s="103"/>
      <c r="X2" s="103"/>
      <c r="Y2" s="103"/>
      <c r="Z2" s="103"/>
      <c r="AA2" s="103"/>
    </row>
    <row r="3" spans="1:27" ht="34.35" customHeight="1">
      <c r="A3" s="466" t="s">
        <v>8</v>
      </c>
      <c r="B3" s="113" t="s">
        <v>286</v>
      </c>
      <c r="C3" s="180">
        <v>2</v>
      </c>
      <c r="D3" s="181" t="s">
        <v>287</v>
      </c>
      <c r="E3" s="474" t="s">
        <v>288</v>
      </c>
      <c r="F3" s="473" t="s">
        <v>106</v>
      </c>
      <c r="G3" s="474" t="s">
        <v>289</v>
      </c>
      <c r="H3" s="457">
        <v>4</v>
      </c>
      <c r="I3" s="445">
        <v>45748</v>
      </c>
      <c r="J3" s="2527">
        <v>0</v>
      </c>
      <c r="K3" s="2528">
        <v>0</v>
      </c>
      <c r="L3" s="2528">
        <v>0</v>
      </c>
      <c r="M3" s="2528">
        <v>0</v>
      </c>
      <c r="N3" s="2528">
        <v>0</v>
      </c>
      <c r="O3" s="2528">
        <v>0</v>
      </c>
      <c r="P3" s="2528">
        <v>1</v>
      </c>
      <c r="Q3" s="2528">
        <v>0</v>
      </c>
      <c r="R3" s="2528">
        <v>0</v>
      </c>
      <c r="S3" s="2529">
        <v>0</v>
      </c>
      <c r="U3" s="1413">
        <f>SUM(J3:S3)</f>
        <v>1</v>
      </c>
    </row>
    <row r="4" spans="1:27" ht="34.35" customHeight="1">
      <c r="A4" s="466" t="s">
        <v>8</v>
      </c>
      <c r="B4" s="113" t="s">
        <v>292</v>
      </c>
      <c r="C4" s="180">
        <v>3</v>
      </c>
      <c r="D4" s="479" t="s">
        <v>41</v>
      </c>
      <c r="E4" s="474" t="s">
        <v>133</v>
      </c>
      <c r="F4" s="473" t="s">
        <v>105</v>
      </c>
      <c r="G4" s="474" t="s">
        <v>43</v>
      </c>
      <c r="H4" s="458">
        <v>1</v>
      </c>
      <c r="I4" s="445">
        <v>45748</v>
      </c>
      <c r="J4" s="1061">
        <v>1</v>
      </c>
      <c r="K4" s="1062">
        <v>1</v>
      </c>
      <c r="L4" s="1062">
        <v>1</v>
      </c>
      <c r="M4" s="1062">
        <v>1</v>
      </c>
      <c r="N4" s="1062">
        <v>1</v>
      </c>
      <c r="O4" s="1062">
        <v>1</v>
      </c>
      <c r="P4" s="1062">
        <v>1</v>
      </c>
      <c r="Q4" s="1062">
        <v>1</v>
      </c>
      <c r="R4" s="1062">
        <v>1</v>
      </c>
      <c r="S4" s="1582">
        <v>1</v>
      </c>
      <c r="W4" s="103"/>
      <c r="X4" s="103"/>
      <c r="Y4" s="103"/>
      <c r="Z4" s="103"/>
      <c r="AA4" s="103"/>
    </row>
    <row r="5" spans="1:27" ht="34.35" customHeight="1">
      <c r="A5" s="466" t="s">
        <v>8</v>
      </c>
      <c r="B5" s="113" t="s">
        <v>293</v>
      </c>
      <c r="C5" s="180">
        <v>4</v>
      </c>
      <c r="D5" s="479" t="s">
        <v>41</v>
      </c>
      <c r="E5" s="474" t="s">
        <v>38</v>
      </c>
      <c r="F5" s="473" t="s">
        <v>105</v>
      </c>
      <c r="G5" s="474" t="s">
        <v>43</v>
      </c>
      <c r="H5" s="457">
        <v>0</v>
      </c>
      <c r="I5" s="445">
        <v>45748</v>
      </c>
      <c r="J5" s="1059">
        <v>0</v>
      </c>
      <c r="K5" s="1060">
        <v>0</v>
      </c>
      <c r="L5" s="1060">
        <v>0</v>
      </c>
      <c r="M5" s="1060">
        <v>0</v>
      </c>
      <c r="N5" s="1060">
        <v>0</v>
      </c>
      <c r="O5" s="1060">
        <v>0</v>
      </c>
      <c r="P5" s="1060">
        <v>0</v>
      </c>
      <c r="Q5" s="1060">
        <v>0</v>
      </c>
      <c r="R5" s="1060">
        <v>0</v>
      </c>
      <c r="S5" s="1412">
        <v>0</v>
      </c>
      <c r="W5" s="103"/>
      <c r="X5" s="103"/>
      <c r="Y5" s="103"/>
      <c r="Z5" s="103"/>
      <c r="AA5" s="103"/>
    </row>
    <row r="6" spans="1:27" ht="34.35" customHeight="1">
      <c r="A6" s="467" t="s">
        <v>8</v>
      </c>
      <c r="B6" s="145" t="s">
        <v>294</v>
      </c>
      <c r="C6" s="198">
        <v>5</v>
      </c>
      <c r="D6" s="480" t="s">
        <v>41</v>
      </c>
      <c r="E6" s="476" t="s">
        <v>136</v>
      </c>
      <c r="F6" s="475" t="s">
        <v>110</v>
      </c>
      <c r="G6" s="476" t="s">
        <v>134</v>
      </c>
      <c r="H6" s="461">
        <v>7.65</v>
      </c>
      <c r="I6" s="447">
        <v>45748</v>
      </c>
      <c r="J6" s="1056">
        <v>0</v>
      </c>
      <c r="K6" s="1589">
        <v>0.52</v>
      </c>
      <c r="L6" s="1058">
        <v>0</v>
      </c>
      <c r="M6" s="1058">
        <v>0</v>
      </c>
      <c r="N6" s="1058">
        <v>0</v>
      </c>
      <c r="O6" s="1058">
        <v>0</v>
      </c>
      <c r="P6" s="1058">
        <v>0</v>
      </c>
      <c r="Q6" s="1058">
        <v>0</v>
      </c>
      <c r="R6" s="1058">
        <v>0</v>
      </c>
      <c r="S6" s="1583">
        <v>0</v>
      </c>
      <c r="W6" s="103"/>
      <c r="X6" s="103"/>
      <c r="Y6" s="103"/>
      <c r="Z6" s="103"/>
      <c r="AA6" s="103"/>
    </row>
    <row r="7" spans="1:27" ht="34.35" customHeight="1">
      <c r="A7" s="469" t="s">
        <v>8</v>
      </c>
      <c r="B7" s="144" t="s">
        <v>283</v>
      </c>
      <c r="C7" s="222">
        <v>1</v>
      </c>
      <c r="D7" s="223" t="s">
        <v>284</v>
      </c>
      <c r="E7" s="478" t="s">
        <v>38</v>
      </c>
      <c r="F7" s="477" t="s">
        <v>106</v>
      </c>
      <c r="G7" s="478" t="s">
        <v>285</v>
      </c>
      <c r="H7" s="460">
        <v>27</v>
      </c>
      <c r="I7" s="468">
        <v>45778</v>
      </c>
      <c r="J7" s="1063" t="s">
        <v>41</v>
      </c>
      <c r="K7" s="1064">
        <v>1</v>
      </c>
      <c r="L7" s="1064" t="s">
        <v>41</v>
      </c>
      <c r="M7" s="1064">
        <v>4</v>
      </c>
      <c r="N7" s="1064">
        <v>3</v>
      </c>
      <c r="O7" s="1064">
        <v>1</v>
      </c>
      <c r="P7" s="1064">
        <v>2</v>
      </c>
      <c r="Q7" s="1064">
        <v>3</v>
      </c>
      <c r="R7" s="1064">
        <v>1</v>
      </c>
      <c r="S7" s="1584">
        <v>0</v>
      </c>
      <c r="U7" s="1413">
        <f>SUM(J7:S7)</f>
        <v>15</v>
      </c>
      <c r="W7" s="103"/>
      <c r="X7" s="103"/>
      <c r="Y7" s="103"/>
      <c r="Z7" s="103"/>
      <c r="AA7" s="103"/>
    </row>
    <row r="8" spans="1:27" ht="34.35" customHeight="1">
      <c r="A8" s="466" t="s">
        <v>8</v>
      </c>
      <c r="B8" s="113" t="s">
        <v>286</v>
      </c>
      <c r="C8" s="180">
        <v>2</v>
      </c>
      <c r="D8" s="181" t="s">
        <v>287</v>
      </c>
      <c r="E8" s="474" t="s">
        <v>288</v>
      </c>
      <c r="F8" s="473" t="s">
        <v>106</v>
      </c>
      <c r="G8" s="474" t="s">
        <v>289</v>
      </c>
      <c r="H8" s="457">
        <v>4</v>
      </c>
      <c r="I8" s="445">
        <v>45778</v>
      </c>
      <c r="J8" s="2527">
        <v>0</v>
      </c>
      <c r="K8" s="2528">
        <v>1</v>
      </c>
      <c r="L8" s="2528">
        <v>0</v>
      </c>
      <c r="M8" s="2528">
        <v>0</v>
      </c>
      <c r="N8" s="2528">
        <v>0</v>
      </c>
      <c r="O8" s="2528">
        <v>1</v>
      </c>
      <c r="P8" s="2528">
        <v>0</v>
      </c>
      <c r="Q8" s="2528">
        <v>1</v>
      </c>
      <c r="R8" s="2528">
        <v>0</v>
      </c>
      <c r="S8" s="2529">
        <v>1</v>
      </c>
      <c r="U8" s="1413">
        <f>SUM(J8:S8)</f>
        <v>4</v>
      </c>
    </row>
    <row r="9" spans="1:27" ht="34.35" customHeight="1">
      <c r="A9" s="466" t="s">
        <v>8</v>
      </c>
      <c r="B9" s="113" t="s">
        <v>292</v>
      </c>
      <c r="C9" s="180">
        <v>3</v>
      </c>
      <c r="D9" s="479" t="s">
        <v>41</v>
      </c>
      <c r="E9" s="474" t="s">
        <v>133</v>
      </c>
      <c r="F9" s="473" t="s">
        <v>105</v>
      </c>
      <c r="G9" s="474" t="s">
        <v>43</v>
      </c>
      <c r="H9" s="458">
        <v>1</v>
      </c>
      <c r="I9" s="445">
        <v>45778</v>
      </c>
      <c r="J9" s="1061">
        <v>1</v>
      </c>
      <c r="K9" s="1062">
        <v>1</v>
      </c>
      <c r="L9" s="1062">
        <v>1</v>
      </c>
      <c r="M9" s="1062">
        <v>1</v>
      </c>
      <c r="N9" s="1062">
        <v>1</v>
      </c>
      <c r="O9" s="1062">
        <v>1</v>
      </c>
      <c r="P9" s="1062">
        <v>1</v>
      </c>
      <c r="Q9" s="1062">
        <v>1</v>
      </c>
      <c r="R9" s="1062">
        <v>1</v>
      </c>
      <c r="S9" s="1582">
        <v>1</v>
      </c>
      <c r="W9" s="103"/>
      <c r="X9" s="103"/>
      <c r="Y9" s="103"/>
      <c r="Z9" s="103"/>
      <c r="AA9" s="103"/>
    </row>
    <row r="10" spans="1:27" ht="34.35" customHeight="1">
      <c r="A10" s="466" t="s">
        <v>8</v>
      </c>
      <c r="B10" s="113" t="s">
        <v>293</v>
      </c>
      <c r="C10" s="180">
        <v>4</v>
      </c>
      <c r="D10" s="479" t="s">
        <v>41</v>
      </c>
      <c r="E10" s="474" t="s">
        <v>38</v>
      </c>
      <c r="F10" s="473" t="s">
        <v>105</v>
      </c>
      <c r="G10" s="474" t="s">
        <v>43</v>
      </c>
      <c r="H10" s="457">
        <v>0</v>
      </c>
      <c r="I10" s="445">
        <v>45778</v>
      </c>
      <c r="J10" s="1059">
        <v>0</v>
      </c>
      <c r="K10" s="1060">
        <v>0</v>
      </c>
      <c r="L10" s="1060">
        <v>0</v>
      </c>
      <c r="M10" s="1060">
        <v>0</v>
      </c>
      <c r="N10" s="1060">
        <v>0</v>
      </c>
      <c r="O10" s="1060">
        <v>0</v>
      </c>
      <c r="P10" s="1060">
        <v>0</v>
      </c>
      <c r="Q10" s="1060">
        <v>0</v>
      </c>
      <c r="R10" s="1060">
        <v>0</v>
      </c>
      <c r="S10" s="1412">
        <v>0</v>
      </c>
      <c r="W10" s="103"/>
      <c r="X10" s="103"/>
      <c r="Y10" s="103"/>
      <c r="Z10" s="103"/>
      <c r="AA10" s="103"/>
    </row>
    <row r="11" spans="1:27" ht="34.35" customHeight="1">
      <c r="A11" s="467" t="s">
        <v>8</v>
      </c>
      <c r="B11" s="145" t="s">
        <v>294</v>
      </c>
      <c r="C11" s="198">
        <v>5</v>
      </c>
      <c r="D11" s="480" t="s">
        <v>41</v>
      </c>
      <c r="E11" s="476" t="s">
        <v>136</v>
      </c>
      <c r="F11" s="475" t="s">
        <v>110</v>
      </c>
      <c r="G11" s="476" t="s">
        <v>134</v>
      </c>
      <c r="H11" s="461">
        <v>7.65</v>
      </c>
      <c r="I11" s="447">
        <v>45778</v>
      </c>
      <c r="J11" s="1056">
        <v>0</v>
      </c>
      <c r="K11" s="1057">
        <v>0</v>
      </c>
      <c r="L11" s="1057">
        <v>0</v>
      </c>
      <c r="M11" s="1057">
        <v>0</v>
      </c>
      <c r="N11" s="1057">
        <v>0</v>
      </c>
      <c r="O11" s="1057">
        <v>0</v>
      </c>
      <c r="P11" s="1057">
        <v>0</v>
      </c>
      <c r="Q11" s="1057">
        <v>0</v>
      </c>
      <c r="R11" s="1057">
        <v>0</v>
      </c>
      <c r="S11" s="1588">
        <v>0</v>
      </c>
      <c r="W11" s="103"/>
      <c r="X11" s="103"/>
      <c r="Y11" s="103"/>
      <c r="Z11" s="103"/>
      <c r="AA11" s="103"/>
    </row>
    <row r="12" spans="1:27" ht="34.35" customHeight="1">
      <c r="A12" s="469" t="s">
        <v>8</v>
      </c>
      <c r="B12" s="144" t="s">
        <v>283</v>
      </c>
      <c r="C12" s="222">
        <v>1</v>
      </c>
      <c r="D12" s="223" t="s">
        <v>284</v>
      </c>
      <c r="E12" s="478" t="s">
        <v>38</v>
      </c>
      <c r="F12" s="477" t="s">
        <v>106</v>
      </c>
      <c r="G12" s="478" t="s">
        <v>285</v>
      </c>
      <c r="H12" s="460">
        <v>27</v>
      </c>
      <c r="I12" s="468">
        <v>45809</v>
      </c>
      <c r="J12" s="1063" t="s">
        <v>41</v>
      </c>
      <c r="K12" s="1064">
        <v>2</v>
      </c>
      <c r="L12" s="1064" t="s">
        <v>41</v>
      </c>
      <c r="M12" s="1064">
        <v>1</v>
      </c>
      <c r="N12" s="1064">
        <v>1</v>
      </c>
      <c r="O12" s="1064">
        <v>5</v>
      </c>
      <c r="P12" s="1064">
        <v>4</v>
      </c>
      <c r="Q12" s="1064">
        <v>2</v>
      </c>
      <c r="R12" s="1064">
        <v>4</v>
      </c>
      <c r="S12" s="1584">
        <v>0</v>
      </c>
      <c r="U12" s="1413">
        <f>SUM(J12:S12)</f>
        <v>19</v>
      </c>
      <c r="W12" s="103"/>
      <c r="X12" s="103"/>
      <c r="Y12" s="103"/>
      <c r="Z12" s="103"/>
      <c r="AA12" s="103"/>
    </row>
    <row r="13" spans="1:27" ht="34.35" customHeight="1">
      <c r="A13" s="466" t="s">
        <v>8</v>
      </c>
      <c r="B13" s="113" t="s">
        <v>286</v>
      </c>
      <c r="C13" s="180">
        <v>2</v>
      </c>
      <c r="D13" s="181" t="s">
        <v>287</v>
      </c>
      <c r="E13" s="474" t="s">
        <v>288</v>
      </c>
      <c r="F13" s="473" t="s">
        <v>106</v>
      </c>
      <c r="G13" s="474" t="s">
        <v>289</v>
      </c>
      <c r="H13" s="457">
        <v>4</v>
      </c>
      <c r="I13" s="445">
        <v>45809</v>
      </c>
      <c r="J13" s="2527">
        <v>0</v>
      </c>
      <c r="K13" s="2528">
        <v>0</v>
      </c>
      <c r="L13" s="2528">
        <v>0</v>
      </c>
      <c r="M13" s="2528">
        <v>0</v>
      </c>
      <c r="N13" s="2528">
        <v>0</v>
      </c>
      <c r="O13" s="2528">
        <v>0</v>
      </c>
      <c r="P13" s="2528">
        <v>1</v>
      </c>
      <c r="Q13" s="2528">
        <v>0</v>
      </c>
      <c r="R13" s="2528">
        <v>0</v>
      </c>
      <c r="S13" s="2529">
        <v>1</v>
      </c>
      <c r="U13" s="1413">
        <f>SUM(J13:S13)</f>
        <v>2</v>
      </c>
    </row>
    <row r="14" spans="1:27" ht="34.35" customHeight="1">
      <c r="A14" s="466" t="s">
        <v>8</v>
      </c>
      <c r="B14" s="113" t="s">
        <v>292</v>
      </c>
      <c r="C14" s="180">
        <v>3</v>
      </c>
      <c r="D14" s="479" t="s">
        <v>41</v>
      </c>
      <c r="E14" s="474" t="s">
        <v>133</v>
      </c>
      <c r="F14" s="473" t="s">
        <v>105</v>
      </c>
      <c r="G14" s="474" t="s">
        <v>43</v>
      </c>
      <c r="H14" s="458">
        <v>1</v>
      </c>
      <c r="I14" s="445">
        <v>45809</v>
      </c>
      <c r="J14" s="1061">
        <v>1</v>
      </c>
      <c r="K14" s="1062">
        <v>1</v>
      </c>
      <c r="L14" s="1062">
        <v>1</v>
      </c>
      <c r="M14" s="1062">
        <v>1</v>
      </c>
      <c r="N14" s="1062">
        <v>1</v>
      </c>
      <c r="O14" s="1062">
        <v>1</v>
      </c>
      <c r="P14" s="1062">
        <v>1</v>
      </c>
      <c r="Q14" s="1062">
        <v>1</v>
      </c>
      <c r="R14" s="1062">
        <v>1</v>
      </c>
      <c r="S14" s="1582">
        <v>1</v>
      </c>
      <c r="W14" s="103"/>
      <c r="X14" s="103"/>
      <c r="Y14" s="103"/>
      <c r="Z14" s="103"/>
      <c r="AA14" s="103"/>
    </row>
    <row r="15" spans="1:27" ht="34.35" customHeight="1">
      <c r="A15" s="466" t="s">
        <v>8</v>
      </c>
      <c r="B15" s="113" t="s">
        <v>293</v>
      </c>
      <c r="C15" s="180">
        <v>4</v>
      </c>
      <c r="D15" s="479" t="s">
        <v>41</v>
      </c>
      <c r="E15" s="474" t="s">
        <v>38</v>
      </c>
      <c r="F15" s="473" t="s">
        <v>105</v>
      </c>
      <c r="G15" s="474" t="s">
        <v>43</v>
      </c>
      <c r="H15" s="457">
        <v>0</v>
      </c>
      <c r="I15" s="445">
        <v>45809</v>
      </c>
      <c r="J15" s="1059">
        <v>0</v>
      </c>
      <c r="K15" s="1060">
        <v>0</v>
      </c>
      <c r="L15" s="1060">
        <v>0</v>
      </c>
      <c r="M15" s="1060">
        <v>0</v>
      </c>
      <c r="N15" s="1060">
        <v>0</v>
      </c>
      <c r="O15" s="1060">
        <v>0</v>
      </c>
      <c r="P15" s="1060">
        <v>0</v>
      </c>
      <c r="Q15" s="1060">
        <v>0</v>
      </c>
      <c r="R15" s="1060">
        <v>0</v>
      </c>
      <c r="S15" s="1412">
        <v>0</v>
      </c>
      <c r="W15" s="103"/>
      <c r="X15" s="103"/>
      <c r="Y15" s="103"/>
      <c r="Z15" s="103"/>
      <c r="AA15" s="103"/>
    </row>
    <row r="16" spans="1:27" ht="34.35" customHeight="1">
      <c r="A16" s="467" t="s">
        <v>8</v>
      </c>
      <c r="B16" s="145" t="s">
        <v>294</v>
      </c>
      <c r="C16" s="198">
        <v>5</v>
      </c>
      <c r="D16" s="480" t="s">
        <v>41</v>
      </c>
      <c r="E16" s="476" t="s">
        <v>136</v>
      </c>
      <c r="F16" s="475" t="s">
        <v>110</v>
      </c>
      <c r="G16" s="476" t="s">
        <v>134</v>
      </c>
      <c r="H16" s="461">
        <v>7.65</v>
      </c>
      <c r="I16" s="447">
        <v>45809</v>
      </c>
      <c r="J16" s="1056">
        <v>0</v>
      </c>
      <c r="K16" s="1057">
        <v>0</v>
      </c>
      <c r="L16" s="1057">
        <v>0</v>
      </c>
      <c r="M16" s="1057">
        <v>0</v>
      </c>
      <c r="N16" s="1057">
        <v>0</v>
      </c>
      <c r="O16" s="1057">
        <v>0</v>
      </c>
      <c r="P16" s="1589">
        <v>0.18</v>
      </c>
      <c r="Q16" s="1057">
        <v>0</v>
      </c>
      <c r="R16" s="1057">
        <v>0.25</v>
      </c>
      <c r="S16" s="1588">
        <v>0</v>
      </c>
      <c r="W16" s="103"/>
      <c r="X16" s="103"/>
      <c r="Y16" s="103"/>
      <c r="Z16" s="103"/>
      <c r="AA16" s="103"/>
    </row>
    <row r="17" spans="1:27" ht="34.35" customHeight="1">
      <c r="A17" s="469" t="s">
        <v>8</v>
      </c>
      <c r="B17" s="144" t="s">
        <v>283</v>
      </c>
      <c r="C17" s="222">
        <v>1</v>
      </c>
      <c r="D17" s="223" t="s">
        <v>284</v>
      </c>
      <c r="E17" s="478" t="s">
        <v>38</v>
      </c>
      <c r="F17" s="477" t="s">
        <v>106</v>
      </c>
      <c r="G17" s="478" t="s">
        <v>285</v>
      </c>
      <c r="H17" s="460">
        <v>27</v>
      </c>
      <c r="I17" s="468">
        <v>45839</v>
      </c>
      <c r="J17" s="1063" t="s">
        <v>41</v>
      </c>
      <c r="K17" s="1064">
        <v>0</v>
      </c>
      <c r="L17" s="1064" t="s">
        <v>41</v>
      </c>
      <c r="M17" s="1064">
        <v>0</v>
      </c>
      <c r="N17" s="1064">
        <v>0</v>
      </c>
      <c r="O17" s="1064">
        <v>3</v>
      </c>
      <c r="P17" s="1064">
        <v>2</v>
      </c>
      <c r="Q17" s="1064">
        <v>2</v>
      </c>
      <c r="R17" s="1064">
        <v>1</v>
      </c>
      <c r="S17" s="1584">
        <v>0</v>
      </c>
      <c r="U17" s="1414">
        <f>SUM(J17:S17)</f>
        <v>8</v>
      </c>
      <c r="W17" s="103"/>
      <c r="X17" s="103"/>
      <c r="Y17" s="103"/>
      <c r="Z17" s="103"/>
      <c r="AA17" s="103"/>
    </row>
    <row r="18" spans="1:27" ht="34.35" customHeight="1">
      <c r="A18" s="466" t="s">
        <v>8</v>
      </c>
      <c r="B18" s="113" t="s">
        <v>286</v>
      </c>
      <c r="C18" s="180">
        <v>2</v>
      </c>
      <c r="D18" s="181" t="s">
        <v>287</v>
      </c>
      <c r="E18" s="474" t="s">
        <v>288</v>
      </c>
      <c r="F18" s="473" t="s">
        <v>106</v>
      </c>
      <c r="G18" s="474" t="s">
        <v>289</v>
      </c>
      <c r="H18" s="457">
        <v>3</v>
      </c>
      <c r="I18" s="445">
        <v>45839</v>
      </c>
      <c r="J18" s="2527">
        <v>0</v>
      </c>
      <c r="K18" s="2528">
        <v>0</v>
      </c>
      <c r="L18" s="2528">
        <v>0</v>
      </c>
      <c r="M18" s="2528">
        <v>0</v>
      </c>
      <c r="N18" s="2528">
        <v>0</v>
      </c>
      <c r="O18" s="2528">
        <v>0</v>
      </c>
      <c r="P18" s="2528">
        <v>1</v>
      </c>
      <c r="Q18" s="2528">
        <v>1</v>
      </c>
      <c r="R18" s="2528">
        <v>0</v>
      </c>
      <c r="S18" s="2529">
        <v>0</v>
      </c>
      <c r="U18" s="1414">
        <f>SUM(J18:S18)</f>
        <v>2</v>
      </c>
    </row>
    <row r="19" spans="1:27" ht="34.35" customHeight="1">
      <c r="A19" s="466" t="s">
        <v>8</v>
      </c>
      <c r="B19" s="113" t="s">
        <v>292</v>
      </c>
      <c r="C19" s="180">
        <v>3</v>
      </c>
      <c r="D19" s="479" t="s">
        <v>41</v>
      </c>
      <c r="E19" s="474" t="s">
        <v>133</v>
      </c>
      <c r="F19" s="473" t="s">
        <v>105</v>
      </c>
      <c r="G19" s="474" t="s">
        <v>43</v>
      </c>
      <c r="H19" s="458">
        <v>1</v>
      </c>
      <c r="I19" s="445">
        <v>45839</v>
      </c>
      <c r="J19" s="1061">
        <v>1</v>
      </c>
      <c r="K19" s="1062">
        <v>1</v>
      </c>
      <c r="L19" s="1062">
        <v>1</v>
      </c>
      <c r="M19" s="1062">
        <v>1</v>
      </c>
      <c r="N19" s="1062">
        <v>1</v>
      </c>
      <c r="O19" s="1062">
        <v>1</v>
      </c>
      <c r="P19" s="1062">
        <v>1</v>
      </c>
      <c r="Q19" s="1062">
        <v>1</v>
      </c>
      <c r="R19" s="1062">
        <v>1</v>
      </c>
      <c r="S19" s="1582">
        <v>1</v>
      </c>
      <c r="W19" s="103"/>
      <c r="X19" s="103"/>
      <c r="Y19" s="103"/>
      <c r="Z19" s="103"/>
      <c r="AA19" s="103"/>
    </row>
    <row r="20" spans="1:27" ht="34.35" customHeight="1">
      <c r="A20" s="466" t="s">
        <v>8</v>
      </c>
      <c r="B20" s="113" t="s">
        <v>293</v>
      </c>
      <c r="C20" s="180">
        <v>4</v>
      </c>
      <c r="D20" s="479" t="s">
        <v>41</v>
      </c>
      <c r="E20" s="474" t="s">
        <v>38</v>
      </c>
      <c r="F20" s="473" t="s">
        <v>105</v>
      </c>
      <c r="G20" s="474" t="s">
        <v>43</v>
      </c>
      <c r="H20" s="457">
        <v>0</v>
      </c>
      <c r="I20" s="445">
        <v>45839</v>
      </c>
      <c r="J20" s="1059">
        <v>0</v>
      </c>
      <c r="K20" s="1060">
        <v>0</v>
      </c>
      <c r="L20" s="1060">
        <v>0</v>
      </c>
      <c r="M20" s="1060">
        <v>0</v>
      </c>
      <c r="N20" s="1060">
        <v>0</v>
      </c>
      <c r="O20" s="1060">
        <v>0</v>
      </c>
      <c r="P20" s="1060">
        <v>0</v>
      </c>
      <c r="Q20" s="1060">
        <v>0</v>
      </c>
      <c r="R20" s="1060">
        <v>0</v>
      </c>
      <c r="S20" s="1412">
        <v>0</v>
      </c>
      <c r="W20" s="103"/>
      <c r="X20" s="103"/>
      <c r="Y20" s="103"/>
      <c r="Z20" s="103"/>
      <c r="AA20" s="103"/>
    </row>
    <row r="21" spans="1:27" ht="34.35" customHeight="1">
      <c r="A21" s="467" t="s">
        <v>8</v>
      </c>
      <c r="B21" s="145" t="s">
        <v>294</v>
      </c>
      <c r="C21" s="198">
        <v>5</v>
      </c>
      <c r="D21" s="480" t="s">
        <v>41</v>
      </c>
      <c r="E21" s="476" t="s">
        <v>136</v>
      </c>
      <c r="F21" s="475" t="s">
        <v>110</v>
      </c>
      <c r="G21" s="476" t="s">
        <v>134</v>
      </c>
      <c r="H21" s="461">
        <v>7.65</v>
      </c>
      <c r="I21" s="447">
        <v>45839</v>
      </c>
      <c r="J21" s="1056">
        <v>0</v>
      </c>
      <c r="K21" s="1057">
        <v>0</v>
      </c>
      <c r="L21" s="1057">
        <v>0</v>
      </c>
      <c r="M21" s="1057">
        <v>0</v>
      </c>
      <c r="N21" s="1057">
        <v>0</v>
      </c>
      <c r="O21" s="1057">
        <v>0</v>
      </c>
      <c r="P21" s="1057">
        <v>0</v>
      </c>
      <c r="Q21" s="1057">
        <v>0</v>
      </c>
      <c r="R21" s="1057">
        <v>0</v>
      </c>
      <c r="S21" s="1590">
        <f>0.5+0.13</f>
        <v>0.63</v>
      </c>
      <c r="W21" s="103"/>
      <c r="X21" s="103"/>
      <c r="Y21" s="103"/>
      <c r="Z21" s="103"/>
      <c r="AA21" s="103"/>
    </row>
    <row r="22" spans="1:27" ht="34.35" customHeight="1">
      <c r="A22" s="469" t="s">
        <v>8</v>
      </c>
      <c r="B22" s="144" t="s">
        <v>283</v>
      </c>
      <c r="C22" s="222">
        <v>1</v>
      </c>
      <c r="D22" s="223" t="s">
        <v>284</v>
      </c>
      <c r="E22" s="478" t="s">
        <v>38</v>
      </c>
      <c r="F22" s="477" t="s">
        <v>106</v>
      </c>
      <c r="G22" s="478" t="s">
        <v>285</v>
      </c>
      <c r="H22" s="460">
        <v>27</v>
      </c>
      <c r="I22" s="468">
        <v>45870</v>
      </c>
      <c r="J22" s="1063" t="s">
        <v>41</v>
      </c>
      <c r="K22" s="1064">
        <v>0</v>
      </c>
      <c r="L22" s="1064" t="s">
        <v>41</v>
      </c>
      <c r="M22" s="1064">
        <v>0</v>
      </c>
      <c r="N22" s="1064">
        <v>1</v>
      </c>
      <c r="O22" s="1064">
        <v>5</v>
      </c>
      <c r="P22" s="1064">
        <v>8</v>
      </c>
      <c r="Q22" s="1064">
        <v>1</v>
      </c>
      <c r="R22" s="1064">
        <v>3</v>
      </c>
      <c r="S22" s="1584">
        <v>0</v>
      </c>
      <c r="U22" s="1414">
        <f>SUM(J22:S22)</f>
        <v>18</v>
      </c>
      <c r="W22" s="103"/>
      <c r="X22" s="103"/>
      <c r="Y22" s="103"/>
      <c r="Z22" s="103"/>
      <c r="AA22" s="103"/>
    </row>
    <row r="23" spans="1:27" ht="34.35" customHeight="1">
      <c r="A23" s="466" t="s">
        <v>8</v>
      </c>
      <c r="B23" s="113" t="s">
        <v>286</v>
      </c>
      <c r="C23" s="180">
        <v>2</v>
      </c>
      <c r="D23" s="181" t="s">
        <v>287</v>
      </c>
      <c r="E23" s="474" t="s">
        <v>288</v>
      </c>
      <c r="F23" s="473" t="s">
        <v>106</v>
      </c>
      <c r="G23" s="474" t="s">
        <v>289</v>
      </c>
      <c r="H23" s="457">
        <v>3</v>
      </c>
      <c r="I23" s="445">
        <v>45870</v>
      </c>
      <c r="J23" s="2527">
        <v>0</v>
      </c>
      <c r="K23" s="2528">
        <v>0</v>
      </c>
      <c r="L23" s="2528">
        <v>0</v>
      </c>
      <c r="M23" s="2528">
        <v>0</v>
      </c>
      <c r="N23" s="2528">
        <v>0</v>
      </c>
      <c r="O23" s="2528">
        <v>1</v>
      </c>
      <c r="P23" s="2528">
        <v>1</v>
      </c>
      <c r="Q23" s="2528">
        <v>1</v>
      </c>
      <c r="R23" s="2528">
        <v>0</v>
      </c>
      <c r="S23" s="2529">
        <v>0</v>
      </c>
      <c r="U23" s="1414">
        <f>SUM(J23:S23)</f>
        <v>3</v>
      </c>
    </row>
    <row r="24" spans="1:27" ht="34.35" customHeight="1">
      <c r="A24" s="466" t="s">
        <v>8</v>
      </c>
      <c r="B24" s="113" t="s">
        <v>292</v>
      </c>
      <c r="C24" s="180">
        <v>3</v>
      </c>
      <c r="D24" s="479" t="s">
        <v>41</v>
      </c>
      <c r="E24" s="474" t="s">
        <v>133</v>
      </c>
      <c r="F24" s="473" t="s">
        <v>105</v>
      </c>
      <c r="G24" s="474" t="s">
        <v>43</v>
      </c>
      <c r="H24" s="458">
        <v>1</v>
      </c>
      <c r="I24" s="445">
        <v>45870</v>
      </c>
      <c r="J24" s="1061">
        <v>1</v>
      </c>
      <c r="K24" s="1062">
        <v>1</v>
      </c>
      <c r="L24" s="1062">
        <v>1</v>
      </c>
      <c r="M24" s="1062">
        <v>1</v>
      </c>
      <c r="N24" s="1062">
        <v>1</v>
      </c>
      <c r="O24" s="1062">
        <v>1</v>
      </c>
      <c r="P24" s="1062">
        <v>1</v>
      </c>
      <c r="Q24" s="1062">
        <v>1</v>
      </c>
      <c r="R24" s="1062">
        <v>1</v>
      </c>
      <c r="S24" s="1582">
        <v>1</v>
      </c>
      <c r="W24" s="103"/>
      <c r="X24" s="103"/>
      <c r="Y24" s="103"/>
      <c r="Z24" s="103"/>
      <c r="AA24" s="103"/>
    </row>
    <row r="25" spans="1:27" ht="34.35" customHeight="1">
      <c r="A25" s="466" t="s">
        <v>8</v>
      </c>
      <c r="B25" s="113" t="s">
        <v>293</v>
      </c>
      <c r="C25" s="180">
        <v>4</v>
      </c>
      <c r="D25" s="479" t="s">
        <v>41</v>
      </c>
      <c r="E25" s="474" t="s">
        <v>38</v>
      </c>
      <c r="F25" s="473" t="s">
        <v>105</v>
      </c>
      <c r="G25" s="474" t="s">
        <v>43</v>
      </c>
      <c r="H25" s="457">
        <v>0</v>
      </c>
      <c r="I25" s="445">
        <v>45870</v>
      </c>
      <c r="J25" s="1059">
        <v>0</v>
      </c>
      <c r="K25" s="1060">
        <v>0</v>
      </c>
      <c r="L25" s="1060">
        <v>0</v>
      </c>
      <c r="M25" s="1060">
        <v>0</v>
      </c>
      <c r="N25" s="1060">
        <v>0</v>
      </c>
      <c r="O25" s="1060">
        <v>0</v>
      </c>
      <c r="P25" s="1060">
        <v>0</v>
      </c>
      <c r="Q25" s="1060">
        <v>0</v>
      </c>
      <c r="R25" s="1060">
        <v>0</v>
      </c>
      <c r="S25" s="1412">
        <v>0</v>
      </c>
      <c r="W25" s="103"/>
      <c r="X25" s="103"/>
      <c r="Y25" s="103"/>
      <c r="Z25" s="103"/>
      <c r="AA25" s="103"/>
    </row>
    <row r="26" spans="1:27" ht="34.35" customHeight="1">
      <c r="A26" s="467" t="s">
        <v>8</v>
      </c>
      <c r="B26" s="145" t="s">
        <v>294</v>
      </c>
      <c r="C26" s="198">
        <v>5</v>
      </c>
      <c r="D26" s="480" t="s">
        <v>41</v>
      </c>
      <c r="E26" s="476" t="s">
        <v>136</v>
      </c>
      <c r="F26" s="475" t="s">
        <v>110</v>
      </c>
      <c r="G26" s="476" t="s">
        <v>134</v>
      </c>
      <c r="H26" s="461">
        <v>7.65</v>
      </c>
      <c r="I26" s="447">
        <v>45870</v>
      </c>
      <c r="J26" s="1056">
        <v>0</v>
      </c>
      <c r="K26" s="1057">
        <v>0</v>
      </c>
      <c r="L26" s="1057">
        <v>0</v>
      </c>
      <c r="M26" s="1057">
        <v>0</v>
      </c>
      <c r="N26" s="1057">
        <v>0</v>
      </c>
      <c r="O26" s="1057">
        <v>0</v>
      </c>
      <c r="P26" s="1589">
        <f>0.05+0.09</f>
        <v>0.14000000000000001</v>
      </c>
      <c r="Q26" s="1057">
        <v>0</v>
      </c>
      <c r="R26" s="1057">
        <v>0</v>
      </c>
      <c r="S26" s="1590">
        <v>0.37</v>
      </c>
      <c r="W26" s="103"/>
      <c r="X26" s="103"/>
      <c r="Y26" s="103"/>
      <c r="Z26" s="103"/>
      <c r="AA26" s="103"/>
    </row>
    <row r="27" spans="1:27" ht="34.35" customHeight="1">
      <c r="A27" s="469" t="s">
        <v>8</v>
      </c>
      <c r="B27" s="144" t="s">
        <v>283</v>
      </c>
      <c r="C27" s="222">
        <v>1</v>
      </c>
      <c r="D27" s="223" t="s">
        <v>284</v>
      </c>
      <c r="E27" s="478" t="s">
        <v>38</v>
      </c>
      <c r="F27" s="477" t="s">
        <v>106</v>
      </c>
      <c r="G27" s="478" t="s">
        <v>285</v>
      </c>
      <c r="H27" s="460">
        <v>27</v>
      </c>
      <c r="I27" s="468">
        <v>45901</v>
      </c>
      <c r="J27" s="1063" t="s">
        <v>41</v>
      </c>
      <c r="K27" s="1064">
        <v>0</v>
      </c>
      <c r="L27" s="1064" t="s">
        <v>41</v>
      </c>
      <c r="M27" s="1064">
        <v>1</v>
      </c>
      <c r="N27" s="1064">
        <v>1</v>
      </c>
      <c r="O27" s="1064">
        <v>3</v>
      </c>
      <c r="P27" s="1064">
        <v>6</v>
      </c>
      <c r="Q27" s="1064">
        <v>0</v>
      </c>
      <c r="R27" s="1064">
        <v>2</v>
      </c>
      <c r="S27" s="1584">
        <v>0</v>
      </c>
      <c r="U27" s="1414">
        <f>SUM(J27:S27)</f>
        <v>13</v>
      </c>
      <c r="W27" s="103"/>
      <c r="X27" s="103"/>
      <c r="Y27" s="103"/>
      <c r="Z27" s="103"/>
      <c r="AA27" s="103"/>
    </row>
    <row r="28" spans="1:27" ht="34.35" customHeight="1">
      <c r="A28" s="466" t="s">
        <v>8</v>
      </c>
      <c r="B28" s="113" t="s">
        <v>286</v>
      </c>
      <c r="C28" s="180">
        <v>2</v>
      </c>
      <c r="D28" s="181" t="s">
        <v>287</v>
      </c>
      <c r="E28" s="474" t="s">
        <v>288</v>
      </c>
      <c r="F28" s="473" t="s">
        <v>106</v>
      </c>
      <c r="G28" s="474" t="s">
        <v>289</v>
      </c>
      <c r="H28" s="457">
        <v>3</v>
      </c>
      <c r="I28" s="445">
        <v>45901</v>
      </c>
      <c r="J28" s="2527">
        <v>0</v>
      </c>
      <c r="K28" s="2528">
        <v>0</v>
      </c>
      <c r="L28" s="2528">
        <v>0</v>
      </c>
      <c r="M28" s="2528">
        <v>0</v>
      </c>
      <c r="N28" s="2528">
        <v>1</v>
      </c>
      <c r="O28" s="2528">
        <v>0</v>
      </c>
      <c r="P28" s="2528">
        <v>1</v>
      </c>
      <c r="Q28" s="2528">
        <v>0</v>
      </c>
      <c r="R28" s="2528">
        <v>1</v>
      </c>
      <c r="S28" s="2529">
        <v>0</v>
      </c>
      <c r="U28" s="1414">
        <f>SUM(J28:S28)</f>
        <v>3</v>
      </c>
    </row>
    <row r="29" spans="1:27" ht="34.35" customHeight="1">
      <c r="A29" s="466" t="s">
        <v>8</v>
      </c>
      <c r="B29" s="113" t="s">
        <v>292</v>
      </c>
      <c r="C29" s="180">
        <v>3</v>
      </c>
      <c r="D29" s="479" t="s">
        <v>41</v>
      </c>
      <c r="E29" s="474" t="s">
        <v>133</v>
      </c>
      <c r="F29" s="473" t="s">
        <v>105</v>
      </c>
      <c r="G29" s="474" t="s">
        <v>43</v>
      </c>
      <c r="H29" s="458">
        <v>1</v>
      </c>
      <c r="I29" s="445">
        <v>45901</v>
      </c>
      <c r="J29" s="1061">
        <v>1</v>
      </c>
      <c r="K29" s="1062">
        <v>1</v>
      </c>
      <c r="L29" s="1062">
        <v>1</v>
      </c>
      <c r="M29" s="1062">
        <v>1</v>
      </c>
      <c r="N29" s="1062">
        <v>1</v>
      </c>
      <c r="O29" s="1062">
        <v>1</v>
      </c>
      <c r="P29" s="1062">
        <v>1</v>
      </c>
      <c r="Q29" s="1062">
        <v>1</v>
      </c>
      <c r="R29" s="1062">
        <v>1</v>
      </c>
      <c r="S29" s="1582">
        <v>1</v>
      </c>
      <c r="W29" s="103"/>
      <c r="X29" s="103"/>
      <c r="Y29" s="103"/>
      <c r="Z29" s="103"/>
      <c r="AA29" s="103"/>
    </row>
    <row r="30" spans="1:27" ht="34.35" customHeight="1">
      <c r="A30" s="466" t="s">
        <v>8</v>
      </c>
      <c r="B30" s="113" t="s">
        <v>293</v>
      </c>
      <c r="C30" s="180">
        <v>4</v>
      </c>
      <c r="D30" s="479" t="s">
        <v>41</v>
      </c>
      <c r="E30" s="474" t="s">
        <v>38</v>
      </c>
      <c r="F30" s="473" t="s">
        <v>105</v>
      </c>
      <c r="G30" s="474" t="s">
        <v>43</v>
      </c>
      <c r="H30" s="457">
        <v>0</v>
      </c>
      <c r="I30" s="445">
        <v>45901</v>
      </c>
      <c r="J30" s="1059">
        <v>0</v>
      </c>
      <c r="K30" s="1060">
        <v>0</v>
      </c>
      <c r="L30" s="1060">
        <v>0</v>
      </c>
      <c r="M30" s="1060">
        <v>0</v>
      </c>
      <c r="N30" s="1060">
        <v>0</v>
      </c>
      <c r="O30" s="1060">
        <v>0</v>
      </c>
      <c r="P30" s="1060">
        <v>0</v>
      </c>
      <c r="Q30" s="1060">
        <v>0</v>
      </c>
      <c r="R30" s="1060">
        <v>0</v>
      </c>
      <c r="S30" s="1412">
        <v>0</v>
      </c>
      <c r="W30" s="103"/>
      <c r="X30" s="103"/>
      <c r="Y30" s="103"/>
      <c r="Z30" s="103"/>
      <c r="AA30" s="103"/>
    </row>
    <row r="31" spans="1:27" ht="34.35" customHeight="1">
      <c r="A31" s="467" t="s">
        <v>8</v>
      </c>
      <c r="B31" s="145" t="s">
        <v>294</v>
      </c>
      <c r="C31" s="198">
        <v>5</v>
      </c>
      <c r="D31" s="480" t="s">
        <v>41</v>
      </c>
      <c r="E31" s="476" t="s">
        <v>136</v>
      </c>
      <c r="F31" s="475" t="s">
        <v>110</v>
      </c>
      <c r="G31" s="476" t="s">
        <v>134</v>
      </c>
      <c r="H31" s="461">
        <v>7.65</v>
      </c>
      <c r="I31" s="447">
        <v>45901</v>
      </c>
      <c r="J31" s="1065"/>
      <c r="K31" s="1058"/>
      <c r="L31" s="1058"/>
      <c r="M31" s="1058"/>
      <c r="N31" s="1058"/>
      <c r="O31" s="1058"/>
      <c r="P31" s="1058"/>
      <c r="Q31" s="1058"/>
      <c r="R31" s="1058"/>
      <c r="S31" s="1590">
        <v>0.16</v>
      </c>
      <c r="W31" s="103"/>
      <c r="X31" s="103"/>
      <c r="Y31" s="103"/>
      <c r="Z31" s="103"/>
      <c r="AA31" s="103"/>
    </row>
    <row r="32" spans="1:27" ht="34.35" customHeight="1">
      <c r="A32" s="469" t="s">
        <v>8</v>
      </c>
      <c r="B32" s="144" t="s">
        <v>283</v>
      </c>
      <c r="C32" s="222">
        <v>1</v>
      </c>
      <c r="D32" s="223" t="s">
        <v>284</v>
      </c>
      <c r="E32" s="478" t="s">
        <v>38</v>
      </c>
      <c r="F32" s="477" t="s">
        <v>106</v>
      </c>
      <c r="G32" s="478" t="s">
        <v>285</v>
      </c>
      <c r="H32" s="460">
        <v>27</v>
      </c>
      <c r="I32" s="468">
        <v>45931</v>
      </c>
      <c r="J32" s="1063" t="s">
        <v>41</v>
      </c>
      <c r="K32" s="1064">
        <v>0</v>
      </c>
      <c r="L32" s="1064" t="s">
        <v>41</v>
      </c>
      <c r="M32" s="1064">
        <v>1</v>
      </c>
      <c r="N32" s="1064">
        <v>3</v>
      </c>
      <c r="O32" s="1064">
        <v>5</v>
      </c>
      <c r="P32" s="1064">
        <v>0</v>
      </c>
      <c r="Q32" s="1064">
        <v>0</v>
      </c>
      <c r="R32" s="1064">
        <v>1</v>
      </c>
      <c r="S32" s="1584">
        <v>1</v>
      </c>
      <c r="U32" s="1414">
        <f>SUM(J32:S32)</f>
        <v>11</v>
      </c>
      <c r="W32" s="103"/>
      <c r="X32" s="103"/>
      <c r="Y32" s="103"/>
      <c r="Z32" s="103"/>
      <c r="AA32" s="103"/>
    </row>
    <row r="33" spans="1:27" ht="34.35" customHeight="1">
      <c r="A33" s="466" t="s">
        <v>8</v>
      </c>
      <c r="B33" s="113" t="s">
        <v>286</v>
      </c>
      <c r="C33" s="180">
        <v>2</v>
      </c>
      <c r="D33" s="181" t="s">
        <v>287</v>
      </c>
      <c r="E33" s="474" t="s">
        <v>288</v>
      </c>
      <c r="F33" s="473" t="s">
        <v>106</v>
      </c>
      <c r="G33" s="474" t="s">
        <v>289</v>
      </c>
      <c r="H33" s="457">
        <v>2</v>
      </c>
      <c r="I33" s="445">
        <v>45931</v>
      </c>
      <c r="J33" s="2527">
        <v>0</v>
      </c>
      <c r="K33" s="2528">
        <v>0</v>
      </c>
      <c r="L33" s="2528">
        <v>0</v>
      </c>
      <c r="M33" s="2528">
        <v>0</v>
      </c>
      <c r="N33" s="2528">
        <v>0</v>
      </c>
      <c r="O33" s="2528">
        <v>0</v>
      </c>
      <c r="P33" s="2528">
        <v>0</v>
      </c>
      <c r="Q33" s="2528">
        <v>0</v>
      </c>
      <c r="R33" s="2528">
        <v>1</v>
      </c>
      <c r="S33" s="2529">
        <v>1</v>
      </c>
      <c r="U33" s="1414">
        <f>SUM(J33:S33)</f>
        <v>2</v>
      </c>
    </row>
    <row r="34" spans="1:27" ht="34.35" customHeight="1">
      <c r="A34" s="466" t="s">
        <v>8</v>
      </c>
      <c r="B34" s="113" t="s">
        <v>292</v>
      </c>
      <c r="C34" s="180">
        <v>3</v>
      </c>
      <c r="D34" s="479" t="s">
        <v>41</v>
      </c>
      <c r="E34" s="474" t="s">
        <v>133</v>
      </c>
      <c r="F34" s="473" t="s">
        <v>105</v>
      </c>
      <c r="G34" s="474" t="s">
        <v>43</v>
      </c>
      <c r="H34" s="458">
        <v>1</v>
      </c>
      <c r="I34" s="445">
        <v>45931</v>
      </c>
      <c r="J34" s="1061">
        <v>1</v>
      </c>
      <c r="K34" s="1062">
        <v>1</v>
      </c>
      <c r="L34" s="1062">
        <v>1</v>
      </c>
      <c r="M34" s="1062">
        <v>1</v>
      </c>
      <c r="N34" s="1062">
        <v>1</v>
      </c>
      <c r="O34" s="1062">
        <v>1</v>
      </c>
      <c r="P34" s="1062">
        <v>1</v>
      </c>
      <c r="Q34" s="1062">
        <v>1</v>
      </c>
      <c r="R34" s="1062">
        <v>1</v>
      </c>
      <c r="S34" s="1582">
        <v>1</v>
      </c>
      <c r="W34" s="103"/>
      <c r="X34" s="103"/>
      <c r="Y34" s="103"/>
      <c r="Z34" s="103"/>
      <c r="AA34" s="103"/>
    </row>
    <row r="35" spans="1:27" ht="34.35" customHeight="1">
      <c r="A35" s="466" t="s">
        <v>8</v>
      </c>
      <c r="B35" s="113" t="s">
        <v>293</v>
      </c>
      <c r="C35" s="180">
        <v>4</v>
      </c>
      <c r="D35" s="479" t="s">
        <v>41</v>
      </c>
      <c r="E35" s="474" t="s">
        <v>38</v>
      </c>
      <c r="F35" s="473" t="s">
        <v>105</v>
      </c>
      <c r="G35" s="474" t="s">
        <v>43</v>
      </c>
      <c r="H35" s="457">
        <v>0</v>
      </c>
      <c r="I35" s="445">
        <v>45931</v>
      </c>
      <c r="J35" s="1059">
        <v>0</v>
      </c>
      <c r="K35" s="1060">
        <v>0</v>
      </c>
      <c r="L35" s="1060">
        <v>0</v>
      </c>
      <c r="M35" s="1060">
        <v>0</v>
      </c>
      <c r="N35" s="1060">
        <v>0</v>
      </c>
      <c r="O35" s="1060">
        <v>0</v>
      </c>
      <c r="P35" s="1060">
        <v>0</v>
      </c>
      <c r="Q35" s="1060">
        <v>0</v>
      </c>
      <c r="R35" s="1060">
        <v>0</v>
      </c>
      <c r="S35" s="1412">
        <v>0</v>
      </c>
      <c r="W35" s="103"/>
      <c r="X35" s="103"/>
      <c r="Y35" s="103"/>
      <c r="Z35" s="103"/>
      <c r="AA35" s="103"/>
    </row>
    <row r="36" spans="1:27" ht="34.35" customHeight="1">
      <c r="A36" s="467" t="s">
        <v>8</v>
      </c>
      <c r="B36" s="145" t="s">
        <v>294</v>
      </c>
      <c r="C36" s="198">
        <v>5</v>
      </c>
      <c r="D36" s="480" t="s">
        <v>41</v>
      </c>
      <c r="E36" s="476" t="s">
        <v>136</v>
      </c>
      <c r="F36" s="475" t="s">
        <v>110</v>
      </c>
      <c r="G36" s="476" t="s">
        <v>134</v>
      </c>
      <c r="H36" s="461">
        <v>7.65</v>
      </c>
      <c r="I36" s="447">
        <v>45931</v>
      </c>
      <c r="J36" s="1065"/>
      <c r="K36" s="1058"/>
      <c r="L36" s="1058" t="s">
        <v>41</v>
      </c>
      <c r="M36" s="1058"/>
      <c r="N36" s="1058"/>
      <c r="O36" s="1058"/>
      <c r="P36" s="1589">
        <v>0.02</v>
      </c>
      <c r="Q36" s="1058"/>
      <c r="R36" s="1058"/>
      <c r="S36" s="1590">
        <v>7.0000000000000007E-2</v>
      </c>
      <c r="W36" s="103"/>
      <c r="X36" s="103"/>
      <c r="Y36" s="103"/>
      <c r="Z36" s="103"/>
      <c r="AA36" s="103"/>
    </row>
    <row r="37" spans="1:27" ht="34.35" customHeight="1">
      <c r="A37" s="469" t="s">
        <v>8</v>
      </c>
      <c r="B37" s="144" t="s">
        <v>283</v>
      </c>
      <c r="C37" s="222">
        <v>1</v>
      </c>
      <c r="D37" s="223" t="s">
        <v>284</v>
      </c>
      <c r="E37" s="478" t="s">
        <v>38</v>
      </c>
      <c r="F37" s="477" t="s">
        <v>106</v>
      </c>
      <c r="G37" s="478" t="s">
        <v>285</v>
      </c>
      <c r="H37" s="460">
        <v>27</v>
      </c>
      <c r="I37" s="468">
        <v>45962</v>
      </c>
      <c r="J37" s="1063" t="s">
        <v>41</v>
      </c>
      <c r="K37" s="1064">
        <v>2</v>
      </c>
      <c r="L37" s="1064" t="s">
        <v>41</v>
      </c>
      <c r="M37" s="1064">
        <v>3</v>
      </c>
      <c r="N37" s="1064">
        <v>0</v>
      </c>
      <c r="O37" s="1064">
        <v>0</v>
      </c>
      <c r="P37" s="1064">
        <v>3</v>
      </c>
      <c r="Q37" s="1064">
        <v>0</v>
      </c>
      <c r="R37" s="1064">
        <v>0</v>
      </c>
      <c r="S37" s="1584">
        <v>0</v>
      </c>
      <c r="U37" s="1414">
        <f>SUM(J37:S37)</f>
        <v>8</v>
      </c>
      <c r="W37" s="103"/>
      <c r="X37" s="103"/>
      <c r="Y37" s="103"/>
      <c r="Z37" s="103"/>
      <c r="AA37" s="103"/>
    </row>
    <row r="38" spans="1:27" ht="34.35" customHeight="1">
      <c r="A38" s="466" t="s">
        <v>8</v>
      </c>
      <c r="B38" s="113" t="s">
        <v>286</v>
      </c>
      <c r="C38" s="180">
        <v>2</v>
      </c>
      <c r="D38" s="181" t="s">
        <v>287</v>
      </c>
      <c r="E38" s="474" t="s">
        <v>288</v>
      </c>
      <c r="F38" s="473" t="s">
        <v>106</v>
      </c>
      <c r="G38" s="474" t="s">
        <v>289</v>
      </c>
      <c r="H38" s="457">
        <v>2</v>
      </c>
      <c r="I38" s="445">
        <v>45962</v>
      </c>
      <c r="J38" s="2527">
        <v>0</v>
      </c>
      <c r="K38" s="2528">
        <v>0</v>
      </c>
      <c r="L38" s="2528">
        <v>0</v>
      </c>
      <c r="M38" s="2528">
        <v>0</v>
      </c>
      <c r="N38" s="2528">
        <v>0</v>
      </c>
      <c r="O38" s="2528">
        <v>1</v>
      </c>
      <c r="P38" s="2528">
        <v>0</v>
      </c>
      <c r="Q38" s="2528">
        <v>0</v>
      </c>
      <c r="R38" s="2528">
        <v>1</v>
      </c>
      <c r="S38" s="2529">
        <v>0</v>
      </c>
      <c r="U38" s="1414">
        <f>SUM(J38:S38)</f>
        <v>2</v>
      </c>
    </row>
    <row r="39" spans="1:27" ht="34.35" customHeight="1">
      <c r="A39" s="466" t="s">
        <v>8</v>
      </c>
      <c r="B39" s="113" t="s">
        <v>292</v>
      </c>
      <c r="C39" s="180">
        <v>3</v>
      </c>
      <c r="D39" s="479" t="s">
        <v>41</v>
      </c>
      <c r="E39" s="474" t="s">
        <v>133</v>
      </c>
      <c r="F39" s="473" t="s">
        <v>105</v>
      </c>
      <c r="G39" s="474" t="s">
        <v>43</v>
      </c>
      <c r="H39" s="458">
        <v>1</v>
      </c>
      <c r="I39" s="445">
        <v>45962</v>
      </c>
      <c r="J39" s="1061">
        <v>1</v>
      </c>
      <c r="K39" s="1062">
        <v>1</v>
      </c>
      <c r="L39" s="1062">
        <v>1</v>
      </c>
      <c r="M39" s="1062">
        <v>1</v>
      </c>
      <c r="N39" s="1062">
        <v>1</v>
      </c>
      <c r="O39" s="1062">
        <v>1</v>
      </c>
      <c r="P39" s="1062">
        <v>1</v>
      </c>
      <c r="Q39" s="1062">
        <v>1</v>
      </c>
      <c r="R39" s="1062">
        <v>1</v>
      </c>
      <c r="S39" s="1582">
        <v>1</v>
      </c>
      <c r="W39" s="103"/>
      <c r="X39" s="103"/>
      <c r="Y39" s="103"/>
      <c r="Z39" s="103"/>
      <c r="AA39" s="103"/>
    </row>
    <row r="40" spans="1:27" ht="34.35" customHeight="1">
      <c r="A40" s="466" t="s">
        <v>8</v>
      </c>
      <c r="B40" s="113" t="s">
        <v>293</v>
      </c>
      <c r="C40" s="180">
        <v>4</v>
      </c>
      <c r="D40" s="479" t="s">
        <v>41</v>
      </c>
      <c r="E40" s="474" t="s">
        <v>38</v>
      </c>
      <c r="F40" s="473" t="s">
        <v>105</v>
      </c>
      <c r="G40" s="474" t="s">
        <v>43</v>
      </c>
      <c r="H40" s="457">
        <v>0</v>
      </c>
      <c r="I40" s="445">
        <v>45962</v>
      </c>
      <c r="J40" s="1059">
        <v>0</v>
      </c>
      <c r="K40" s="1060">
        <v>0</v>
      </c>
      <c r="L40" s="1060">
        <v>0</v>
      </c>
      <c r="M40" s="1060">
        <v>0</v>
      </c>
      <c r="N40" s="1060">
        <v>0</v>
      </c>
      <c r="O40" s="1060">
        <v>0</v>
      </c>
      <c r="P40" s="1060">
        <v>0</v>
      </c>
      <c r="Q40" s="1060">
        <v>0</v>
      </c>
      <c r="R40" s="1060">
        <v>0</v>
      </c>
      <c r="S40" s="1412">
        <v>0</v>
      </c>
      <c r="W40" s="103"/>
      <c r="X40" s="103"/>
      <c r="Y40" s="103"/>
      <c r="Z40" s="103"/>
      <c r="AA40" s="103"/>
    </row>
    <row r="41" spans="1:27" ht="34.35" customHeight="1">
      <c r="A41" s="467" t="s">
        <v>8</v>
      </c>
      <c r="B41" s="145" t="s">
        <v>294</v>
      </c>
      <c r="C41" s="198">
        <v>5</v>
      </c>
      <c r="D41" s="480" t="s">
        <v>41</v>
      </c>
      <c r="E41" s="476" t="s">
        <v>136</v>
      </c>
      <c r="F41" s="475" t="s">
        <v>110</v>
      </c>
      <c r="G41" s="476" t="s">
        <v>134</v>
      </c>
      <c r="H41" s="461">
        <v>7.65</v>
      </c>
      <c r="I41" s="447">
        <v>45962</v>
      </c>
      <c r="J41" s="1065"/>
      <c r="K41" s="1058"/>
      <c r="L41" s="1058"/>
      <c r="M41" s="1058"/>
      <c r="N41" s="1058"/>
      <c r="O41" s="1058"/>
      <c r="P41" s="1058"/>
      <c r="Q41" s="1058"/>
      <c r="R41" s="1058"/>
      <c r="S41" s="1590">
        <v>0.06</v>
      </c>
      <c r="W41" s="103"/>
      <c r="X41" s="103"/>
      <c r="Y41" s="103"/>
      <c r="Z41" s="103"/>
      <c r="AA41" s="103"/>
    </row>
    <row r="42" spans="1:27" ht="34.35" customHeight="1">
      <c r="A42" s="469" t="s">
        <v>8</v>
      </c>
      <c r="B42" s="144" t="s">
        <v>283</v>
      </c>
      <c r="C42" s="222">
        <v>1</v>
      </c>
      <c r="D42" s="223" t="s">
        <v>284</v>
      </c>
      <c r="E42" s="478" t="s">
        <v>38</v>
      </c>
      <c r="F42" s="477" t="s">
        <v>106</v>
      </c>
      <c r="G42" s="478" t="s">
        <v>285</v>
      </c>
      <c r="H42" s="460">
        <v>27</v>
      </c>
      <c r="I42" s="468">
        <v>45992</v>
      </c>
      <c r="J42" s="1063" t="s">
        <v>41</v>
      </c>
      <c r="K42" s="1064">
        <v>2</v>
      </c>
      <c r="L42" s="1064" t="s">
        <v>41</v>
      </c>
      <c r="M42" s="1064">
        <v>0</v>
      </c>
      <c r="N42" s="1064">
        <v>0</v>
      </c>
      <c r="O42" s="1064">
        <v>1</v>
      </c>
      <c r="P42" s="1064">
        <v>1</v>
      </c>
      <c r="Q42" s="1064">
        <v>0</v>
      </c>
      <c r="R42" s="1064">
        <v>0</v>
      </c>
      <c r="S42" s="1584">
        <v>0</v>
      </c>
      <c r="U42" s="1414">
        <f>SUM(J42:S42)</f>
        <v>4</v>
      </c>
      <c r="W42" s="103"/>
      <c r="X42" s="103"/>
      <c r="Y42" s="103"/>
      <c r="Z42" s="103"/>
      <c r="AA42" s="103"/>
    </row>
    <row r="43" spans="1:27" ht="34.35" customHeight="1">
      <c r="A43" s="466" t="s">
        <v>8</v>
      </c>
      <c r="B43" s="113" t="s">
        <v>286</v>
      </c>
      <c r="C43" s="180">
        <v>2</v>
      </c>
      <c r="D43" s="181" t="s">
        <v>287</v>
      </c>
      <c r="E43" s="474" t="s">
        <v>288</v>
      </c>
      <c r="F43" s="473" t="s">
        <v>106</v>
      </c>
      <c r="G43" s="474" t="s">
        <v>289</v>
      </c>
      <c r="H43" s="457">
        <v>2</v>
      </c>
      <c r="I43" s="445">
        <v>45992</v>
      </c>
      <c r="J43" s="2527">
        <v>0</v>
      </c>
      <c r="K43" s="2528">
        <v>0</v>
      </c>
      <c r="L43" s="2528">
        <v>0</v>
      </c>
      <c r="M43" s="2528">
        <v>0</v>
      </c>
      <c r="N43" s="2528">
        <v>0</v>
      </c>
      <c r="O43" s="2528">
        <v>0</v>
      </c>
      <c r="P43" s="2528">
        <v>0</v>
      </c>
      <c r="Q43" s="2528">
        <v>0</v>
      </c>
      <c r="R43" s="2528">
        <v>0</v>
      </c>
      <c r="S43" s="2529">
        <v>0</v>
      </c>
      <c r="U43" s="1414">
        <f>SUM(J43:S43)</f>
        <v>0</v>
      </c>
    </row>
    <row r="44" spans="1:27" ht="34.35" customHeight="1">
      <c r="A44" s="466" t="s">
        <v>8</v>
      </c>
      <c r="B44" s="113" t="s">
        <v>292</v>
      </c>
      <c r="C44" s="180">
        <v>3</v>
      </c>
      <c r="D44" s="479" t="s">
        <v>41</v>
      </c>
      <c r="E44" s="474" t="s">
        <v>133</v>
      </c>
      <c r="F44" s="473" t="s">
        <v>105</v>
      </c>
      <c r="G44" s="474" t="s">
        <v>43</v>
      </c>
      <c r="H44" s="458">
        <v>1</v>
      </c>
      <c r="I44" s="445">
        <v>45992</v>
      </c>
      <c r="J44" s="1061">
        <v>1</v>
      </c>
      <c r="K44" s="1062">
        <v>1</v>
      </c>
      <c r="L44" s="1062">
        <v>1</v>
      </c>
      <c r="M44" s="1062">
        <v>1</v>
      </c>
      <c r="N44" s="1062">
        <v>1</v>
      </c>
      <c r="O44" s="1062">
        <v>1</v>
      </c>
      <c r="P44" s="1062">
        <v>1</v>
      </c>
      <c r="Q44" s="1062">
        <v>1</v>
      </c>
      <c r="R44" s="1062">
        <v>1</v>
      </c>
      <c r="S44" s="1582">
        <v>1</v>
      </c>
      <c r="W44" s="103"/>
      <c r="X44" s="103"/>
      <c r="Y44" s="103"/>
      <c r="Z44" s="103"/>
      <c r="AA44" s="103"/>
    </row>
    <row r="45" spans="1:27" ht="34.35" customHeight="1">
      <c r="A45" s="466" t="s">
        <v>8</v>
      </c>
      <c r="B45" s="113" t="s">
        <v>293</v>
      </c>
      <c r="C45" s="180">
        <v>4</v>
      </c>
      <c r="D45" s="479" t="s">
        <v>41</v>
      </c>
      <c r="E45" s="474" t="s">
        <v>38</v>
      </c>
      <c r="F45" s="473" t="s">
        <v>105</v>
      </c>
      <c r="G45" s="474" t="s">
        <v>43</v>
      </c>
      <c r="H45" s="457">
        <v>0</v>
      </c>
      <c r="I45" s="445">
        <v>45992</v>
      </c>
      <c r="J45" s="1059">
        <v>0</v>
      </c>
      <c r="K45" s="1060">
        <v>0</v>
      </c>
      <c r="L45" s="1060">
        <v>0</v>
      </c>
      <c r="M45" s="1060">
        <v>0</v>
      </c>
      <c r="N45" s="1060">
        <v>0</v>
      </c>
      <c r="O45" s="1060">
        <v>0</v>
      </c>
      <c r="P45" s="1060">
        <v>0</v>
      </c>
      <c r="Q45" s="1060">
        <v>0</v>
      </c>
      <c r="R45" s="1060">
        <v>0</v>
      </c>
      <c r="S45" s="1412">
        <v>0</v>
      </c>
      <c r="W45" s="103"/>
      <c r="X45" s="103"/>
      <c r="Y45" s="103"/>
      <c r="Z45" s="103"/>
      <c r="AA45" s="103"/>
    </row>
    <row r="46" spans="1:27" ht="34.35" customHeight="1">
      <c r="A46" s="467" t="s">
        <v>8</v>
      </c>
      <c r="B46" s="145" t="s">
        <v>294</v>
      </c>
      <c r="C46" s="198">
        <v>5</v>
      </c>
      <c r="D46" s="480" t="s">
        <v>41</v>
      </c>
      <c r="E46" s="476" t="s">
        <v>136</v>
      </c>
      <c r="F46" s="475" t="s">
        <v>110</v>
      </c>
      <c r="G46" s="476" t="s">
        <v>134</v>
      </c>
      <c r="H46" s="461">
        <v>7.65</v>
      </c>
      <c r="I46" s="447">
        <v>45992</v>
      </c>
      <c r="J46" s="1065"/>
      <c r="K46" s="1058"/>
      <c r="L46" s="1058"/>
      <c r="M46" s="1058"/>
      <c r="N46" s="1058"/>
      <c r="O46" s="1058"/>
      <c r="P46" s="1058"/>
      <c r="Q46" s="1058"/>
      <c r="R46" s="1058"/>
      <c r="S46" s="1592">
        <v>0.19</v>
      </c>
      <c r="W46" s="103"/>
      <c r="X46" s="103"/>
      <c r="Y46" s="103"/>
      <c r="Z46" s="103"/>
      <c r="AA46" s="103"/>
    </row>
    <row r="47" spans="1:27" ht="34.35" customHeight="1">
      <c r="A47" s="469" t="s">
        <v>8</v>
      </c>
      <c r="B47" s="144" t="s">
        <v>283</v>
      </c>
      <c r="C47" s="222">
        <v>1</v>
      </c>
      <c r="D47" s="223" t="s">
        <v>284</v>
      </c>
      <c r="E47" s="478" t="s">
        <v>38</v>
      </c>
      <c r="F47" s="477" t="s">
        <v>106</v>
      </c>
      <c r="G47" s="478" t="s">
        <v>285</v>
      </c>
      <c r="H47" s="460">
        <v>27</v>
      </c>
      <c r="I47" s="468">
        <v>46023</v>
      </c>
      <c r="J47" s="1063" t="s">
        <v>41</v>
      </c>
      <c r="K47" s="1064">
        <v>0</v>
      </c>
      <c r="L47" s="1064" t="s">
        <v>41</v>
      </c>
      <c r="M47" s="1064">
        <v>0</v>
      </c>
      <c r="N47" s="1064">
        <v>0</v>
      </c>
      <c r="O47" s="1064">
        <v>4</v>
      </c>
      <c r="P47" s="1064">
        <v>3</v>
      </c>
      <c r="Q47" s="1064">
        <v>1</v>
      </c>
      <c r="R47" s="1064">
        <v>0</v>
      </c>
      <c r="S47" s="1584">
        <v>1</v>
      </c>
      <c r="U47" s="1414">
        <f>SUM(J47:S47)</f>
        <v>9</v>
      </c>
      <c r="W47" s="103"/>
      <c r="X47" s="103"/>
      <c r="Y47" s="103"/>
      <c r="Z47" s="103"/>
      <c r="AA47" s="103"/>
    </row>
    <row r="48" spans="1:27" ht="34.35" customHeight="1">
      <c r="A48" s="466" t="s">
        <v>8</v>
      </c>
      <c r="B48" s="113" t="s">
        <v>286</v>
      </c>
      <c r="C48" s="180">
        <v>2</v>
      </c>
      <c r="D48" s="181" t="s">
        <v>287</v>
      </c>
      <c r="E48" s="474" t="s">
        <v>288</v>
      </c>
      <c r="F48" s="473" t="s">
        <v>106</v>
      </c>
      <c r="G48" s="474" t="s">
        <v>289</v>
      </c>
      <c r="H48" s="457">
        <v>1</v>
      </c>
      <c r="I48" s="445">
        <v>46023</v>
      </c>
      <c r="J48" s="2527">
        <v>0</v>
      </c>
      <c r="K48" s="2528">
        <v>0</v>
      </c>
      <c r="L48" s="2528">
        <v>0</v>
      </c>
      <c r="M48" s="2528">
        <v>0</v>
      </c>
      <c r="N48" s="2530">
        <v>1</v>
      </c>
      <c r="O48" s="2528">
        <v>0</v>
      </c>
      <c r="P48" s="2528">
        <v>0</v>
      </c>
      <c r="Q48" s="2528">
        <v>0</v>
      </c>
      <c r="R48" s="2528">
        <v>0</v>
      </c>
      <c r="S48" s="2529">
        <v>0</v>
      </c>
      <c r="U48" s="1414">
        <f>SUM(J48:S48)</f>
        <v>1</v>
      </c>
    </row>
    <row r="49" spans="1:27" ht="34.35" customHeight="1">
      <c r="A49" s="466" t="s">
        <v>8</v>
      </c>
      <c r="B49" s="113" t="s">
        <v>292</v>
      </c>
      <c r="C49" s="180">
        <v>3</v>
      </c>
      <c r="D49" s="479" t="s">
        <v>41</v>
      </c>
      <c r="E49" s="474" t="s">
        <v>133</v>
      </c>
      <c r="F49" s="473" t="s">
        <v>105</v>
      </c>
      <c r="G49" s="474" t="s">
        <v>43</v>
      </c>
      <c r="H49" s="458">
        <v>1</v>
      </c>
      <c r="I49" s="445">
        <v>46023</v>
      </c>
      <c r="J49" s="1061"/>
      <c r="K49" s="1062"/>
      <c r="L49" s="1062"/>
      <c r="M49" s="1062"/>
      <c r="N49" s="1062"/>
      <c r="O49" s="1062"/>
      <c r="P49" s="1062"/>
      <c r="Q49" s="1062"/>
      <c r="R49" s="1062"/>
      <c r="S49" s="1582"/>
      <c r="W49" s="103"/>
      <c r="X49" s="103"/>
      <c r="Y49" s="103"/>
      <c r="Z49" s="103"/>
      <c r="AA49" s="103"/>
    </row>
    <row r="50" spans="1:27" ht="34.35" customHeight="1">
      <c r="A50" s="466" t="s">
        <v>8</v>
      </c>
      <c r="B50" s="113" t="s">
        <v>293</v>
      </c>
      <c r="C50" s="180">
        <v>4</v>
      </c>
      <c r="D50" s="479" t="s">
        <v>41</v>
      </c>
      <c r="E50" s="474" t="s">
        <v>38</v>
      </c>
      <c r="F50" s="473" t="s">
        <v>105</v>
      </c>
      <c r="G50" s="474" t="s">
        <v>43</v>
      </c>
      <c r="H50" s="457">
        <v>0</v>
      </c>
      <c r="I50" s="445">
        <v>46023</v>
      </c>
      <c r="J50" s="1059"/>
      <c r="K50" s="1060"/>
      <c r="L50" s="1060"/>
      <c r="M50" s="1060"/>
      <c r="N50" s="1060"/>
      <c r="O50" s="1060"/>
      <c r="P50" s="1060"/>
      <c r="Q50" s="1060"/>
      <c r="R50" s="1060"/>
      <c r="S50" s="1412"/>
      <c r="W50" s="103"/>
      <c r="X50" s="103"/>
      <c r="Y50" s="103"/>
      <c r="Z50" s="103"/>
      <c r="AA50" s="103"/>
    </row>
    <row r="51" spans="1:27" ht="34.35" customHeight="1">
      <c r="A51" s="467" t="s">
        <v>8</v>
      </c>
      <c r="B51" s="145" t="s">
        <v>294</v>
      </c>
      <c r="C51" s="198">
        <v>5</v>
      </c>
      <c r="D51" s="480" t="s">
        <v>41</v>
      </c>
      <c r="E51" s="476" t="s">
        <v>136</v>
      </c>
      <c r="F51" s="475" t="s">
        <v>110</v>
      </c>
      <c r="G51" s="476" t="s">
        <v>134</v>
      </c>
      <c r="H51" s="461">
        <v>7.65</v>
      </c>
      <c r="I51" s="447">
        <v>46023</v>
      </c>
      <c r="J51" s="1065">
        <v>0</v>
      </c>
      <c r="K51" s="1058">
        <v>0</v>
      </c>
      <c r="L51" s="1058">
        <v>0</v>
      </c>
      <c r="M51" s="1058">
        <v>0</v>
      </c>
      <c r="N51" s="1058">
        <v>0</v>
      </c>
      <c r="O51" s="1058">
        <v>0</v>
      </c>
      <c r="P51" s="1058">
        <v>0</v>
      </c>
      <c r="Q51" s="1058">
        <v>0</v>
      </c>
      <c r="R51" s="1058">
        <v>0</v>
      </c>
      <c r="S51" s="1588">
        <v>0.05</v>
      </c>
      <c r="W51" s="103"/>
      <c r="X51" s="103"/>
      <c r="Y51" s="103"/>
      <c r="Z51" s="103"/>
      <c r="AA51" s="103"/>
    </row>
    <row r="52" spans="1:27" ht="34.35" customHeight="1">
      <c r="A52" s="469" t="s">
        <v>8</v>
      </c>
      <c r="B52" s="144" t="s">
        <v>283</v>
      </c>
      <c r="C52" s="222">
        <v>1</v>
      </c>
      <c r="D52" s="223" t="s">
        <v>284</v>
      </c>
      <c r="E52" s="478" t="s">
        <v>38</v>
      </c>
      <c r="F52" s="477" t="s">
        <v>106</v>
      </c>
      <c r="G52" s="478" t="s">
        <v>285</v>
      </c>
      <c r="H52" s="460">
        <v>26</v>
      </c>
      <c r="I52" s="468">
        <v>46054</v>
      </c>
      <c r="J52" s="1063"/>
      <c r="K52" s="1064"/>
      <c r="L52" s="1064"/>
      <c r="M52" s="1064"/>
      <c r="N52" s="1064"/>
      <c r="O52" s="1064"/>
      <c r="P52" s="1064"/>
      <c r="Q52" s="1064"/>
      <c r="R52" s="1064"/>
      <c r="S52" s="1584"/>
      <c r="U52" s="1414">
        <f t="shared" ref="U52:U58" si="0">SUM(J52:S52)</f>
        <v>0</v>
      </c>
      <c r="W52" s="103"/>
      <c r="X52" s="103"/>
      <c r="Y52" s="103"/>
      <c r="Z52" s="103"/>
      <c r="AA52" s="103"/>
    </row>
    <row r="53" spans="1:27" ht="34.35" customHeight="1">
      <c r="A53" s="466" t="s">
        <v>8</v>
      </c>
      <c r="B53" s="113" t="s">
        <v>286</v>
      </c>
      <c r="C53" s="180">
        <v>2</v>
      </c>
      <c r="D53" s="181" t="s">
        <v>287</v>
      </c>
      <c r="E53" s="474" t="s">
        <v>288</v>
      </c>
      <c r="F53" s="473" t="s">
        <v>106</v>
      </c>
      <c r="G53" s="474" t="s">
        <v>289</v>
      </c>
      <c r="H53" s="457">
        <v>1</v>
      </c>
      <c r="I53" s="445">
        <v>46054</v>
      </c>
      <c r="J53" s="2527"/>
      <c r="K53" s="2528"/>
      <c r="L53" s="2528"/>
      <c r="M53" s="2528"/>
      <c r="N53" s="2528"/>
      <c r="O53" s="2528"/>
      <c r="P53" s="2528"/>
      <c r="Q53" s="2528"/>
      <c r="R53" s="2528"/>
      <c r="S53" s="2529"/>
      <c r="U53" s="1414">
        <f t="shared" si="0"/>
        <v>0</v>
      </c>
    </row>
    <row r="54" spans="1:27" ht="34.35" customHeight="1">
      <c r="A54" s="466" t="s">
        <v>8</v>
      </c>
      <c r="B54" s="113" t="s">
        <v>292</v>
      </c>
      <c r="C54" s="180">
        <v>3</v>
      </c>
      <c r="D54" s="479" t="s">
        <v>41</v>
      </c>
      <c r="E54" s="474" t="s">
        <v>133</v>
      </c>
      <c r="F54" s="473" t="s">
        <v>105</v>
      </c>
      <c r="G54" s="474" t="s">
        <v>43</v>
      </c>
      <c r="H54" s="458">
        <v>1</v>
      </c>
      <c r="I54" s="445">
        <v>46054</v>
      </c>
      <c r="J54" s="1061"/>
      <c r="K54" s="1062"/>
      <c r="L54" s="1062"/>
      <c r="M54" s="1062"/>
      <c r="N54" s="1062"/>
      <c r="O54" s="1062"/>
      <c r="P54" s="1062"/>
      <c r="Q54" s="1062"/>
      <c r="R54" s="1062"/>
      <c r="S54" s="1582"/>
      <c r="U54" s="1414">
        <f t="shared" si="0"/>
        <v>0</v>
      </c>
      <c r="W54" s="103"/>
      <c r="X54" s="103"/>
      <c r="Y54" s="103"/>
      <c r="Z54" s="103"/>
      <c r="AA54" s="103"/>
    </row>
    <row r="55" spans="1:27" ht="34.35" customHeight="1">
      <c r="A55" s="466" t="s">
        <v>8</v>
      </c>
      <c r="B55" s="113" t="s">
        <v>293</v>
      </c>
      <c r="C55" s="180">
        <v>4</v>
      </c>
      <c r="D55" s="479" t="s">
        <v>41</v>
      </c>
      <c r="E55" s="474" t="s">
        <v>38</v>
      </c>
      <c r="F55" s="473" t="s">
        <v>105</v>
      </c>
      <c r="G55" s="474" t="s">
        <v>43</v>
      </c>
      <c r="H55" s="457">
        <v>0</v>
      </c>
      <c r="I55" s="445">
        <v>46054</v>
      </c>
      <c r="J55" s="1059"/>
      <c r="K55" s="1060"/>
      <c r="L55" s="1060"/>
      <c r="M55" s="1060"/>
      <c r="N55" s="1060"/>
      <c r="O55" s="1060"/>
      <c r="P55" s="1060"/>
      <c r="Q55" s="1060"/>
      <c r="R55" s="1060"/>
      <c r="S55" s="1412"/>
      <c r="U55" s="1414">
        <f t="shared" si="0"/>
        <v>0</v>
      </c>
      <c r="W55" s="103"/>
      <c r="X55" s="103"/>
      <c r="Y55" s="103"/>
      <c r="Z55" s="103"/>
      <c r="AA55" s="103"/>
    </row>
    <row r="56" spans="1:27" ht="34.35" customHeight="1">
      <c r="A56" s="467" t="s">
        <v>8</v>
      </c>
      <c r="B56" s="145" t="s">
        <v>294</v>
      </c>
      <c r="C56" s="198">
        <v>5</v>
      </c>
      <c r="D56" s="480" t="s">
        <v>41</v>
      </c>
      <c r="E56" s="476" t="s">
        <v>136</v>
      </c>
      <c r="F56" s="475" t="s">
        <v>110</v>
      </c>
      <c r="G56" s="476" t="s">
        <v>134</v>
      </c>
      <c r="H56" s="461">
        <v>7.65</v>
      </c>
      <c r="I56" s="447">
        <v>46054</v>
      </c>
      <c r="J56" s="1065">
        <v>0</v>
      </c>
      <c r="K56" s="1058">
        <v>0</v>
      </c>
      <c r="L56" s="1058">
        <v>0</v>
      </c>
      <c r="M56" s="1058">
        <v>0</v>
      </c>
      <c r="N56" s="1058">
        <v>0</v>
      </c>
      <c r="O56" s="1058">
        <v>0</v>
      </c>
      <c r="P56" s="1058">
        <v>0</v>
      </c>
      <c r="Q56" s="1058">
        <v>0</v>
      </c>
      <c r="R56" s="1058">
        <v>0</v>
      </c>
      <c r="S56" s="1588">
        <v>0.05</v>
      </c>
      <c r="U56" s="1414">
        <f t="shared" si="0"/>
        <v>0.05</v>
      </c>
      <c r="W56" s="103"/>
      <c r="X56" s="103"/>
      <c r="Y56" s="103"/>
      <c r="Z56" s="103"/>
      <c r="AA56" s="103"/>
    </row>
    <row r="57" spans="1:27" ht="34.35" customHeight="1">
      <c r="A57" s="469" t="s">
        <v>8</v>
      </c>
      <c r="B57" s="144" t="s">
        <v>283</v>
      </c>
      <c r="C57" s="222">
        <v>1</v>
      </c>
      <c r="D57" s="223" t="s">
        <v>284</v>
      </c>
      <c r="E57" s="478" t="s">
        <v>38</v>
      </c>
      <c r="F57" s="477" t="s">
        <v>106</v>
      </c>
      <c r="G57" s="478" t="s">
        <v>285</v>
      </c>
      <c r="H57" s="460">
        <v>26</v>
      </c>
      <c r="I57" s="468">
        <v>46082</v>
      </c>
      <c r="J57" s="1063"/>
      <c r="K57" s="1064"/>
      <c r="L57" s="1064"/>
      <c r="M57" s="1064"/>
      <c r="N57" s="1064"/>
      <c r="O57" s="1064"/>
      <c r="P57" s="1064"/>
      <c r="Q57" s="1064"/>
      <c r="R57" s="1064"/>
      <c r="S57" s="1584"/>
      <c r="U57" s="1414">
        <f t="shared" si="0"/>
        <v>0</v>
      </c>
      <c r="W57" s="103"/>
      <c r="X57" s="103"/>
      <c r="Y57" s="103"/>
      <c r="Z57" s="103"/>
      <c r="AA57" s="103"/>
    </row>
    <row r="58" spans="1:27" ht="34.35" customHeight="1">
      <c r="A58" s="466" t="s">
        <v>8</v>
      </c>
      <c r="B58" s="113" t="s">
        <v>286</v>
      </c>
      <c r="C58" s="180">
        <v>2</v>
      </c>
      <c r="D58" s="181" t="s">
        <v>287</v>
      </c>
      <c r="E58" s="474" t="s">
        <v>288</v>
      </c>
      <c r="F58" s="473" t="s">
        <v>106</v>
      </c>
      <c r="G58" s="474" t="s">
        <v>289</v>
      </c>
      <c r="H58" s="457">
        <v>1</v>
      </c>
      <c r="I58" s="445">
        <v>46082</v>
      </c>
      <c r="J58" s="2527"/>
      <c r="K58" s="2528"/>
      <c r="L58" s="2528"/>
      <c r="M58" s="2528"/>
      <c r="N58" s="2528"/>
      <c r="O58" s="2528"/>
      <c r="P58" s="2528"/>
      <c r="Q58" s="2528"/>
      <c r="R58" s="2528"/>
      <c r="S58" s="2529"/>
      <c r="U58" s="1414">
        <f t="shared" si="0"/>
        <v>0</v>
      </c>
    </row>
    <row r="59" spans="1:27" ht="34.35" customHeight="1">
      <c r="A59" s="466" t="s">
        <v>8</v>
      </c>
      <c r="B59" s="113" t="s">
        <v>292</v>
      </c>
      <c r="C59" s="180">
        <v>3</v>
      </c>
      <c r="D59" s="479" t="s">
        <v>41</v>
      </c>
      <c r="E59" s="474" t="s">
        <v>133</v>
      </c>
      <c r="F59" s="473" t="s">
        <v>105</v>
      </c>
      <c r="G59" s="474" t="s">
        <v>43</v>
      </c>
      <c r="H59" s="458">
        <v>1</v>
      </c>
      <c r="I59" s="445">
        <v>46082</v>
      </c>
      <c r="J59" s="1061"/>
      <c r="K59" s="1062"/>
      <c r="L59" s="1062"/>
      <c r="M59" s="1062"/>
      <c r="N59" s="1062"/>
      <c r="O59" s="1062"/>
      <c r="P59" s="1062"/>
      <c r="Q59" s="1062"/>
      <c r="R59" s="1062"/>
      <c r="S59" s="1582"/>
      <c r="W59" s="103"/>
      <c r="X59" s="103"/>
      <c r="Y59" s="103"/>
      <c r="Z59" s="103"/>
      <c r="AA59" s="103"/>
    </row>
    <row r="60" spans="1:27" ht="34.35" customHeight="1">
      <c r="A60" s="466" t="s">
        <v>8</v>
      </c>
      <c r="B60" s="113" t="s">
        <v>293</v>
      </c>
      <c r="C60" s="180">
        <v>4</v>
      </c>
      <c r="D60" s="479" t="s">
        <v>41</v>
      </c>
      <c r="E60" s="474" t="s">
        <v>38</v>
      </c>
      <c r="F60" s="473" t="s">
        <v>105</v>
      </c>
      <c r="G60" s="474" t="s">
        <v>43</v>
      </c>
      <c r="H60" s="457">
        <v>0</v>
      </c>
      <c r="I60" s="445">
        <v>46082</v>
      </c>
      <c r="J60" s="1059"/>
      <c r="K60" s="1060"/>
      <c r="L60" s="1060"/>
      <c r="M60" s="1060"/>
      <c r="N60" s="1060"/>
      <c r="O60" s="1060"/>
      <c r="P60" s="1060"/>
      <c r="Q60" s="1060"/>
      <c r="R60" s="1060"/>
      <c r="S60" s="1412"/>
      <c r="W60" s="103"/>
      <c r="X60" s="103"/>
      <c r="Y60" s="103"/>
      <c r="Z60" s="103"/>
      <c r="AA60" s="103"/>
    </row>
    <row r="61" spans="1:27" ht="34.35" customHeight="1">
      <c r="A61" s="470" t="s">
        <v>8</v>
      </c>
      <c r="B61" s="115" t="s">
        <v>294</v>
      </c>
      <c r="C61" s="202">
        <v>5</v>
      </c>
      <c r="D61" s="481" t="s">
        <v>41</v>
      </c>
      <c r="E61" s="482" t="s">
        <v>136</v>
      </c>
      <c r="F61" s="483" t="s">
        <v>110</v>
      </c>
      <c r="G61" s="482" t="s">
        <v>134</v>
      </c>
      <c r="H61" s="463">
        <v>7.65</v>
      </c>
      <c r="I61" s="452">
        <v>46082</v>
      </c>
      <c r="J61" s="1585"/>
      <c r="K61" s="1586"/>
      <c r="L61" s="1586"/>
      <c r="M61" s="1586"/>
      <c r="N61" s="1586"/>
      <c r="O61" s="1586"/>
      <c r="P61" s="1586"/>
      <c r="Q61" s="1586"/>
      <c r="R61" s="1586"/>
      <c r="S61" s="1587"/>
      <c r="W61" s="103"/>
      <c r="X61" s="103"/>
      <c r="Y61" s="103"/>
      <c r="Z61" s="103"/>
      <c r="AA61" s="103"/>
    </row>
  </sheetData>
  <sheetProtection algorithmName="SHA-512" hashValue="MUWrYUgivbrYuRRwr/TnVcpy3l+2u6nxKhSUR4uAAzAjItwvJ01FyT4RkJxE7jURTqHvjYV4EHJ/0BV/mKT0MQ==" saltValue="al132MJvS12FTR+kM1YvHA==" spinCount="100000" sheet="1" formatCells="0" formatColumns="0" formatRows="0" sort="0" autoFilter="0" pivotTables="0"/>
  <autoFilter ref="A1:S61" xr:uid="{92C8FBD1-297A-4A40-A67A-E4353BD660BC}"/>
  <conditionalFormatting sqref="I2:S61">
    <cfRule type="expression" dxfId="35" priority="153">
      <formula>MONTH($I2)=MONTH(TODAY()-29)</formula>
    </cfRule>
  </conditionalFormatting>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17E62-ECF1-4FB9-844A-324939FF038C}">
  <sheetPr codeName="Sheet8"/>
  <dimension ref="A1:V591"/>
  <sheetViews>
    <sheetView showGridLines="0" zoomScale="115" zoomScaleNormal="115" workbookViewId="0">
      <pane xSplit="7" ySplit="1" topLeftCell="H2" activePane="bottomRight" state="frozen"/>
      <selection pane="topRight" activeCell="H1" sqref="H1"/>
      <selection pane="bottomLeft" activeCell="A2" sqref="A2"/>
      <selection pane="bottomRight" activeCell="P6" sqref="P6"/>
    </sheetView>
  </sheetViews>
  <sheetFormatPr defaultColWidth="8.109375" defaultRowHeight="34.35" customHeight="1"/>
  <cols>
    <col min="1" max="1" width="11.109375" style="1240" customWidth="1"/>
    <col min="2" max="2" width="16.6640625" style="1240" customWidth="1"/>
    <col min="3" max="3" width="3.33203125" style="1241" bestFit="1" customWidth="1"/>
    <col min="4" max="4" width="18.44140625" style="1240" customWidth="1"/>
    <col min="5" max="5" width="8.33203125" style="491" customWidth="1"/>
    <col min="6" max="6" width="8.109375" style="490" customWidth="1"/>
    <col min="7" max="7" width="13.109375" style="490" customWidth="1"/>
    <col min="8" max="8" width="7.33203125" style="491" customWidth="1"/>
    <col min="9" max="9" width="7.6640625" style="1253" customWidth="1"/>
    <col min="10" max="11" width="9.44140625" style="1054" customWidth="1"/>
    <col min="12" max="12" width="10.6640625" style="1053" customWidth="1"/>
    <col min="13" max="13" width="9.44140625" style="1053" customWidth="1"/>
    <col min="14" max="14" width="10.6640625" style="1053" customWidth="1"/>
    <col min="15" max="15" width="52.33203125" style="1055" customWidth="1"/>
    <col min="16" max="16" width="42.33203125" style="1055" customWidth="1"/>
    <col min="17" max="17" width="11.109375" style="1053" customWidth="1"/>
    <col min="18" max="18" width="10" style="1053" customWidth="1"/>
    <col min="19" max="19" width="14.109375" style="560" customWidth="1"/>
    <col min="20" max="21" width="8.109375" style="490" bestFit="1" customWidth="1"/>
    <col min="22" max="16384" width="8.109375" style="490"/>
  </cols>
  <sheetData>
    <row r="1" spans="1:19" ht="56.1" customHeight="1">
      <c r="A1" s="1565" t="s">
        <v>1</v>
      </c>
      <c r="B1" s="1566" t="s">
        <v>19</v>
      </c>
      <c r="C1" s="1566" t="s">
        <v>282</v>
      </c>
      <c r="D1" s="1566" t="s">
        <v>21</v>
      </c>
      <c r="E1" s="1567" t="s">
        <v>22</v>
      </c>
      <c r="F1" s="1568" t="s">
        <v>23</v>
      </c>
      <c r="G1" s="1569" t="s">
        <v>24</v>
      </c>
      <c r="H1" s="1570" t="s">
        <v>25</v>
      </c>
      <c r="I1" s="1571" t="s">
        <v>26</v>
      </c>
      <c r="J1" s="1572" t="s">
        <v>27</v>
      </c>
      <c r="K1" s="1564" t="s">
        <v>28</v>
      </c>
      <c r="L1" s="2426" t="s">
        <v>29</v>
      </c>
      <c r="M1" s="1564" t="s">
        <v>30</v>
      </c>
      <c r="N1" s="1573" t="s">
        <v>31</v>
      </c>
      <c r="O1" s="2427" t="s">
        <v>32</v>
      </c>
      <c r="P1" s="2428" t="s">
        <v>33</v>
      </c>
      <c r="Q1" s="2429" t="s">
        <v>34</v>
      </c>
      <c r="R1" s="2430" t="s">
        <v>35</v>
      </c>
      <c r="S1" s="623" t="s">
        <v>308</v>
      </c>
    </row>
    <row r="2" spans="1:19" s="492" customFormat="1" ht="48.6">
      <c r="A2" s="1201" t="s">
        <v>309</v>
      </c>
      <c r="B2" s="1202" t="s">
        <v>310</v>
      </c>
      <c r="C2" s="1203">
        <v>1</v>
      </c>
      <c r="D2" s="1204" t="s">
        <v>311</v>
      </c>
      <c r="E2" s="525" t="s">
        <v>38</v>
      </c>
      <c r="F2" s="526" t="s">
        <v>312</v>
      </c>
      <c r="G2" s="525" t="s">
        <v>40</v>
      </c>
      <c r="H2" s="527">
        <v>0</v>
      </c>
      <c r="I2" s="1242">
        <v>45748</v>
      </c>
      <c r="J2" s="528">
        <f>IF(H2=0,0,IF(H2="-","-",ROUND(H2/12,2)))</f>
        <v>0</v>
      </c>
      <c r="K2" s="529">
        <v>0</v>
      </c>
      <c r="L2" s="530">
        <v>0</v>
      </c>
      <c r="M2" s="531">
        <v>0</v>
      </c>
      <c r="N2" s="550"/>
      <c r="O2" s="558"/>
      <c r="P2" s="559"/>
      <c r="Q2" s="551"/>
      <c r="R2" s="540"/>
      <c r="S2" s="561"/>
    </row>
    <row r="3" spans="1:19" s="492" customFormat="1" ht="48.6">
      <c r="A3" s="1201" t="s">
        <v>309</v>
      </c>
      <c r="B3" s="1202" t="s">
        <v>310</v>
      </c>
      <c r="C3" s="1205">
        <v>2</v>
      </c>
      <c r="D3" s="1206" t="s">
        <v>313</v>
      </c>
      <c r="E3" s="494" t="s">
        <v>38</v>
      </c>
      <c r="F3" s="496" t="s">
        <v>312</v>
      </c>
      <c r="G3" s="494" t="s">
        <v>40</v>
      </c>
      <c r="H3" s="500">
        <v>9</v>
      </c>
      <c r="I3" s="1242">
        <v>45748</v>
      </c>
      <c r="J3" s="508">
        <f>IF(H3=0,0,IF(H3="-","-",ROUND(H3/12,2)))</f>
        <v>0.75</v>
      </c>
      <c r="K3" s="509">
        <v>0</v>
      </c>
      <c r="L3" s="519">
        <f t="shared" ref="L3:M6" si="0">J3</f>
        <v>0.75</v>
      </c>
      <c r="M3" s="518">
        <f t="shared" si="0"/>
        <v>0</v>
      </c>
      <c r="N3" s="548"/>
      <c r="O3" s="546"/>
      <c r="P3" s="555"/>
      <c r="Q3" s="520"/>
      <c r="R3" s="541"/>
      <c r="S3" s="561"/>
    </row>
    <row r="4" spans="1:19" s="492" customFormat="1" ht="48.6">
      <c r="A4" s="1201" t="s">
        <v>309</v>
      </c>
      <c r="B4" s="1202" t="s">
        <v>310</v>
      </c>
      <c r="C4" s="1205">
        <v>3</v>
      </c>
      <c r="D4" s="1206" t="s">
        <v>314</v>
      </c>
      <c r="E4" s="494" t="s">
        <v>38</v>
      </c>
      <c r="F4" s="496" t="s">
        <v>312</v>
      </c>
      <c r="G4" s="494" t="s">
        <v>40</v>
      </c>
      <c r="H4" s="500">
        <v>0</v>
      </c>
      <c r="I4" s="1242">
        <v>45748</v>
      </c>
      <c r="J4" s="508">
        <f>IF(H4=0,0,IF(H4="-","-",ROUND(H4/12,2)))</f>
        <v>0</v>
      </c>
      <c r="K4" s="509">
        <v>0</v>
      </c>
      <c r="L4" s="519">
        <f t="shared" si="0"/>
        <v>0</v>
      </c>
      <c r="M4" s="518">
        <f t="shared" si="0"/>
        <v>0</v>
      </c>
      <c r="N4" s="548"/>
      <c r="O4" s="546"/>
      <c r="P4" s="555"/>
      <c r="Q4" s="520"/>
      <c r="R4" s="541"/>
      <c r="S4" s="561"/>
    </row>
    <row r="5" spans="1:19" s="492" customFormat="1" ht="48.6">
      <c r="A5" s="1201" t="s">
        <v>309</v>
      </c>
      <c r="B5" s="1202" t="s">
        <v>310</v>
      </c>
      <c r="C5" s="1205">
        <v>4</v>
      </c>
      <c r="D5" s="1206" t="s">
        <v>315</v>
      </c>
      <c r="E5" s="494" t="s">
        <v>38</v>
      </c>
      <c r="F5" s="496" t="s">
        <v>316</v>
      </c>
      <c r="G5" s="494" t="s">
        <v>40</v>
      </c>
      <c r="H5" s="500">
        <v>281</v>
      </c>
      <c r="I5" s="1242">
        <v>45748</v>
      </c>
      <c r="J5" s="508">
        <v>18</v>
      </c>
      <c r="K5" s="509">
        <v>17</v>
      </c>
      <c r="L5" s="519">
        <f t="shared" si="0"/>
        <v>18</v>
      </c>
      <c r="M5" s="518">
        <f t="shared" si="0"/>
        <v>17</v>
      </c>
      <c r="N5" s="548"/>
      <c r="O5" s="546"/>
      <c r="P5" s="555"/>
      <c r="Q5" s="520"/>
      <c r="R5" s="541"/>
      <c r="S5" s="561"/>
    </row>
    <row r="6" spans="1:19" s="492" customFormat="1" ht="48.6">
      <c r="A6" s="1201" t="s">
        <v>309</v>
      </c>
      <c r="B6" s="1202" t="s">
        <v>310</v>
      </c>
      <c r="C6" s="1205">
        <v>5</v>
      </c>
      <c r="D6" s="1206" t="s">
        <v>315</v>
      </c>
      <c r="E6" s="494" t="s">
        <v>136</v>
      </c>
      <c r="F6" s="496" t="s">
        <v>316</v>
      </c>
      <c r="G6" s="494" t="s">
        <v>40</v>
      </c>
      <c r="H6" s="500">
        <v>117</v>
      </c>
      <c r="I6" s="1243">
        <v>45748</v>
      </c>
      <c r="J6" s="939">
        <v>5.92</v>
      </c>
      <c r="K6" s="940">
        <v>3.45</v>
      </c>
      <c r="L6" s="941">
        <f t="shared" si="0"/>
        <v>5.92</v>
      </c>
      <c r="M6" s="942">
        <f t="shared" si="0"/>
        <v>3.45</v>
      </c>
      <c r="N6" s="943"/>
      <c r="O6" s="944"/>
      <c r="P6" s="945"/>
      <c r="Q6" s="946"/>
      <c r="R6" s="541"/>
      <c r="S6" s="561"/>
    </row>
    <row r="7" spans="1:19" s="492" customFormat="1" ht="48.6">
      <c r="A7" s="1201" t="s">
        <v>309</v>
      </c>
      <c r="B7" s="1202" t="s">
        <v>310</v>
      </c>
      <c r="C7" s="1205">
        <v>6</v>
      </c>
      <c r="D7" s="1206" t="s">
        <v>317</v>
      </c>
      <c r="E7" s="494" t="s">
        <v>38</v>
      </c>
      <c r="F7" s="496" t="s">
        <v>316</v>
      </c>
      <c r="G7" s="494" t="s">
        <v>40</v>
      </c>
      <c r="H7" s="606">
        <v>0</v>
      </c>
      <c r="I7" s="1242">
        <v>45748</v>
      </c>
      <c r="J7" s="607">
        <f>IF(H7=0,0,IF(H7="-","-",ROUND(H7/12,2)))</f>
        <v>0</v>
      </c>
      <c r="K7" s="608">
        <v>0</v>
      </c>
      <c r="L7" s="609">
        <v>0</v>
      </c>
      <c r="M7" s="610">
        <v>0</v>
      </c>
      <c r="N7" s="548"/>
      <c r="O7" s="546"/>
      <c r="P7" s="555"/>
      <c r="Q7" s="520"/>
      <c r="R7" s="541"/>
      <c r="S7" s="561"/>
    </row>
    <row r="8" spans="1:19" s="492" customFormat="1" ht="48.6">
      <c r="A8" s="1201" t="s">
        <v>309</v>
      </c>
      <c r="B8" s="1202" t="s">
        <v>310</v>
      </c>
      <c r="C8" s="1205">
        <v>7</v>
      </c>
      <c r="D8" s="1206" t="s">
        <v>317</v>
      </c>
      <c r="E8" s="494" t="s">
        <v>136</v>
      </c>
      <c r="F8" s="496" t="s">
        <v>316</v>
      </c>
      <c r="G8" s="494" t="s">
        <v>40</v>
      </c>
      <c r="H8" s="606">
        <v>0</v>
      </c>
      <c r="I8" s="1242">
        <v>45748</v>
      </c>
      <c r="J8" s="607">
        <f>IF(H8=0,0,IF(H8="-","-",ROUND(H8/12,2)))</f>
        <v>0</v>
      </c>
      <c r="K8" s="608">
        <v>0</v>
      </c>
      <c r="L8" s="609">
        <v>0</v>
      </c>
      <c r="M8" s="610">
        <v>0</v>
      </c>
      <c r="N8" s="548"/>
      <c r="O8" s="546"/>
      <c r="P8" s="555"/>
      <c r="Q8" s="520"/>
      <c r="R8" s="541"/>
      <c r="S8" s="561"/>
    </row>
    <row r="9" spans="1:19" s="492" customFormat="1" ht="48.6">
      <c r="A9" s="1201" t="s">
        <v>309</v>
      </c>
      <c r="B9" s="1202" t="s">
        <v>310</v>
      </c>
      <c r="C9" s="1205">
        <v>8</v>
      </c>
      <c r="D9" s="1206" t="s">
        <v>318</v>
      </c>
      <c r="E9" s="494" t="s">
        <v>38</v>
      </c>
      <c r="F9" s="496" t="s">
        <v>316</v>
      </c>
      <c r="G9" s="494" t="s">
        <v>40</v>
      </c>
      <c r="H9" s="500">
        <v>195</v>
      </c>
      <c r="I9" s="1242">
        <v>45748</v>
      </c>
      <c r="J9" s="508">
        <v>16</v>
      </c>
      <c r="K9" s="509">
        <v>2</v>
      </c>
      <c r="L9" s="519">
        <f>J9</f>
        <v>16</v>
      </c>
      <c r="M9" s="518">
        <f>K9</f>
        <v>2</v>
      </c>
      <c r="N9" s="548"/>
      <c r="O9" s="546"/>
      <c r="P9" s="555"/>
      <c r="Q9" s="520"/>
      <c r="R9" s="541"/>
      <c r="S9" s="561"/>
    </row>
    <row r="10" spans="1:19" s="492" customFormat="1" ht="48.6">
      <c r="A10" s="1201" t="s">
        <v>309</v>
      </c>
      <c r="B10" s="1207" t="s">
        <v>310</v>
      </c>
      <c r="C10" s="1208">
        <v>9</v>
      </c>
      <c r="D10" s="1209" t="s">
        <v>318</v>
      </c>
      <c r="E10" s="563" t="s">
        <v>136</v>
      </c>
      <c r="F10" s="564" t="s">
        <v>316</v>
      </c>
      <c r="G10" s="563" t="s">
        <v>40</v>
      </c>
      <c r="H10" s="611">
        <v>313</v>
      </c>
      <c r="I10" s="1242">
        <v>45748</v>
      </c>
      <c r="J10" s="566">
        <v>22.536999999999999</v>
      </c>
      <c r="K10" s="567">
        <v>9.5239999999999991</v>
      </c>
      <c r="L10" s="589">
        <f>J10</f>
        <v>22.536999999999999</v>
      </c>
      <c r="M10" s="585">
        <f>K10</f>
        <v>9.5239999999999991</v>
      </c>
      <c r="N10" s="569"/>
      <c r="O10" s="570"/>
      <c r="P10" s="571"/>
      <c r="Q10" s="568"/>
      <c r="R10" s="572"/>
      <c r="S10" s="561"/>
    </row>
    <row r="11" spans="1:19" s="492" customFormat="1" ht="48.6">
      <c r="A11" s="1201" t="s">
        <v>309</v>
      </c>
      <c r="B11" s="1210" t="s">
        <v>319</v>
      </c>
      <c r="C11" s="1211">
        <v>10</v>
      </c>
      <c r="D11" s="1212" t="s">
        <v>320</v>
      </c>
      <c r="E11" s="574" t="s">
        <v>38</v>
      </c>
      <c r="F11" s="575" t="s">
        <v>321</v>
      </c>
      <c r="G11" s="574" t="s">
        <v>40</v>
      </c>
      <c r="H11" s="612">
        <v>0</v>
      </c>
      <c r="I11" s="1242">
        <v>45748</v>
      </c>
      <c r="J11" s="613">
        <f>IF(H11=0,0,IF(H11="-","-",ROUND(H11/12,2)))</f>
        <v>0</v>
      </c>
      <c r="K11" s="614">
        <v>0</v>
      </c>
      <c r="L11" s="615">
        <v>0</v>
      </c>
      <c r="M11" s="616">
        <v>0</v>
      </c>
      <c r="N11" s="580"/>
      <c r="O11" s="581"/>
      <c r="P11" s="582"/>
      <c r="Q11" s="583"/>
      <c r="R11" s="584"/>
      <c r="S11" s="561"/>
    </row>
    <row r="12" spans="1:19" s="492" customFormat="1" ht="48.6">
      <c r="A12" s="1201" t="s">
        <v>309</v>
      </c>
      <c r="B12" s="1202" t="s">
        <v>319</v>
      </c>
      <c r="C12" s="1205">
        <v>11</v>
      </c>
      <c r="D12" s="1206" t="s">
        <v>322</v>
      </c>
      <c r="E12" s="494" t="s">
        <v>38</v>
      </c>
      <c r="F12" s="496" t="s">
        <v>321</v>
      </c>
      <c r="G12" s="494" t="s">
        <v>40</v>
      </c>
      <c r="H12" s="606">
        <v>0</v>
      </c>
      <c r="I12" s="1242">
        <v>45748</v>
      </c>
      <c r="J12" s="607">
        <f>IF(H12=0,0,IF(H12="-","-",ROUND(H12/12,2)))</f>
        <v>0</v>
      </c>
      <c r="K12" s="608">
        <v>0</v>
      </c>
      <c r="L12" s="609">
        <v>0</v>
      </c>
      <c r="M12" s="610">
        <v>0</v>
      </c>
      <c r="N12" s="548"/>
      <c r="O12" s="546"/>
      <c r="P12" s="555"/>
      <c r="Q12" s="520"/>
      <c r="R12" s="541"/>
      <c r="S12" s="561"/>
    </row>
    <row r="13" spans="1:19" s="492" customFormat="1" ht="48.6">
      <c r="A13" s="1201" t="s">
        <v>309</v>
      </c>
      <c r="B13" s="1202" t="s">
        <v>319</v>
      </c>
      <c r="C13" s="1205">
        <v>12</v>
      </c>
      <c r="D13" s="1206" t="s">
        <v>313</v>
      </c>
      <c r="E13" s="494" t="s">
        <v>38</v>
      </c>
      <c r="F13" s="496" t="s">
        <v>321</v>
      </c>
      <c r="G13" s="494" t="s">
        <v>40</v>
      </c>
      <c r="H13" s="606">
        <v>0</v>
      </c>
      <c r="I13" s="1242">
        <v>45748</v>
      </c>
      <c r="J13" s="607">
        <f>IF(H13=0,0,IF(H13="-","-",ROUND(H13/12,2)))</f>
        <v>0</v>
      </c>
      <c r="K13" s="608">
        <v>0</v>
      </c>
      <c r="L13" s="609">
        <v>0</v>
      </c>
      <c r="M13" s="610">
        <f>K13</f>
        <v>0</v>
      </c>
      <c r="N13" s="548"/>
      <c r="O13" s="546"/>
      <c r="P13" s="555"/>
      <c r="Q13" s="520"/>
      <c r="R13" s="541"/>
      <c r="S13" s="561"/>
    </row>
    <row r="14" spans="1:19" s="492" customFormat="1" ht="48.6">
      <c r="A14" s="1201" t="s">
        <v>309</v>
      </c>
      <c r="B14" s="1207" t="s">
        <v>319</v>
      </c>
      <c r="C14" s="1208">
        <v>13</v>
      </c>
      <c r="D14" s="1209" t="s">
        <v>323</v>
      </c>
      <c r="E14" s="563" t="s">
        <v>38</v>
      </c>
      <c r="F14" s="564" t="s">
        <v>321</v>
      </c>
      <c r="G14" s="563" t="s">
        <v>40</v>
      </c>
      <c r="H14" s="617">
        <v>5</v>
      </c>
      <c r="I14" s="1242">
        <v>45748</v>
      </c>
      <c r="J14" s="618">
        <v>0</v>
      </c>
      <c r="K14" s="619">
        <v>0</v>
      </c>
      <c r="L14" s="620">
        <v>0</v>
      </c>
      <c r="M14" s="621">
        <v>0</v>
      </c>
      <c r="N14" s="569"/>
      <c r="O14" s="570"/>
      <c r="P14" s="571"/>
      <c r="Q14" s="568"/>
      <c r="R14" s="572"/>
      <c r="S14" s="561"/>
    </row>
    <row r="15" spans="1:19" s="492" customFormat="1" ht="48.6">
      <c r="A15" s="1201" t="s">
        <v>309</v>
      </c>
      <c r="B15" s="1213" t="s">
        <v>324</v>
      </c>
      <c r="C15" s="1211">
        <v>14</v>
      </c>
      <c r="D15" s="1212" t="s">
        <v>311</v>
      </c>
      <c r="E15" s="574" t="s">
        <v>38</v>
      </c>
      <c r="F15" s="575" t="s">
        <v>312</v>
      </c>
      <c r="G15" s="574" t="s">
        <v>40</v>
      </c>
      <c r="H15" s="586">
        <v>0</v>
      </c>
      <c r="I15" s="1243">
        <v>45748</v>
      </c>
      <c r="J15" s="947">
        <f t="shared" ref="J15:J25" si="1">IF(H15=0,0,IF(H15="-","-",ROUND(H15/12,2)))</f>
        <v>0</v>
      </c>
      <c r="K15" s="948">
        <v>0</v>
      </c>
      <c r="L15" s="949">
        <v>0</v>
      </c>
      <c r="M15" s="950">
        <v>0</v>
      </c>
      <c r="N15" s="951"/>
      <c r="O15" s="952"/>
      <c r="P15" s="953"/>
      <c r="Q15" s="954"/>
      <c r="R15" s="1254"/>
      <c r="S15" s="561"/>
    </row>
    <row r="16" spans="1:19" s="492" customFormat="1" ht="48.6">
      <c r="A16" s="1201" t="s">
        <v>309</v>
      </c>
      <c r="B16" s="1214" t="s">
        <v>324</v>
      </c>
      <c r="C16" s="1205">
        <v>15</v>
      </c>
      <c r="D16" s="1206" t="s">
        <v>313</v>
      </c>
      <c r="E16" s="494" t="s">
        <v>38</v>
      </c>
      <c r="F16" s="496" t="s">
        <v>312</v>
      </c>
      <c r="G16" s="494" t="s">
        <v>40</v>
      </c>
      <c r="H16" s="501">
        <v>30</v>
      </c>
      <c r="I16" s="1242">
        <v>45748</v>
      </c>
      <c r="J16" s="958">
        <f t="shared" si="1"/>
        <v>2.5</v>
      </c>
      <c r="K16" s="956">
        <v>3</v>
      </c>
      <c r="L16" s="971">
        <f>J16</f>
        <v>2.5</v>
      </c>
      <c r="M16" s="972">
        <f>K16</f>
        <v>3</v>
      </c>
      <c r="N16" s="943"/>
      <c r="O16" s="944"/>
      <c r="P16" s="945"/>
      <c r="Q16" s="946"/>
      <c r="R16" s="1255"/>
      <c r="S16" s="561"/>
    </row>
    <row r="17" spans="1:19" s="492" customFormat="1" ht="48.6">
      <c r="A17" s="1201" t="s">
        <v>309</v>
      </c>
      <c r="B17" s="1215" t="s">
        <v>324</v>
      </c>
      <c r="C17" s="1208">
        <v>16</v>
      </c>
      <c r="D17" s="1209" t="s">
        <v>314</v>
      </c>
      <c r="E17" s="563" t="s">
        <v>38</v>
      </c>
      <c r="F17" s="564" t="s">
        <v>312</v>
      </c>
      <c r="G17" s="563" t="s">
        <v>40</v>
      </c>
      <c r="H17" s="588">
        <v>0</v>
      </c>
      <c r="I17" s="1242">
        <v>45748</v>
      </c>
      <c r="J17" s="1256">
        <f t="shared" si="1"/>
        <v>0</v>
      </c>
      <c r="K17" s="1257">
        <v>0</v>
      </c>
      <c r="L17" s="1258">
        <f>J17</f>
        <v>0</v>
      </c>
      <c r="M17" s="1259">
        <f>K17</f>
        <v>0</v>
      </c>
      <c r="N17" s="1025"/>
      <c r="O17" s="1026"/>
      <c r="P17" s="1027"/>
      <c r="Q17" s="1023"/>
      <c r="R17" s="1260"/>
      <c r="S17" s="561"/>
    </row>
    <row r="18" spans="1:19" s="492" customFormat="1" ht="48.6">
      <c r="A18" s="1201" t="s">
        <v>309</v>
      </c>
      <c r="B18" s="1213" t="s">
        <v>325</v>
      </c>
      <c r="C18" s="1211">
        <v>17</v>
      </c>
      <c r="D18" s="1212" t="s">
        <v>326</v>
      </c>
      <c r="E18" s="574" t="s">
        <v>38</v>
      </c>
      <c r="F18" s="575" t="s">
        <v>327</v>
      </c>
      <c r="G18" s="574" t="s">
        <v>40</v>
      </c>
      <c r="H18" s="586">
        <v>0</v>
      </c>
      <c r="I18" s="1242">
        <v>45748</v>
      </c>
      <c r="J18" s="577">
        <f t="shared" si="1"/>
        <v>0</v>
      </c>
      <c r="K18" s="587">
        <v>0</v>
      </c>
      <c r="L18" s="578">
        <v>0</v>
      </c>
      <c r="M18" s="579">
        <v>0</v>
      </c>
      <c r="N18" s="580"/>
      <c r="O18" s="581"/>
      <c r="P18" s="582"/>
      <c r="Q18" s="583"/>
      <c r="R18" s="584"/>
      <c r="S18" s="561"/>
    </row>
    <row r="19" spans="1:19" s="492" customFormat="1" ht="48.6">
      <c r="A19" s="1201" t="s">
        <v>309</v>
      </c>
      <c r="B19" s="1214" t="s">
        <v>325</v>
      </c>
      <c r="C19" s="1205">
        <v>18</v>
      </c>
      <c r="D19" s="1206" t="s">
        <v>326</v>
      </c>
      <c r="E19" s="494" t="s">
        <v>136</v>
      </c>
      <c r="F19" s="496" t="s">
        <v>327</v>
      </c>
      <c r="G19" s="494" t="s">
        <v>40</v>
      </c>
      <c r="H19" s="501">
        <v>0</v>
      </c>
      <c r="I19" s="1242">
        <v>45748</v>
      </c>
      <c r="J19" s="508">
        <f t="shared" si="1"/>
        <v>0</v>
      </c>
      <c r="K19" s="509">
        <v>0</v>
      </c>
      <c r="L19" s="519">
        <v>0</v>
      </c>
      <c r="M19" s="518">
        <v>0</v>
      </c>
      <c r="N19" s="548"/>
      <c r="O19" s="546"/>
      <c r="P19" s="555"/>
      <c r="Q19" s="520"/>
      <c r="R19" s="541"/>
      <c r="S19" s="561"/>
    </row>
    <row r="20" spans="1:19" s="492" customFormat="1" ht="48.6">
      <c r="A20" s="1201" t="s">
        <v>309</v>
      </c>
      <c r="B20" s="1214" t="s">
        <v>325</v>
      </c>
      <c r="C20" s="1205">
        <v>19</v>
      </c>
      <c r="D20" s="1206" t="s">
        <v>328</v>
      </c>
      <c r="E20" s="494" t="s">
        <v>38</v>
      </c>
      <c r="F20" s="496" t="s">
        <v>327</v>
      </c>
      <c r="G20" s="494" t="s">
        <v>40</v>
      </c>
      <c r="H20" s="622" t="s">
        <v>41</v>
      </c>
      <c r="I20" s="1242">
        <v>45748</v>
      </c>
      <c r="J20" s="510" t="str">
        <f t="shared" si="1"/>
        <v>-</v>
      </c>
      <c r="K20" s="509" t="s">
        <v>41</v>
      </c>
      <c r="L20" s="520"/>
      <c r="M20" s="518">
        <v>88</v>
      </c>
      <c r="N20" s="548"/>
      <c r="O20" s="546"/>
      <c r="P20" s="555"/>
      <c r="Q20" s="520"/>
      <c r="R20" s="541"/>
      <c r="S20" s="561"/>
    </row>
    <row r="21" spans="1:19" s="492" customFormat="1" ht="48.6">
      <c r="A21" s="1201" t="s">
        <v>309</v>
      </c>
      <c r="B21" s="1214" t="s">
        <v>325</v>
      </c>
      <c r="C21" s="1205">
        <v>20</v>
      </c>
      <c r="D21" s="1206" t="s">
        <v>328</v>
      </c>
      <c r="E21" s="494" t="s">
        <v>136</v>
      </c>
      <c r="F21" s="496" t="s">
        <v>327</v>
      </c>
      <c r="G21" s="494" t="s">
        <v>40</v>
      </c>
      <c r="H21" s="622" t="s">
        <v>41</v>
      </c>
      <c r="I21" s="1242">
        <v>45748</v>
      </c>
      <c r="J21" s="510" t="str">
        <f t="shared" si="1"/>
        <v>-</v>
      </c>
      <c r="K21" s="509" t="s">
        <v>41</v>
      </c>
      <c r="L21" s="520"/>
      <c r="M21" s="517">
        <v>371</v>
      </c>
      <c r="N21" s="548"/>
      <c r="O21" s="546"/>
      <c r="P21" s="555"/>
      <c r="Q21" s="520"/>
      <c r="R21" s="541"/>
      <c r="S21" s="561"/>
    </row>
    <row r="22" spans="1:19" s="492" customFormat="1" ht="48.6">
      <c r="A22" s="1201" t="s">
        <v>309</v>
      </c>
      <c r="B22" s="1214" t="s">
        <v>325</v>
      </c>
      <c r="C22" s="1205">
        <v>21</v>
      </c>
      <c r="D22" s="1206" t="s">
        <v>329</v>
      </c>
      <c r="E22" s="494" t="s">
        <v>38</v>
      </c>
      <c r="F22" s="496" t="s">
        <v>327</v>
      </c>
      <c r="G22" s="494" t="s">
        <v>40</v>
      </c>
      <c r="H22" s="622" t="s">
        <v>41</v>
      </c>
      <c r="I22" s="1242">
        <v>45748</v>
      </c>
      <c r="J22" s="510" t="str">
        <f t="shared" si="1"/>
        <v>-</v>
      </c>
      <c r="K22" s="509" t="s">
        <v>41</v>
      </c>
      <c r="L22" s="520"/>
      <c r="M22" s="517">
        <v>536</v>
      </c>
      <c r="N22" s="548"/>
      <c r="O22" s="546"/>
      <c r="P22" s="555"/>
      <c r="Q22" s="520"/>
      <c r="R22" s="541"/>
      <c r="S22" s="561"/>
    </row>
    <row r="23" spans="1:19" s="492" customFormat="1" ht="48.6">
      <c r="A23" s="1201" t="s">
        <v>309</v>
      </c>
      <c r="B23" s="1214" t="s">
        <v>325</v>
      </c>
      <c r="C23" s="1205">
        <v>22</v>
      </c>
      <c r="D23" s="1206" t="s">
        <v>329</v>
      </c>
      <c r="E23" s="494" t="s">
        <v>136</v>
      </c>
      <c r="F23" s="496" t="s">
        <v>327</v>
      </c>
      <c r="G23" s="494" t="s">
        <v>40</v>
      </c>
      <c r="H23" s="622" t="s">
        <v>41</v>
      </c>
      <c r="I23" s="1242">
        <v>45748</v>
      </c>
      <c r="J23" s="510" t="str">
        <f t="shared" si="1"/>
        <v>-</v>
      </c>
      <c r="K23" s="509" t="s">
        <v>41</v>
      </c>
      <c r="L23" s="520"/>
      <c r="M23" s="517">
        <v>440.36</v>
      </c>
      <c r="N23" s="548"/>
      <c r="O23" s="546"/>
      <c r="P23" s="555"/>
      <c r="Q23" s="520"/>
      <c r="R23" s="541"/>
      <c r="S23" s="561"/>
    </row>
    <row r="24" spans="1:19" s="492" customFormat="1" ht="48.6">
      <c r="A24" s="1201" t="s">
        <v>309</v>
      </c>
      <c r="B24" s="1214" t="s">
        <v>325</v>
      </c>
      <c r="C24" s="1205">
        <v>23</v>
      </c>
      <c r="D24" s="1206" t="s">
        <v>330</v>
      </c>
      <c r="E24" s="494" t="s">
        <v>38</v>
      </c>
      <c r="F24" s="496" t="s">
        <v>327</v>
      </c>
      <c r="G24" s="494" t="s">
        <v>40</v>
      </c>
      <c r="H24" s="622" t="s">
        <v>41</v>
      </c>
      <c r="I24" s="1243">
        <v>45748</v>
      </c>
      <c r="J24" s="955" t="str">
        <f t="shared" si="1"/>
        <v>-</v>
      </c>
      <c r="K24" s="956" t="s">
        <v>41</v>
      </c>
      <c r="L24" s="946"/>
      <c r="M24" s="957">
        <v>362</v>
      </c>
      <c r="N24" s="943"/>
      <c r="O24" s="944"/>
      <c r="P24" s="945"/>
      <c r="Q24" s="946"/>
      <c r="R24" s="541"/>
      <c r="S24" s="561"/>
    </row>
    <row r="25" spans="1:19" s="492" customFormat="1" ht="48.6">
      <c r="A25" s="1201" t="s">
        <v>309</v>
      </c>
      <c r="B25" s="1214" t="s">
        <v>325</v>
      </c>
      <c r="C25" s="1205">
        <v>24</v>
      </c>
      <c r="D25" s="1206" t="s">
        <v>330</v>
      </c>
      <c r="E25" s="494" t="s">
        <v>136</v>
      </c>
      <c r="F25" s="496" t="s">
        <v>327</v>
      </c>
      <c r="G25" s="494" t="s">
        <v>40</v>
      </c>
      <c r="H25" s="622" t="s">
        <v>41</v>
      </c>
      <c r="I25" s="1242">
        <v>45748</v>
      </c>
      <c r="J25" s="510" t="str">
        <f t="shared" si="1"/>
        <v>-</v>
      </c>
      <c r="K25" s="509" t="s">
        <v>41</v>
      </c>
      <c r="L25" s="520"/>
      <c r="M25" s="517">
        <v>285.33999999999997</v>
      </c>
      <c r="N25" s="548"/>
      <c r="O25" s="546"/>
      <c r="P25" s="555"/>
      <c r="Q25" s="520"/>
      <c r="R25" s="541"/>
      <c r="S25" s="561"/>
    </row>
    <row r="26" spans="1:19" s="492" customFormat="1" ht="48.6">
      <c r="A26" s="1201" t="s">
        <v>309</v>
      </c>
      <c r="B26" s="1214" t="s">
        <v>325</v>
      </c>
      <c r="C26" s="1205">
        <v>25</v>
      </c>
      <c r="D26" s="1206" t="s">
        <v>331</v>
      </c>
      <c r="E26" s="494" t="s">
        <v>38</v>
      </c>
      <c r="F26" s="496" t="s">
        <v>327</v>
      </c>
      <c r="G26" s="494" t="s">
        <v>332</v>
      </c>
      <c r="H26" s="501">
        <v>0</v>
      </c>
      <c r="I26" s="1242">
        <v>45748</v>
      </c>
      <c r="J26" s="508">
        <v>0</v>
      </c>
      <c r="K26" s="509" t="s">
        <v>41</v>
      </c>
      <c r="L26" s="519">
        <v>0</v>
      </c>
      <c r="M26" s="517">
        <v>36</v>
      </c>
      <c r="N26" s="548"/>
      <c r="O26" s="2584" t="s">
        <v>333</v>
      </c>
      <c r="P26" s="555"/>
      <c r="Q26" s="520"/>
      <c r="R26" s="541"/>
      <c r="S26" s="560"/>
    </row>
    <row r="27" spans="1:19" s="492" customFormat="1" ht="48.6">
      <c r="A27" s="1201" t="s">
        <v>309</v>
      </c>
      <c r="B27" s="1214" t="s">
        <v>325</v>
      </c>
      <c r="C27" s="1205">
        <v>26</v>
      </c>
      <c r="D27" s="1216" t="s">
        <v>331</v>
      </c>
      <c r="E27" s="494" t="s">
        <v>136</v>
      </c>
      <c r="F27" s="496" t="s">
        <v>327</v>
      </c>
      <c r="G27" s="494" t="s">
        <v>332</v>
      </c>
      <c r="H27" s="501">
        <v>0</v>
      </c>
      <c r="I27" s="1242">
        <v>45748</v>
      </c>
      <c r="J27" s="512">
        <v>0</v>
      </c>
      <c r="K27" s="509" t="s">
        <v>41</v>
      </c>
      <c r="L27" s="519">
        <v>0</v>
      </c>
      <c r="M27" s="517">
        <v>92.09</v>
      </c>
      <c r="N27" s="548"/>
      <c r="O27" s="2584"/>
      <c r="P27" s="555"/>
      <c r="Q27" s="520"/>
      <c r="R27" s="541"/>
      <c r="S27" s="561"/>
    </row>
    <row r="28" spans="1:19" s="492" customFormat="1" ht="48.6">
      <c r="A28" s="1201" t="s">
        <v>309</v>
      </c>
      <c r="B28" s="1214" t="s">
        <v>325</v>
      </c>
      <c r="C28" s="1205">
        <v>27</v>
      </c>
      <c r="D28" s="1216" t="s">
        <v>334</v>
      </c>
      <c r="E28" s="494" t="s">
        <v>38</v>
      </c>
      <c r="F28" s="496" t="s">
        <v>327</v>
      </c>
      <c r="G28" s="494" t="s">
        <v>332</v>
      </c>
      <c r="H28" s="501">
        <v>0</v>
      </c>
      <c r="I28" s="1242">
        <v>45748</v>
      </c>
      <c r="J28" s="508">
        <v>0</v>
      </c>
      <c r="K28" s="509" t="s">
        <v>41</v>
      </c>
      <c r="L28" s="519">
        <v>0</v>
      </c>
      <c r="M28" s="517">
        <v>10</v>
      </c>
      <c r="N28" s="548"/>
      <c r="O28" s="2585" t="s">
        <v>335</v>
      </c>
      <c r="P28" s="555"/>
      <c r="Q28" s="520"/>
      <c r="R28" s="541"/>
      <c r="S28" s="561"/>
    </row>
    <row r="29" spans="1:19" s="492" customFormat="1" ht="48.6">
      <c r="A29" s="1201" t="s">
        <v>309</v>
      </c>
      <c r="B29" s="1214" t="s">
        <v>325</v>
      </c>
      <c r="C29" s="1205">
        <v>28</v>
      </c>
      <c r="D29" s="1216" t="s">
        <v>334</v>
      </c>
      <c r="E29" s="494" t="s">
        <v>136</v>
      </c>
      <c r="F29" s="496" t="s">
        <v>327</v>
      </c>
      <c r="G29" s="494" t="s">
        <v>332</v>
      </c>
      <c r="H29" s="501">
        <v>0</v>
      </c>
      <c r="I29" s="1242">
        <v>45748</v>
      </c>
      <c r="J29" s="512">
        <v>0</v>
      </c>
      <c r="K29" s="509" t="s">
        <v>41</v>
      </c>
      <c r="L29" s="519">
        <v>0</v>
      </c>
      <c r="M29" s="517">
        <v>12.67</v>
      </c>
      <c r="N29" s="548"/>
      <c r="O29" s="2585"/>
      <c r="P29" s="555"/>
      <c r="Q29" s="520"/>
      <c r="R29" s="541"/>
      <c r="S29" s="561"/>
    </row>
    <row r="30" spans="1:19" s="492" customFormat="1" ht="48.6">
      <c r="A30" s="1201" t="s">
        <v>309</v>
      </c>
      <c r="B30" s="1214" t="s">
        <v>325</v>
      </c>
      <c r="C30" s="1205">
        <v>29</v>
      </c>
      <c r="D30" s="1206" t="s">
        <v>336</v>
      </c>
      <c r="E30" s="494" t="s">
        <v>38</v>
      </c>
      <c r="F30" s="496" t="s">
        <v>316</v>
      </c>
      <c r="G30" s="494" t="s">
        <v>40</v>
      </c>
      <c r="H30" s="501">
        <v>0</v>
      </c>
      <c r="I30" s="1242">
        <v>45748</v>
      </c>
      <c r="J30" s="508" t="s">
        <v>41</v>
      </c>
      <c r="K30" s="511" t="s">
        <v>41</v>
      </c>
      <c r="L30" s="521">
        <v>0</v>
      </c>
      <c r="M30" s="518">
        <v>639</v>
      </c>
      <c r="N30" s="548"/>
      <c r="O30" s="545" t="s">
        <v>337</v>
      </c>
      <c r="P30" s="555"/>
      <c r="Q30" s="520"/>
      <c r="R30" s="541"/>
      <c r="S30" s="561"/>
    </row>
    <row r="31" spans="1:19" s="492" customFormat="1" ht="48.6">
      <c r="A31" s="1201" t="s">
        <v>309</v>
      </c>
      <c r="B31" s="1214" t="s">
        <v>325</v>
      </c>
      <c r="C31" s="1205">
        <v>30</v>
      </c>
      <c r="D31" s="1206" t="s">
        <v>336</v>
      </c>
      <c r="E31" s="494" t="s">
        <v>136</v>
      </c>
      <c r="F31" s="496" t="s">
        <v>316</v>
      </c>
      <c r="G31" s="494" t="s">
        <v>40</v>
      </c>
      <c r="H31" s="501">
        <v>0</v>
      </c>
      <c r="I31" s="1242">
        <v>45748</v>
      </c>
      <c r="J31" s="508" t="s">
        <v>41</v>
      </c>
      <c r="K31" s="511">
        <f>SUM('Compliance (by Dept)'!J31:AB31)</f>
        <v>33.005217209999991</v>
      </c>
      <c r="L31" s="521" t="s">
        <v>41</v>
      </c>
      <c r="M31" s="517">
        <f>K31</f>
        <v>33.005217209999991</v>
      </c>
      <c r="N31" s="548"/>
      <c r="O31" s="545" t="s">
        <v>337</v>
      </c>
      <c r="P31" s="555"/>
      <c r="Q31" s="520"/>
      <c r="R31" s="541"/>
      <c r="S31" s="561"/>
    </row>
    <row r="32" spans="1:19" s="492" customFormat="1" ht="48.6">
      <c r="A32" s="1201" t="s">
        <v>309</v>
      </c>
      <c r="B32" s="1214" t="s">
        <v>325</v>
      </c>
      <c r="C32" s="1205">
        <v>31</v>
      </c>
      <c r="D32" s="1206" t="s">
        <v>338</v>
      </c>
      <c r="E32" s="494" t="s">
        <v>38</v>
      </c>
      <c r="F32" s="496" t="s">
        <v>316</v>
      </c>
      <c r="G32" s="494" t="s">
        <v>40</v>
      </c>
      <c r="H32" s="501">
        <v>0</v>
      </c>
      <c r="I32" s="1242">
        <v>45748</v>
      </c>
      <c r="J32" s="508" t="s">
        <v>41</v>
      </c>
      <c r="K32" s="511" t="s">
        <v>41</v>
      </c>
      <c r="L32" s="521">
        <v>0</v>
      </c>
      <c r="M32" s="517">
        <v>202</v>
      </c>
      <c r="N32" s="548"/>
      <c r="O32" s="545" t="s">
        <v>337</v>
      </c>
      <c r="P32" s="555"/>
      <c r="Q32" s="520"/>
      <c r="R32" s="541"/>
      <c r="S32" s="561"/>
    </row>
    <row r="33" spans="1:19" s="492" customFormat="1" ht="48.6">
      <c r="A33" s="1201" t="s">
        <v>309</v>
      </c>
      <c r="B33" s="1214" t="s">
        <v>325</v>
      </c>
      <c r="C33" s="1205">
        <v>32</v>
      </c>
      <c r="D33" s="1206" t="s">
        <v>338</v>
      </c>
      <c r="E33" s="494" t="s">
        <v>136</v>
      </c>
      <c r="F33" s="496" t="s">
        <v>316</v>
      </c>
      <c r="G33" s="494" t="s">
        <v>40</v>
      </c>
      <c r="H33" s="501">
        <v>0</v>
      </c>
      <c r="I33" s="1243">
        <v>45748</v>
      </c>
      <c r="J33" s="958" t="s">
        <v>41</v>
      </c>
      <c r="K33" s="959">
        <f>SUM('Compliance (by Dept)'!J33:AB33)</f>
        <v>62.428370939999994</v>
      </c>
      <c r="L33" s="960" t="s">
        <v>41</v>
      </c>
      <c r="M33" s="957">
        <f>K33</f>
        <v>62.428370939999994</v>
      </c>
      <c r="N33" s="943"/>
      <c r="O33" s="961" t="s">
        <v>337</v>
      </c>
      <c r="P33" s="945"/>
      <c r="Q33" s="946"/>
      <c r="R33" s="541"/>
      <c r="S33" s="561"/>
    </row>
    <row r="34" spans="1:19" s="492" customFormat="1" ht="48.6">
      <c r="A34" s="1201" t="s">
        <v>309</v>
      </c>
      <c r="B34" s="1214" t="s">
        <v>325</v>
      </c>
      <c r="C34" s="1205">
        <v>33</v>
      </c>
      <c r="D34" s="1206" t="s">
        <v>339</v>
      </c>
      <c r="E34" s="494" t="s">
        <v>133</v>
      </c>
      <c r="F34" s="496" t="s">
        <v>340</v>
      </c>
      <c r="G34" s="494" t="s">
        <v>341</v>
      </c>
      <c r="H34" s="502">
        <v>5.0000000000000001E-3</v>
      </c>
      <c r="I34" s="1242">
        <v>45748</v>
      </c>
      <c r="J34" s="508" t="s">
        <v>41</v>
      </c>
      <c r="K34" s="511"/>
      <c r="L34" s="520" t="s">
        <v>41</v>
      </c>
      <c r="M34" s="517"/>
      <c r="N34" s="548"/>
      <c r="O34" s="546"/>
      <c r="P34" s="555"/>
      <c r="Q34" s="520"/>
      <c r="R34" s="541"/>
      <c r="S34" s="561"/>
    </row>
    <row r="35" spans="1:19" s="492" customFormat="1" ht="48.6">
      <c r="A35" s="1201" t="s">
        <v>309</v>
      </c>
      <c r="B35" s="1214" t="s">
        <v>325</v>
      </c>
      <c r="C35" s="1205">
        <v>34</v>
      </c>
      <c r="D35" s="1206" t="s">
        <v>339</v>
      </c>
      <c r="E35" s="494" t="s">
        <v>136</v>
      </c>
      <c r="F35" s="496" t="s">
        <v>340</v>
      </c>
      <c r="G35" s="494" t="s">
        <v>341</v>
      </c>
      <c r="H35" s="503" t="s">
        <v>41</v>
      </c>
      <c r="I35" s="1242">
        <v>45748</v>
      </c>
      <c r="J35" s="510" t="str">
        <f>IF(H35=0,0,IF(H35="-","-",ROUND(H35/12,2)))</f>
        <v>-</v>
      </c>
      <c r="K35" s="511"/>
      <c r="L35" s="522" t="s">
        <v>41</v>
      </c>
      <c r="M35" s="511"/>
      <c r="N35" s="548"/>
      <c r="O35" s="546"/>
      <c r="P35" s="555"/>
      <c r="Q35" s="520"/>
      <c r="R35" s="541"/>
      <c r="S35" s="561"/>
    </row>
    <row r="36" spans="1:19" s="492" customFormat="1" ht="48.6">
      <c r="A36" s="1201" t="s">
        <v>309</v>
      </c>
      <c r="B36" s="1214" t="s">
        <v>325</v>
      </c>
      <c r="C36" s="1205">
        <v>35</v>
      </c>
      <c r="D36" s="1206" t="s">
        <v>342</v>
      </c>
      <c r="E36" s="494" t="s">
        <v>133</v>
      </c>
      <c r="F36" s="496" t="s">
        <v>106</v>
      </c>
      <c r="G36" s="494" t="s">
        <v>285</v>
      </c>
      <c r="H36" s="504">
        <v>3.5000000000000003E-2</v>
      </c>
      <c r="I36" s="1242">
        <v>45748</v>
      </c>
      <c r="J36" s="513">
        <v>3.61E-2</v>
      </c>
      <c r="K36" s="514">
        <v>3.5000000000000003E-2</v>
      </c>
      <c r="L36" s="523">
        <f>J36</f>
        <v>3.61E-2</v>
      </c>
      <c r="M36" s="514">
        <v>3.5000000000000003E-2</v>
      </c>
      <c r="N36" s="548"/>
      <c r="O36" s="546"/>
      <c r="P36" s="555"/>
      <c r="Q36" s="520"/>
      <c r="R36" s="541"/>
      <c r="S36" s="561"/>
    </row>
    <row r="37" spans="1:19" s="492" customFormat="1" ht="48.6">
      <c r="A37" s="1201" t="s">
        <v>309</v>
      </c>
      <c r="B37" s="1214" t="s">
        <v>325</v>
      </c>
      <c r="C37" s="1205">
        <v>36</v>
      </c>
      <c r="D37" s="1206" t="s">
        <v>342</v>
      </c>
      <c r="E37" s="494" t="s">
        <v>136</v>
      </c>
      <c r="F37" s="496" t="s">
        <v>106</v>
      </c>
      <c r="G37" s="494" t="s">
        <v>285</v>
      </c>
      <c r="H37" s="500">
        <v>642.05999999999995</v>
      </c>
      <c r="I37" s="1242">
        <v>45748</v>
      </c>
      <c r="J37" s="510">
        <v>662.38</v>
      </c>
      <c r="K37" s="511">
        <v>544</v>
      </c>
      <c r="L37" s="520">
        <f>J37</f>
        <v>662.38</v>
      </c>
      <c r="M37" s="511">
        <v>544</v>
      </c>
      <c r="N37" s="548"/>
      <c r="O37" s="546"/>
      <c r="P37" s="555"/>
      <c r="Q37" s="520"/>
      <c r="R37" s="541"/>
      <c r="S37" s="561"/>
    </row>
    <row r="38" spans="1:19" s="492" customFormat="1" ht="48.6">
      <c r="A38" s="1201" t="s">
        <v>309</v>
      </c>
      <c r="B38" s="1214" t="s">
        <v>325</v>
      </c>
      <c r="C38" s="1205">
        <v>37</v>
      </c>
      <c r="D38" s="1206" t="s">
        <v>343</v>
      </c>
      <c r="E38" s="494" t="s">
        <v>38</v>
      </c>
      <c r="F38" s="496" t="s">
        <v>105</v>
      </c>
      <c r="G38" s="494"/>
      <c r="H38" s="500" t="s">
        <v>41</v>
      </c>
      <c r="I38" s="1242">
        <v>45748</v>
      </c>
      <c r="J38" s="510" t="s">
        <v>41</v>
      </c>
      <c r="K38" s="511"/>
      <c r="L38" s="520"/>
      <c r="M38" s="517"/>
      <c r="N38" s="548"/>
      <c r="O38" s="546"/>
      <c r="P38" s="555"/>
      <c r="Q38" s="520"/>
      <c r="R38" s="541"/>
      <c r="S38" s="561"/>
    </row>
    <row r="39" spans="1:19" s="492" customFormat="1" ht="48.6">
      <c r="A39" s="1201" t="s">
        <v>309</v>
      </c>
      <c r="B39" s="1214" t="s">
        <v>325</v>
      </c>
      <c r="C39" s="1205">
        <v>38</v>
      </c>
      <c r="D39" s="1206" t="s">
        <v>343</v>
      </c>
      <c r="E39" s="494" t="s">
        <v>136</v>
      </c>
      <c r="F39" s="496" t="s">
        <v>105</v>
      </c>
      <c r="G39" s="494"/>
      <c r="H39" s="505">
        <f>84578725.86/10^6</f>
        <v>84.578725860000006</v>
      </c>
      <c r="I39" s="1242">
        <v>45748</v>
      </c>
      <c r="J39" s="510">
        <f>1265027.47/10^6</f>
        <v>1.2650274699999999</v>
      </c>
      <c r="K39" s="511">
        <f>1301099.47/10^6</f>
        <v>1.30109947</v>
      </c>
      <c r="L39" s="522">
        <f>1265027.47/10^6</f>
        <v>1.2650274699999999</v>
      </c>
      <c r="M39" s="517">
        <f>K39</f>
        <v>1.30109947</v>
      </c>
      <c r="N39" s="548"/>
      <c r="O39" s="546" t="s">
        <v>182</v>
      </c>
      <c r="P39" s="555"/>
      <c r="Q39" s="520"/>
      <c r="R39" s="541"/>
      <c r="S39" s="561"/>
    </row>
    <row r="40" spans="1:19" s="492" customFormat="1" ht="48.6">
      <c r="A40" s="1201" t="s">
        <v>309</v>
      </c>
      <c r="B40" s="1214" t="s">
        <v>325</v>
      </c>
      <c r="C40" s="1205">
        <v>39</v>
      </c>
      <c r="D40" s="1206" t="s">
        <v>344</v>
      </c>
      <c r="E40" s="494" t="s">
        <v>136</v>
      </c>
      <c r="F40" s="496" t="s">
        <v>110</v>
      </c>
      <c r="G40" s="494" t="s">
        <v>345</v>
      </c>
      <c r="H40" s="500">
        <v>3.17</v>
      </c>
      <c r="I40" s="1242">
        <v>45748</v>
      </c>
      <c r="J40" s="510" t="s">
        <v>41</v>
      </c>
      <c r="K40" s="511"/>
      <c r="L40" s="524" t="s">
        <v>41</v>
      </c>
      <c r="M40" s="517"/>
      <c r="N40" s="548"/>
      <c r="O40" s="546"/>
      <c r="P40" s="555"/>
      <c r="Q40" s="520"/>
      <c r="R40" s="541"/>
      <c r="S40" s="561"/>
    </row>
    <row r="41" spans="1:19" s="492" customFormat="1" ht="48.6">
      <c r="A41" s="1201" t="s">
        <v>309</v>
      </c>
      <c r="B41" s="1214" t="s">
        <v>325</v>
      </c>
      <c r="C41" s="1205">
        <v>40</v>
      </c>
      <c r="D41" s="1206" t="s">
        <v>346</v>
      </c>
      <c r="E41" s="494" t="s">
        <v>136</v>
      </c>
      <c r="F41" s="496" t="s">
        <v>110</v>
      </c>
      <c r="G41" s="494" t="s">
        <v>345</v>
      </c>
      <c r="H41" s="500">
        <v>5.84</v>
      </c>
      <c r="I41" s="1242">
        <v>45748</v>
      </c>
      <c r="J41" s="515" t="s">
        <v>41</v>
      </c>
      <c r="K41" s="511"/>
      <c r="L41" s="524" t="s">
        <v>41</v>
      </c>
      <c r="M41" s="517"/>
      <c r="N41" s="548"/>
      <c r="O41" s="546"/>
      <c r="P41" s="555"/>
      <c r="Q41" s="520"/>
      <c r="R41" s="541"/>
      <c r="S41" s="561"/>
    </row>
    <row r="42" spans="1:19" s="492" customFormat="1" ht="48.6">
      <c r="A42" s="1201" t="s">
        <v>309</v>
      </c>
      <c r="B42" s="1214" t="s">
        <v>325</v>
      </c>
      <c r="C42" s="1205">
        <v>41</v>
      </c>
      <c r="D42" s="1206" t="s">
        <v>347</v>
      </c>
      <c r="E42" s="494" t="s">
        <v>38</v>
      </c>
      <c r="F42" s="496" t="s">
        <v>106</v>
      </c>
      <c r="G42" s="494" t="s">
        <v>285</v>
      </c>
      <c r="H42" s="500" t="s">
        <v>41</v>
      </c>
      <c r="I42" s="1243">
        <v>45748</v>
      </c>
      <c r="J42" s="955" t="s">
        <v>41</v>
      </c>
      <c r="K42" s="959" t="s">
        <v>41</v>
      </c>
      <c r="L42" s="962" t="s">
        <v>41</v>
      </c>
      <c r="M42" s="959" t="s">
        <v>41</v>
      </c>
      <c r="N42" s="943"/>
      <c r="O42" s="944"/>
      <c r="P42" s="945"/>
      <c r="Q42" s="946"/>
      <c r="R42" s="541"/>
      <c r="S42" s="561"/>
    </row>
    <row r="43" spans="1:19" s="492" customFormat="1" ht="48.6">
      <c r="A43" s="1201" t="s">
        <v>309</v>
      </c>
      <c r="B43" s="1214" t="s">
        <v>325</v>
      </c>
      <c r="C43" s="1205">
        <v>42</v>
      </c>
      <c r="D43" s="1206" t="s">
        <v>347</v>
      </c>
      <c r="E43" s="494" t="s">
        <v>136</v>
      </c>
      <c r="F43" s="496" t="s">
        <v>106</v>
      </c>
      <c r="G43" s="494" t="s">
        <v>285</v>
      </c>
      <c r="H43" s="500">
        <v>155.07</v>
      </c>
      <c r="I43" s="1242">
        <v>45748</v>
      </c>
      <c r="J43" s="510" t="s">
        <v>41</v>
      </c>
      <c r="K43" s="511" t="s">
        <v>41</v>
      </c>
      <c r="L43" s="522" t="s">
        <v>41</v>
      </c>
      <c r="M43" s="511" t="s">
        <v>41</v>
      </c>
      <c r="N43" s="548"/>
      <c r="O43" s="546" t="s">
        <v>348</v>
      </c>
      <c r="P43" s="555"/>
      <c r="Q43" s="520"/>
      <c r="R43" s="541"/>
      <c r="S43" s="561"/>
    </row>
    <row r="44" spans="1:19" s="492" customFormat="1" ht="48.6">
      <c r="A44" s="1201" t="s">
        <v>309</v>
      </c>
      <c r="B44" s="1214" t="s">
        <v>325</v>
      </c>
      <c r="C44" s="1205">
        <v>43</v>
      </c>
      <c r="D44" s="1206" t="s">
        <v>349</v>
      </c>
      <c r="E44" s="494" t="s">
        <v>136</v>
      </c>
      <c r="F44" s="496" t="s">
        <v>340</v>
      </c>
      <c r="G44" s="494" t="s">
        <v>134</v>
      </c>
      <c r="H44" s="500">
        <v>5.4</v>
      </c>
      <c r="I44" s="1242">
        <v>45748</v>
      </c>
      <c r="J44" s="510"/>
      <c r="K44" s="511"/>
      <c r="L44" s="520"/>
      <c r="M44" s="517"/>
      <c r="N44" s="548"/>
      <c r="O44" s="546"/>
      <c r="P44" s="555"/>
      <c r="Q44" s="520"/>
      <c r="R44" s="541"/>
      <c r="S44" s="561"/>
    </row>
    <row r="45" spans="1:19" s="492" customFormat="1" ht="48.6">
      <c r="A45" s="1201" t="s">
        <v>309</v>
      </c>
      <c r="B45" s="1214" t="s">
        <v>325</v>
      </c>
      <c r="C45" s="1205">
        <v>44</v>
      </c>
      <c r="D45" s="1206" t="s">
        <v>350</v>
      </c>
      <c r="E45" s="494" t="s">
        <v>38</v>
      </c>
      <c r="F45" s="496" t="s">
        <v>106</v>
      </c>
      <c r="G45" s="494" t="s">
        <v>134</v>
      </c>
      <c r="H45" s="500" t="s">
        <v>41</v>
      </c>
      <c r="I45" s="1242">
        <v>45748</v>
      </c>
      <c r="J45" s="510" t="s">
        <v>41</v>
      </c>
      <c r="K45" s="511" t="s">
        <v>41</v>
      </c>
      <c r="L45" s="522" t="s">
        <v>41</v>
      </c>
      <c r="M45" s="511" t="s">
        <v>41</v>
      </c>
      <c r="N45" s="548"/>
      <c r="O45" s="546"/>
      <c r="P45" s="555"/>
      <c r="Q45" s="520"/>
      <c r="R45" s="541"/>
      <c r="S45" s="561"/>
    </row>
    <row r="46" spans="1:19" s="492" customFormat="1" ht="48.6">
      <c r="A46" s="1201" t="s">
        <v>309</v>
      </c>
      <c r="B46" s="1215" t="s">
        <v>325</v>
      </c>
      <c r="C46" s="1208">
        <v>45</v>
      </c>
      <c r="D46" s="1209" t="s">
        <v>350</v>
      </c>
      <c r="E46" s="563" t="s">
        <v>136</v>
      </c>
      <c r="F46" s="564" t="s">
        <v>106</v>
      </c>
      <c r="G46" s="563" t="s">
        <v>134</v>
      </c>
      <c r="H46" s="565">
        <v>3</v>
      </c>
      <c r="I46" s="1242">
        <v>45748</v>
      </c>
      <c r="J46" s="566" t="s">
        <v>41</v>
      </c>
      <c r="K46" s="567" t="s">
        <v>41</v>
      </c>
      <c r="L46" s="593" t="s">
        <v>41</v>
      </c>
      <c r="M46" s="567" t="s">
        <v>41</v>
      </c>
      <c r="N46" s="569"/>
      <c r="O46" s="570"/>
      <c r="P46" s="571"/>
      <c r="Q46" s="568"/>
      <c r="R46" s="572"/>
      <c r="S46" s="561"/>
    </row>
    <row r="47" spans="1:19" s="492" customFormat="1" ht="48.6">
      <c r="A47" s="1201" t="s">
        <v>309</v>
      </c>
      <c r="B47" s="1217" t="s">
        <v>351</v>
      </c>
      <c r="C47" s="1218">
        <v>46</v>
      </c>
      <c r="D47" s="1219" t="s">
        <v>352</v>
      </c>
      <c r="E47" s="594" t="s">
        <v>353</v>
      </c>
      <c r="F47" s="595" t="s">
        <v>312</v>
      </c>
      <c r="G47" s="596" t="s">
        <v>40</v>
      </c>
      <c r="H47" s="597">
        <v>1.2</v>
      </c>
      <c r="I47" s="1242">
        <v>45748</v>
      </c>
      <c r="J47" s="598" t="s">
        <v>41</v>
      </c>
      <c r="K47" s="599" t="s">
        <v>41</v>
      </c>
      <c r="L47" s="600" t="s">
        <v>41</v>
      </c>
      <c r="M47" s="599" t="s">
        <v>41</v>
      </c>
      <c r="N47" s="601"/>
      <c r="O47" s="602"/>
      <c r="P47" s="603"/>
      <c r="Q47" s="604"/>
      <c r="R47" s="605"/>
      <c r="S47" s="561"/>
    </row>
    <row r="48" spans="1:19" s="492" customFormat="1" ht="48.6">
      <c r="A48" s="1201" t="s">
        <v>309</v>
      </c>
      <c r="B48" s="1220" t="s">
        <v>354</v>
      </c>
      <c r="C48" s="1203">
        <v>47</v>
      </c>
      <c r="D48" s="1220" t="s">
        <v>355</v>
      </c>
      <c r="E48" s="525" t="s">
        <v>353</v>
      </c>
      <c r="F48" s="526" t="s">
        <v>327</v>
      </c>
      <c r="G48" s="590" t="s">
        <v>40</v>
      </c>
      <c r="H48" s="573">
        <v>0</v>
      </c>
      <c r="I48" s="1242">
        <v>45748</v>
      </c>
      <c r="J48" s="591" t="s">
        <v>41</v>
      </c>
      <c r="K48" s="562"/>
      <c r="L48" s="592" t="s">
        <v>41</v>
      </c>
      <c r="M48" s="554"/>
      <c r="N48" s="550"/>
      <c r="O48" s="558"/>
      <c r="P48" s="559"/>
      <c r="Q48" s="553"/>
      <c r="R48" s="543"/>
      <c r="S48" s="561"/>
    </row>
    <row r="49" spans="1:19" s="492" customFormat="1" ht="48.6">
      <c r="A49" s="1201" t="s">
        <v>309</v>
      </c>
      <c r="B49" s="1221" t="s">
        <v>356</v>
      </c>
      <c r="C49" s="1205">
        <v>48</v>
      </c>
      <c r="D49" s="1221" t="s">
        <v>355</v>
      </c>
      <c r="E49" s="494" t="s">
        <v>353</v>
      </c>
      <c r="F49" s="496" t="s">
        <v>321</v>
      </c>
      <c r="G49" s="497" t="s">
        <v>40</v>
      </c>
      <c r="H49" s="501">
        <v>0</v>
      </c>
      <c r="I49" s="1242">
        <v>45748</v>
      </c>
      <c r="J49" s="510" t="s">
        <v>41</v>
      </c>
      <c r="K49" s="511" t="s">
        <v>41</v>
      </c>
      <c r="L49" s="522" t="s">
        <v>41</v>
      </c>
      <c r="M49" s="517" t="s">
        <v>41</v>
      </c>
      <c r="N49" s="548"/>
      <c r="O49" s="546"/>
      <c r="P49" s="555"/>
      <c r="Q49" s="520"/>
      <c r="R49" s="541"/>
      <c r="S49" s="561"/>
    </row>
    <row r="50" spans="1:19" s="492" customFormat="1" ht="48.6">
      <c r="A50" s="1222" t="s">
        <v>309</v>
      </c>
      <c r="B50" s="1223" t="s">
        <v>357</v>
      </c>
      <c r="C50" s="1224">
        <v>49</v>
      </c>
      <c r="D50" s="1225" t="s">
        <v>41</v>
      </c>
      <c r="E50" s="532" t="s">
        <v>38</v>
      </c>
      <c r="F50" s="533" t="s">
        <v>312</v>
      </c>
      <c r="G50" s="534" t="s">
        <v>41</v>
      </c>
      <c r="H50" s="535"/>
      <c r="I50" s="1244">
        <v>45748</v>
      </c>
      <c r="J50" s="536">
        <v>14</v>
      </c>
      <c r="K50" s="537">
        <v>13</v>
      </c>
      <c r="L50" s="538">
        <v>14</v>
      </c>
      <c r="M50" s="539">
        <v>13</v>
      </c>
      <c r="N50" s="549"/>
      <c r="O50" s="556" t="s">
        <v>358</v>
      </c>
      <c r="P50" s="557"/>
      <c r="Q50" s="552"/>
      <c r="R50" s="542"/>
      <c r="S50" s="561"/>
    </row>
    <row r="51" spans="1:19" s="492" customFormat="1" ht="48.6">
      <c r="A51" s="1226" t="s">
        <v>309</v>
      </c>
      <c r="B51" s="1220" t="s">
        <v>310</v>
      </c>
      <c r="C51" s="1203">
        <v>1</v>
      </c>
      <c r="D51" s="1204" t="s">
        <v>311</v>
      </c>
      <c r="E51" s="525" t="s">
        <v>38</v>
      </c>
      <c r="F51" s="526" t="s">
        <v>312</v>
      </c>
      <c r="G51" s="525" t="s">
        <v>40</v>
      </c>
      <c r="H51" s="527">
        <v>0</v>
      </c>
      <c r="I51" s="1245">
        <v>45778</v>
      </c>
      <c r="J51" s="963">
        <f>IF(H51=0,0,IF(H51="-","-",ROUND(H51/12,2)))</f>
        <v>0</v>
      </c>
      <c r="K51" s="964">
        <v>0</v>
      </c>
      <c r="L51" s="965">
        <f>J51+L2</f>
        <v>0</v>
      </c>
      <c r="M51" s="966">
        <v>0</v>
      </c>
      <c r="N51" s="967"/>
      <c r="O51" s="968"/>
      <c r="P51" s="969"/>
      <c r="Q51" s="970"/>
      <c r="R51" s="543"/>
      <c r="S51" s="561"/>
    </row>
    <row r="52" spans="1:19" s="492" customFormat="1" ht="48.6">
      <c r="A52" s="1201" t="s">
        <v>309</v>
      </c>
      <c r="B52" s="1221" t="s">
        <v>310</v>
      </c>
      <c r="C52" s="1205">
        <v>2</v>
      </c>
      <c r="D52" s="1206" t="s">
        <v>313</v>
      </c>
      <c r="E52" s="494" t="s">
        <v>38</v>
      </c>
      <c r="F52" s="496" t="s">
        <v>312</v>
      </c>
      <c r="G52" s="494" t="s">
        <v>40</v>
      </c>
      <c r="H52" s="500">
        <v>9</v>
      </c>
      <c r="I52" s="1242">
        <v>45778</v>
      </c>
      <c r="J52" s="508">
        <f>IF(H52=0,0,IF(H52="-","-",ROUND(H52/12,2)))</f>
        <v>0.75</v>
      </c>
      <c r="K52" s="509">
        <v>0</v>
      </c>
      <c r="L52" s="519">
        <f>J52+L3</f>
        <v>1.5</v>
      </c>
      <c r="M52" s="518">
        <f>K52+M3</f>
        <v>0</v>
      </c>
      <c r="N52" s="548"/>
      <c r="O52" s="546"/>
      <c r="P52" s="555"/>
      <c r="Q52" s="520"/>
      <c r="R52" s="541"/>
      <c r="S52" s="561"/>
    </row>
    <row r="53" spans="1:19" s="492" customFormat="1" ht="48.6">
      <c r="A53" s="1201" t="s">
        <v>309</v>
      </c>
      <c r="B53" s="1221" t="s">
        <v>310</v>
      </c>
      <c r="C53" s="1205">
        <v>3</v>
      </c>
      <c r="D53" s="1206" t="s">
        <v>314</v>
      </c>
      <c r="E53" s="494" t="s">
        <v>38</v>
      </c>
      <c r="F53" s="496" t="s">
        <v>312</v>
      </c>
      <c r="G53" s="494" t="s">
        <v>40</v>
      </c>
      <c r="H53" s="500">
        <v>0</v>
      </c>
      <c r="I53" s="1242">
        <v>45778</v>
      </c>
      <c r="J53" s="508">
        <f>IF(H53=0,0,IF(H53="-","-",ROUND(H53/12,2)))</f>
        <v>0</v>
      </c>
      <c r="K53" s="509">
        <v>0</v>
      </c>
      <c r="L53" s="519">
        <f>J53+L4</f>
        <v>0</v>
      </c>
      <c r="M53" s="518">
        <f>K53+M4</f>
        <v>0</v>
      </c>
      <c r="N53" s="548"/>
      <c r="O53" s="546"/>
      <c r="P53" s="555"/>
      <c r="Q53" s="520"/>
      <c r="R53" s="541"/>
      <c r="S53" s="561"/>
    </row>
    <row r="54" spans="1:19" s="492" customFormat="1" ht="48.6">
      <c r="A54" s="1201" t="s">
        <v>309</v>
      </c>
      <c r="B54" s="1221" t="s">
        <v>310</v>
      </c>
      <c r="C54" s="1205">
        <v>4</v>
      </c>
      <c r="D54" s="1206" t="s">
        <v>315</v>
      </c>
      <c r="E54" s="494" t="s">
        <v>38</v>
      </c>
      <c r="F54" s="496" t="s">
        <v>316</v>
      </c>
      <c r="G54" s="494" t="s">
        <v>40</v>
      </c>
      <c r="H54" s="500">
        <v>281</v>
      </c>
      <c r="I54" s="1242">
        <v>45778</v>
      </c>
      <c r="J54" s="508">
        <v>14</v>
      </c>
      <c r="K54" s="509">
        <v>15</v>
      </c>
      <c r="L54" s="519">
        <f>L5+J54</f>
        <v>32</v>
      </c>
      <c r="M54" s="518">
        <f>M5+K54</f>
        <v>32</v>
      </c>
      <c r="N54" s="548"/>
      <c r="O54" s="546"/>
      <c r="P54" s="555"/>
      <c r="Q54" s="520"/>
      <c r="R54" s="541"/>
      <c r="S54" s="561"/>
    </row>
    <row r="55" spans="1:19" s="492" customFormat="1" ht="48.6">
      <c r="A55" s="1201" t="s">
        <v>309</v>
      </c>
      <c r="B55" s="1221" t="s">
        <v>310</v>
      </c>
      <c r="C55" s="1205">
        <v>5</v>
      </c>
      <c r="D55" s="1206" t="s">
        <v>315</v>
      </c>
      <c r="E55" s="494" t="s">
        <v>136</v>
      </c>
      <c r="F55" s="496" t="s">
        <v>316</v>
      </c>
      <c r="G55" s="494" t="s">
        <v>40</v>
      </c>
      <c r="H55" s="500">
        <v>117</v>
      </c>
      <c r="I55" s="1242">
        <v>45778</v>
      </c>
      <c r="J55" s="510">
        <v>1.345</v>
      </c>
      <c r="K55" s="511">
        <v>3.35</v>
      </c>
      <c r="L55" s="520">
        <f>J55+L6</f>
        <v>7.2649999999999997</v>
      </c>
      <c r="M55" s="517">
        <f>K55+M6</f>
        <v>6.8000000000000007</v>
      </c>
      <c r="N55" s="548"/>
      <c r="O55" s="546"/>
      <c r="P55" s="555"/>
      <c r="Q55" s="520"/>
      <c r="R55" s="541"/>
      <c r="S55" s="561"/>
    </row>
    <row r="56" spans="1:19" s="492" customFormat="1" ht="48.6">
      <c r="A56" s="1201" t="s">
        <v>309</v>
      </c>
      <c r="B56" s="1221" t="s">
        <v>310</v>
      </c>
      <c r="C56" s="1205">
        <v>6</v>
      </c>
      <c r="D56" s="1206" t="s">
        <v>317</v>
      </c>
      <c r="E56" s="494" t="s">
        <v>38</v>
      </c>
      <c r="F56" s="496" t="s">
        <v>316</v>
      </c>
      <c r="G56" s="494" t="s">
        <v>40</v>
      </c>
      <c r="H56" s="500">
        <v>0</v>
      </c>
      <c r="I56" s="1242">
        <v>45778</v>
      </c>
      <c r="J56" s="508">
        <f>IF(H56=0,0,IF(H56="-","-",ROUND(H56/12,2)))</f>
        <v>0</v>
      </c>
      <c r="K56" s="511">
        <v>0</v>
      </c>
      <c r="L56" s="520">
        <f t="shared" ref="L56:M57" si="2">J56+L7</f>
        <v>0</v>
      </c>
      <c r="M56" s="517">
        <f t="shared" si="2"/>
        <v>0</v>
      </c>
      <c r="N56" s="548"/>
      <c r="O56" s="546"/>
      <c r="P56" s="555"/>
      <c r="Q56" s="520"/>
      <c r="R56" s="541"/>
      <c r="S56" s="561"/>
    </row>
    <row r="57" spans="1:19" s="492" customFormat="1" ht="48.6">
      <c r="A57" s="1201" t="s">
        <v>309</v>
      </c>
      <c r="B57" s="1221" t="s">
        <v>310</v>
      </c>
      <c r="C57" s="1205">
        <v>7</v>
      </c>
      <c r="D57" s="1206" t="s">
        <v>317</v>
      </c>
      <c r="E57" s="494" t="s">
        <v>136</v>
      </c>
      <c r="F57" s="496" t="s">
        <v>316</v>
      </c>
      <c r="G57" s="494" t="s">
        <v>40</v>
      </c>
      <c r="H57" s="500">
        <v>0</v>
      </c>
      <c r="I57" s="1242">
        <v>45778</v>
      </c>
      <c r="J57" s="508">
        <f>IF(H57=0,0,IF(H57="-","-",ROUND(H57/12,2)))</f>
        <v>0</v>
      </c>
      <c r="K57" s="511">
        <v>0</v>
      </c>
      <c r="L57" s="520">
        <f t="shared" si="2"/>
        <v>0</v>
      </c>
      <c r="M57" s="517">
        <f t="shared" si="2"/>
        <v>0</v>
      </c>
      <c r="N57" s="548"/>
      <c r="O57" s="546"/>
      <c r="P57" s="555"/>
      <c r="Q57" s="520"/>
      <c r="R57" s="541"/>
      <c r="S57" s="561"/>
    </row>
    <row r="58" spans="1:19" s="492" customFormat="1" ht="48.6">
      <c r="A58" s="1201" t="s">
        <v>309</v>
      </c>
      <c r="B58" s="1221" t="s">
        <v>310</v>
      </c>
      <c r="C58" s="1205">
        <v>8</v>
      </c>
      <c r="D58" s="1206" t="s">
        <v>318</v>
      </c>
      <c r="E58" s="494" t="s">
        <v>38</v>
      </c>
      <c r="F58" s="496" t="s">
        <v>316</v>
      </c>
      <c r="G58" s="494" t="s">
        <v>40</v>
      </c>
      <c r="H58" s="500">
        <v>195</v>
      </c>
      <c r="I58" s="1242">
        <v>45778</v>
      </c>
      <c r="J58" s="508">
        <v>13</v>
      </c>
      <c r="K58" s="509">
        <v>3</v>
      </c>
      <c r="L58" s="520">
        <f>J58+L9</f>
        <v>29</v>
      </c>
      <c r="M58" s="517">
        <f>K58+M9</f>
        <v>5</v>
      </c>
      <c r="N58" s="548"/>
      <c r="O58" s="546"/>
      <c r="P58" s="555"/>
      <c r="Q58" s="520"/>
      <c r="R58" s="541"/>
      <c r="S58" s="561"/>
    </row>
    <row r="59" spans="1:19" s="492" customFormat="1" ht="48.6">
      <c r="A59" s="1201" t="s">
        <v>309</v>
      </c>
      <c r="B59" s="1221" t="s">
        <v>310</v>
      </c>
      <c r="C59" s="1205">
        <v>9</v>
      </c>
      <c r="D59" s="1206" t="s">
        <v>318</v>
      </c>
      <c r="E59" s="494" t="s">
        <v>136</v>
      </c>
      <c r="F59" s="496" t="s">
        <v>316</v>
      </c>
      <c r="G59" s="494" t="s">
        <v>40</v>
      </c>
      <c r="H59" s="645">
        <v>313</v>
      </c>
      <c r="I59" s="1242">
        <v>45778</v>
      </c>
      <c r="J59" s="510">
        <v>9.4920000000000009</v>
      </c>
      <c r="K59" s="511">
        <v>18.98</v>
      </c>
      <c r="L59" s="520">
        <f>J59+L10</f>
        <v>32.028999999999996</v>
      </c>
      <c r="M59" s="517">
        <f>K59+M10</f>
        <v>28.503999999999998</v>
      </c>
      <c r="N59" s="548"/>
      <c r="O59" s="546"/>
      <c r="P59" s="555"/>
      <c r="Q59" s="520"/>
      <c r="R59" s="541"/>
      <c r="S59" s="561"/>
    </row>
    <row r="60" spans="1:19" s="492" customFormat="1" ht="48.6">
      <c r="A60" s="1201" t="s">
        <v>309</v>
      </c>
      <c r="B60" s="1221" t="s">
        <v>319</v>
      </c>
      <c r="C60" s="1205">
        <v>10</v>
      </c>
      <c r="D60" s="1206" t="s">
        <v>320</v>
      </c>
      <c r="E60" s="494" t="s">
        <v>38</v>
      </c>
      <c r="F60" s="496" t="s">
        <v>321</v>
      </c>
      <c r="G60" s="494" t="s">
        <v>40</v>
      </c>
      <c r="H60" s="500">
        <v>0</v>
      </c>
      <c r="I60" s="1243">
        <v>45778</v>
      </c>
      <c r="J60" s="958">
        <f>IF(H60=0,0,IF(H60="-","-",ROUND(H60/12,2)))</f>
        <v>0</v>
      </c>
      <c r="K60" s="959">
        <v>0</v>
      </c>
      <c r="L60" s="971">
        <v>0</v>
      </c>
      <c r="M60" s="972">
        <v>0</v>
      </c>
      <c r="N60" s="943"/>
      <c r="O60" s="944"/>
      <c r="P60" s="945"/>
      <c r="Q60" s="946"/>
      <c r="R60" s="541"/>
      <c r="S60" s="561"/>
    </row>
    <row r="61" spans="1:19" s="492" customFormat="1" ht="48.6">
      <c r="A61" s="1201" t="s">
        <v>309</v>
      </c>
      <c r="B61" s="1221" t="s">
        <v>319</v>
      </c>
      <c r="C61" s="1205">
        <v>11</v>
      </c>
      <c r="D61" s="1206" t="s">
        <v>322</v>
      </c>
      <c r="E61" s="494" t="s">
        <v>38</v>
      </c>
      <c r="F61" s="496" t="s">
        <v>321</v>
      </c>
      <c r="G61" s="494" t="s">
        <v>40</v>
      </c>
      <c r="H61" s="500">
        <v>0</v>
      </c>
      <c r="I61" s="1242">
        <v>45778</v>
      </c>
      <c r="J61" s="508">
        <f>IF(H61=0,0,IF(H61="-","-",ROUND(H61/12,2)))</f>
        <v>0</v>
      </c>
      <c r="K61" s="511">
        <v>0</v>
      </c>
      <c r="L61" s="519">
        <v>0</v>
      </c>
      <c r="M61" s="518">
        <v>0</v>
      </c>
      <c r="N61" s="548"/>
      <c r="O61" s="546"/>
      <c r="P61" s="555"/>
      <c r="Q61" s="520"/>
      <c r="R61" s="541"/>
      <c r="S61" s="561"/>
    </row>
    <row r="62" spans="1:19" s="492" customFormat="1" ht="48.6">
      <c r="A62" s="1201" t="s">
        <v>309</v>
      </c>
      <c r="B62" s="1221" t="s">
        <v>319</v>
      </c>
      <c r="C62" s="1205">
        <v>12</v>
      </c>
      <c r="D62" s="1206" t="s">
        <v>313</v>
      </c>
      <c r="E62" s="494" t="s">
        <v>38</v>
      </c>
      <c r="F62" s="496" t="s">
        <v>321</v>
      </c>
      <c r="G62" s="494" t="s">
        <v>40</v>
      </c>
      <c r="H62" s="500">
        <v>0</v>
      </c>
      <c r="I62" s="1242">
        <v>45778</v>
      </c>
      <c r="J62" s="508">
        <f>IF(H62=0,0,IF(H62="-","-",ROUND(H62/12,2)))</f>
        <v>0</v>
      </c>
      <c r="K62" s="511">
        <v>0</v>
      </c>
      <c r="L62" s="519">
        <v>0</v>
      </c>
      <c r="M62" s="518">
        <f>M13+K62</f>
        <v>0</v>
      </c>
      <c r="N62" s="548"/>
      <c r="O62" s="546"/>
      <c r="P62" s="555"/>
      <c r="Q62" s="520"/>
      <c r="R62" s="541"/>
      <c r="S62" s="561"/>
    </row>
    <row r="63" spans="1:19" s="492" customFormat="1" ht="48.6">
      <c r="A63" s="1201" t="s">
        <v>309</v>
      </c>
      <c r="B63" s="1221" t="s">
        <v>319</v>
      </c>
      <c r="C63" s="1205">
        <v>13</v>
      </c>
      <c r="D63" s="1206" t="s">
        <v>323</v>
      </c>
      <c r="E63" s="494" t="s">
        <v>38</v>
      </c>
      <c r="F63" s="496" t="s">
        <v>321</v>
      </c>
      <c r="G63" s="494" t="s">
        <v>40</v>
      </c>
      <c r="H63" s="500">
        <v>5</v>
      </c>
      <c r="I63" s="1242">
        <v>45778</v>
      </c>
      <c r="J63" s="510" t="s">
        <v>41</v>
      </c>
      <c r="K63" s="511" t="s">
        <v>41</v>
      </c>
      <c r="L63" s="520" t="s">
        <v>41</v>
      </c>
      <c r="M63" s="517" t="s">
        <v>41</v>
      </c>
      <c r="N63" s="548"/>
      <c r="O63" s="546"/>
      <c r="P63" s="555"/>
      <c r="Q63" s="520"/>
      <c r="R63" s="541"/>
      <c r="S63" s="561"/>
    </row>
    <row r="64" spans="1:19" s="492" customFormat="1" ht="48.6">
      <c r="A64" s="1201" t="s">
        <v>309</v>
      </c>
      <c r="B64" s="1206" t="s">
        <v>324</v>
      </c>
      <c r="C64" s="1205">
        <v>14</v>
      </c>
      <c r="D64" s="1206" t="s">
        <v>311</v>
      </c>
      <c r="E64" s="494" t="s">
        <v>38</v>
      </c>
      <c r="F64" s="496" t="s">
        <v>312</v>
      </c>
      <c r="G64" s="494" t="s">
        <v>40</v>
      </c>
      <c r="H64" s="501">
        <v>0</v>
      </c>
      <c r="I64" s="1242">
        <v>45778</v>
      </c>
      <c r="J64" s="958">
        <f t="shared" ref="J64:J82" si="3">IF(H64=0,0,IF(H64="-","-",ROUND(H64/12,2)))</f>
        <v>0</v>
      </c>
      <c r="K64" s="956">
        <v>0</v>
      </c>
      <c r="L64" s="971">
        <v>0</v>
      </c>
      <c r="M64" s="972">
        <f>M15+K64</f>
        <v>0</v>
      </c>
      <c r="N64" s="943"/>
      <c r="O64" s="944"/>
      <c r="P64" s="945"/>
      <c r="Q64" s="946"/>
      <c r="R64" s="1255"/>
      <c r="S64" s="561"/>
    </row>
    <row r="65" spans="1:19" s="492" customFormat="1" ht="48.6">
      <c r="A65" s="1201" t="s">
        <v>309</v>
      </c>
      <c r="B65" s="1206" t="s">
        <v>324</v>
      </c>
      <c r="C65" s="1205">
        <v>15</v>
      </c>
      <c r="D65" s="1206" t="s">
        <v>313</v>
      </c>
      <c r="E65" s="494" t="s">
        <v>38</v>
      </c>
      <c r="F65" s="496" t="s">
        <v>312</v>
      </c>
      <c r="G65" s="494" t="s">
        <v>40</v>
      </c>
      <c r="H65" s="501">
        <v>30</v>
      </c>
      <c r="I65" s="1242">
        <v>45778</v>
      </c>
      <c r="J65" s="958">
        <f t="shared" si="3"/>
        <v>2.5</v>
      </c>
      <c r="K65" s="956">
        <v>2</v>
      </c>
      <c r="L65" s="971">
        <f>J65+L16</f>
        <v>5</v>
      </c>
      <c r="M65" s="972">
        <f>M16+K65</f>
        <v>5</v>
      </c>
      <c r="N65" s="943"/>
      <c r="O65" s="944"/>
      <c r="P65" s="945"/>
      <c r="Q65" s="946"/>
      <c r="R65" s="1255"/>
      <c r="S65" s="561"/>
    </row>
    <row r="66" spans="1:19" s="492" customFormat="1" ht="48.6">
      <c r="A66" s="1201" t="s">
        <v>309</v>
      </c>
      <c r="B66" s="1206" t="s">
        <v>324</v>
      </c>
      <c r="C66" s="1205">
        <v>16</v>
      </c>
      <c r="D66" s="1206" t="s">
        <v>314</v>
      </c>
      <c r="E66" s="494" t="s">
        <v>38</v>
      </c>
      <c r="F66" s="496" t="s">
        <v>312</v>
      </c>
      <c r="G66" s="494" t="s">
        <v>40</v>
      </c>
      <c r="H66" s="501">
        <v>0</v>
      </c>
      <c r="I66" s="1242">
        <v>45778</v>
      </c>
      <c r="J66" s="958">
        <f t="shared" si="3"/>
        <v>0</v>
      </c>
      <c r="K66" s="956">
        <v>0</v>
      </c>
      <c r="L66" s="971">
        <f>J66+L17</f>
        <v>0</v>
      </c>
      <c r="M66" s="972">
        <f>M17+K66</f>
        <v>0</v>
      </c>
      <c r="N66" s="943"/>
      <c r="O66" s="944"/>
      <c r="P66" s="945"/>
      <c r="Q66" s="946"/>
      <c r="R66" s="1255"/>
      <c r="S66" s="561"/>
    </row>
    <row r="67" spans="1:19" s="492" customFormat="1" ht="48.6">
      <c r="A67" s="1201" t="s">
        <v>309</v>
      </c>
      <c r="B67" s="1206" t="s">
        <v>325</v>
      </c>
      <c r="C67" s="1205">
        <v>17</v>
      </c>
      <c r="D67" s="1206" t="s">
        <v>326</v>
      </c>
      <c r="E67" s="494" t="s">
        <v>38</v>
      </c>
      <c r="F67" s="496" t="s">
        <v>327</v>
      </c>
      <c r="G67" s="494" t="s">
        <v>40</v>
      </c>
      <c r="H67" s="501">
        <v>0</v>
      </c>
      <c r="I67" s="1242">
        <v>45778</v>
      </c>
      <c r="J67" s="508">
        <f t="shared" si="3"/>
        <v>0</v>
      </c>
      <c r="K67" s="509">
        <v>0</v>
      </c>
      <c r="L67" s="519">
        <v>0</v>
      </c>
      <c r="M67" s="518">
        <v>0</v>
      </c>
      <c r="N67" s="548"/>
      <c r="O67" s="546"/>
      <c r="P67" s="555"/>
      <c r="Q67" s="520"/>
      <c r="R67" s="541"/>
      <c r="S67" s="561"/>
    </row>
    <row r="68" spans="1:19" s="492" customFormat="1" ht="48.6">
      <c r="A68" s="1201" t="s">
        <v>309</v>
      </c>
      <c r="B68" s="1206" t="s">
        <v>325</v>
      </c>
      <c r="C68" s="1205">
        <v>18</v>
      </c>
      <c r="D68" s="1206" t="s">
        <v>326</v>
      </c>
      <c r="E68" s="494" t="s">
        <v>136</v>
      </c>
      <c r="F68" s="496" t="s">
        <v>327</v>
      </c>
      <c r="G68" s="494" t="s">
        <v>40</v>
      </c>
      <c r="H68" s="501">
        <v>0</v>
      </c>
      <c r="I68" s="1242">
        <v>45778</v>
      </c>
      <c r="J68" s="508">
        <f t="shared" si="3"/>
        <v>0</v>
      </c>
      <c r="K68" s="509">
        <v>0</v>
      </c>
      <c r="L68" s="519">
        <v>0</v>
      </c>
      <c r="M68" s="518">
        <v>0</v>
      </c>
      <c r="N68" s="548"/>
      <c r="O68" s="546"/>
      <c r="P68" s="555"/>
      <c r="Q68" s="520"/>
      <c r="R68" s="541"/>
      <c r="S68" s="561"/>
    </row>
    <row r="69" spans="1:19" s="492" customFormat="1" ht="48.6">
      <c r="A69" s="1201" t="s">
        <v>309</v>
      </c>
      <c r="B69" s="1206" t="s">
        <v>325</v>
      </c>
      <c r="C69" s="1205">
        <v>19</v>
      </c>
      <c r="D69" s="1206" t="s">
        <v>328</v>
      </c>
      <c r="E69" s="494" t="s">
        <v>38</v>
      </c>
      <c r="F69" s="496" t="s">
        <v>327</v>
      </c>
      <c r="G69" s="494" t="s">
        <v>40</v>
      </c>
      <c r="H69" s="501" t="s">
        <v>41</v>
      </c>
      <c r="I69" s="1243">
        <v>45778</v>
      </c>
      <c r="J69" s="955" t="str">
        <f t="shared" si="3"/>
        <v>-</v>
      </c>
      <c r="K69" s="956" t="s">
        <v>41</v>
      </c>
      <c r="L69" s="946"/>
      <c r="M69" s="957">
        <v>88</v>
      </c>
      <c r="N69" s="943"/>
      <c r="O69" s="944"/>
      <c r="P69" s="945"/>
      <c r="Q69" s="946"/>
      <c r="R69" s="541"/>
      <c r="S69" s="561"/>
    </row>
    <row r="70" spans="1:19" s="492" customFormat="1" ht="48.6">
      <c r="A70" s="1201" t="s">
        <v>309</v>
      </c>
      <c r="B70" s="1206" t="s">
        <v>325</v>
      </c>
      <c r="C70" s="1205">
        <v>20</v>
      </c>
      <c r="D70" s="1206" t="s">
        <v>328</v>
      </c>
      <c r="E70" s="494" t="s">
        <v>136</v>
      </c>
      <c r="F70" s="496" t="s">
        <v>327</v>
      </c>
      <c r="G70" s="494" t="s">
        <v>40</v>
      </c>
      <c r="H70" s="501" t="s">
        <v>41</v>
      </c>
      <c r="I70" s="1242">
        <v>45778</v>
      </c>
      <c r="J70" s="510" t="str">
        <f t="shared" si="3"/>
        <v>-</v>
      </c>
      <c r="K70" s="509" t="s">
        <v>41</v>
      </c>
      <c r="L70" s="520"/>
      <c r="M70" s="517">
        <v>371</v>
      </c>
      <c r="N70" s="548"/>
      <c r="O70" s="546"/>
      <c r="P70" s="555"/>
      <c r="Q70" s="520"/>
      <c r="R70" s="541"/>
      <c r="S70" s="561"/>
    </row>
    <row r="71" spans="1:19" s="492" customFormat="1" ht="48.6">
      <c r="A71" s="1201" t="s">
        <v>309</v>
      </c>
      <c r="B71" s="1206" t="s">
        <v>325</v>
      </c>
      <c r="C71" s="1205">
        <v>21</v>
      </c>
      <c r="D71" s="1206" t="s">
        <v>329</v>
      </c>
      <c r="E71" s="494" t="s">
        <v>38</v>
      </c>
      <c r="F71" s="496" t="s">
        <v>327</v>
      </c>
      <c r="G71" s="494" t="s">
        <v>40</v>
      </c>
      <c r="H71" s="501" t="s">
        <v>41</v>
      </c>
      <c r="I71" s="1242">
        <v>45778</v>
      </c>
      <c r="J71" s="510" t="str">
        <f t="shared" si="3"/>
        <v>-</v>
      </c>
      <c r="K71" s="509" t="s">
        <v>41</v>
      </c>
      <c r="L71" s="520"/>
      <c r="M71" s="517">
        <v>205</v>
      </c>
      <c r="N71" s="548"/>
      <c r="O71" s="546"/>
      <c r="P71" s="555"/>
      <c r="Q71" s="520"/>
      <c r="R71" s="541"/>
      <c r="S71" s="561"/>
    </row>
    <row r="72" spans="1:19" s="492" customFormat="1" ht="48.6">
      <c r="A72" s="1201" t="s">
        <v>309</v>
      </c>
      <c r="B72" s="1206" t="s">
        <v>325</v>
      </c>
      <c r="C72" s="1205">
        <v>22</v>
      </c>
      <c r="D72" s="1206" t="s">
        <v>329</v>
      </c>
      <c r="E72" s="494" t="s">
        <v>136</v>
      </c>
      <c r="F72" s="496" t="s">
        <v>327</v>
      </c>
      <c r="G72" s="494" t="s">
        <v>40</v>
      </c>
      <c r="H72" s="501" t="s">
        <v>41</v>
      </c>
      <c r="I72" s="1242">
        <v>45778</v>
      </c>
      <c r="J72" s="510" t="str">
        <f t="shared" si="3"/>
        <v>-</v>
      </c>
      <c r="K72" s="509" t="s">
        <v>41</v>
      </c>
      <c r="L72" s="520"/>
      <c r="M72" s="517">
        <v>205.65</v>
      </c>
      <c r="N72" s="548"/>
      <c r="O72" s="546"/>
      <c r="P72" s="555"/>
      <c r="Q72" s="520"/>
      <c r="R72" s="541"/>
      <c r="S72" s="561"/>
    </row>
    <row r="73" spans="1:19" s="492" customFormat="1" ht="48.6">
      <c r="A73" s="1201" t="s">
        <v>309</v>
      </c>
      <c r="B73" s="1206" t="s">
        <v>325</v>
      </c>
      <c r="C73" s="1205">
        <v>23</v>
      </c>
      <c r="D73" s="1206" t="s">
        <v>330</v>
      </c>
      <c r="E73" s="494" t="s">
        <v>38</v>
      </c>
      <c r="F73" s="496" t="s">
        <v>327</v>
      </c>
      <c r="G73" s="494" t="s">
        <v>40</v>
      </c>
      <c r="H73" s="501" t="s">
        <v>41</v>
      </c>
      <c r="I73" s="1242">
        <v>45778</v>
      </c>
      <c r="J73" s="510" t="str">
        <f t="shared" si="3"/>
        <v>-</v>
      </c>
      <c r="K73" s="509" t="s">
        <v>41</v>
      </c>
      <c r="L73" s="520"/>
      <c r="M73" s="517">
        <v>183</v>
      </c>
      <c r="N73" s="548"/>
      <c r="O73" s="546"/>
      <c r="P73" s="555"/>
      <c r="Q73" s="520"/>
      <c r="R73" s="541"/>
      <c r="S73" s="561"/>
    </row>
    <row r="74" spans="1:19" s="492" customFormat="1" ht="48.6">
      <c r="A74" s="1201" t="s">
        <v>309</v>
      </c>
      <c r="B74" s="1206" t="s">
        <v>325</v>
      </c>
      <c r="C74" s="1205">
        <v>24</v>
      </c>
      <c r="D74" s="1206" t="s">
        <v>330</v>
      </c>
      <c r="E74" s="494" t="s">
        <v>136</v>
      </c>
      <c r="F74" s="496" t="s">
        <v>327</v>
      </c>
      <c r="G74" s="494" t="s">
        <v>40</v>
      </c>
      <c r="H74" s="501" t="s">
        <v>41</v>
      </c>
      <c r="I74" s="1242">
        <v>45778</v>
      </c>
      <c r="J74" s="510" t="str">
        <f t="shared" si="3"/>
        <v>-</v>
      </c>
      <c r="K74" s="509" t="s">
        <v>41</v>
      </c>
      <c r="L74" s="520"/>
      <c r="M74" s="517">
        <v>73.27</v>
      </c>
      <c r="N74" s="548"/>
      <c r="O74" s="546"/>
      <c r="P74" s="555"/>
      <c r="Q74" s="520"/>
      <c r="R74" s="541"/>
      <c r="S74" s="561"/>
    </row>
    <row r="75" spans="1:19" s="492" customFormat="1" ht="16.5" customHeight="1">
      <c r="A75" s="1201" t="s">
        <v>309</v>
      </c>
      <c r="B75" s="1206" t="s">
        <v>325</v>
      </c>
      <c r="C75" s="1205">
        <v>25</v>
      </c>
      <c r="D75" s="1206" t="s">
        <v>331</v>
      </c>
      <c r="E75" s="494" t="s">
        <v>38</v>
      </c>
      <c r="F75" s="496" t="s">
        <v>327</v>
      </c>
      <c r="G75" s="494" t="s">
        <v>332</v>
      </c>
      <c r="H75" s="501">
        <v>0</v>
      </c>
      <c r="I75" s="1242">
        <v>45778</v>
      </c>
      <c r="J75" s="508">
        <f t="shared" si="3"/>
        <v>0</v>
      </c>
      <c r="K75" s="509" t="s">
        <v>41</v>
      </c>
      <c r="L75" s="519">
        <v>0</v>
      </c>
      <c r="M75" s="517">
        <v>27</v>
      </c>
      <c r="N75" s="548"/>
      <c r="O75" s="2586" t="s">
        <v>359</v>
      </c>
      <c r="P75" s="555" t="s">
        <v>41</v>
      </c>
      <c r="Q75" s="520" t="s">
        <v>41</v>
      </c>
      <c r="R75" s="541" t="s">
        <v>41</v>
      </c>
      <c r="S75" s="561"/>
    </row>
    <row r="76" spans="1:19" s="492" customFormat="1" ht="48.6">
      <c r="A76" s="1201" t="s">
        <v>309</v>
      </c>
      <c r="B76" s="1206" t="s">
        <v>325</v>
      </c>
      <c r="C76" s="1205">
        <v>26</v>
      </c>
      <c r="D76" s="1216" t="s">
        <v>331</v>
      </c>
      <c r="E76" s="494" t="s">
        <v>136</v>
      </c>
      <c r="F76" s="496" t="s">
        <v>327</v>
      </c>
      <c r="G76" s="494" t="s">
        <v>332</v>
      </c>
      <c r="H76" s="501">
        <v>0</v>
      </c>
      <c r="I76" s="1242">
        <v>45778</v>
      </c>
      <c r="J76" s="508">
        <f t="shared" si="3"/>
        <v>0</v>
      </c>
      <c r="K76" s="509" t="s">
        <v>41</v>
      </c>
      <c r="L76" s="519">
        <v>0</v>
      </c>
      <c r="M76" s="517">
        <v>85.5</v>
      </c>
      <c r="N76" s="548"/>
      <c r="O76" s="2587"/>
      <c r="P76" s="555" t="s">
        <v>41</v>
      </c>
      <c r="Q76" s="520" t="s">
        <v>41</v>
      </c>
      <c r="R76" s="541" t="s">
        <v>41</v>
      </c>
      <c r="S76" s="561"/>
    </row>
    <row r="77" spans="1:19" s="492" customFormat="1" ht="16.5" customHeight="1">
      <c r="A77" s="1201" t="s">
        <v>309</v>
      </c>
      <c r="B77" s="1206" t="s">
        <v>325</v>
      </c>
      <c r="C77" s="1205">
        <v>27</v>
      </c>
      <c r="D77" s="1216" t="s">
        <v>334</v>
      </c>
      <c r="E77" s="494" t="s">
        <v>38</v>
      </c>
      <c r="F77" s="496" t="s">
        <v>327</v>
      </c>
      <c r="G77" s="494" t="s">
        <v>332</v>
      </c>
      <c r="H77" s="501">
        <v>0</v>
      </c>
      <c r="I77" s="1242">
        <v>45778</v>
      </c>
      <c r="J77" s="508">
        <f t="shared" si="3"/>
        <v>0</v>
      </c>
      <c r="K77" s="509" t="s">
        <v>41</v>
      </c>
      <c r="L77" s="519">
        <v>0</v>
      </c>
      <c r="M77" s="517">
        <v>17</v>
      </c>
      <c r="N77" s="548"/>
      <c r="O77" s="2588" t="s">
        <v>360</v>
      </c>
      <c r="P77" s="555" t="s">
        <v>41</v>
      </c>
      <c r="Q77" s="520" t="s">
        <v>41</v>
      </c>
      <c r="R77" s="541" t="s">
        <v>41</v>
      </c>
      <c r="S77" s="561"/>
    </row>
    <row r="78" spans="1:19" s="492" customFormat="1" ht="48.6">
      <c r="A78" s="1201" t="s">
        <v>309</v>
      </c>
      <c r="B78" s="1206" t="s">
        <v>325</v>
      </c>
      <c r="C78" s="1205">
        <v>28</v>
      </c>
      <c r="D78" s="1216" t="s">
        <v>334</v>
      </c>
      <c r="E78" s="494" t="s">
        <v>136</v>
      </c>
      <c r="F78" s="496" t="s">
        <v>327</v>
      </c>
      <c r="G78" s="494" t="s">
        <v>332</v>
      </c>
      <c r="H78" s="501">
        <v>0</v>
      </c>
      <c r="I78" s="1243">
        <v>45778</v>
      </c>
      <c r="J78" s="958">
        <f t="shared" si="3"/>
        <v>0</v>
      </c>
      <c r="K78" s="956" t="s">
        <v>41</v>
      </c>
      <c r="L78" s="971">
        <v>0</v>
      </c>
      <c r="M78" s="957">
        <v>21.6</v>
      </c>
      <c r="N78" s="943"/>
      <c r="O78" s="2589"/>
      <c r="P78" s="945" t="s">
        <v>41</v>
      </c>
      <c r="Q78" s="946" t="s">
        <v>41</v>
      </c>
      <c r="R78" s="541" t="s">
        <v>41</v>
      </c>
      <c r="S78" s="561"/>
    </row>
    <row r="79" spans="1:19" s="492" customFormat="1" ht="48.6">
      <c r="A79" s="1201" t="s">
        <v>309</v>
      </c>
      <c r="B79" s="1206" t="s">
        <v>325</v>
      </c>
      <c r="C79" s="1205">
        <v>29</v>
      </c>
      <c r="D79" s="1206" t="s">
        <v>336</v>
      </c>
      <c r="E79" s="494" t="s">
        <v>38</v>
      </c>
      <c r="F79" s="496" t="s">
        <v>316</v>
      </c>
      <c r="G79" s="494" t="s">
        <v>40</v>
      </c>
      <c r="H79" s="501">
        <v>0</v>
      </c>
      <c r="I79" s="1242">
        <v>45778</v>
      </c>
      <c r="J79" s="508">
        <f t="shared" si="3"/>
        <v>0</v>
      </c>
      <c r="K79" s="511"/>
      <c r="L79" s="519">
        <v>0</v>
      </c>
      <c r="M79" s="518">
        <v>168</v>
      </c>
      <c r="N79" s="548"/>
      <c r="O79" s="546"/>
      <c r="P79" s="555"/>
      <c r="Q79" s="520"/>
      <c r="R79" s="541"/>
      <c r="S79" s="561"/>
    </row>
    <row r="80" spans="1:19" s="492" customFormat="1" ht="48.6">
      <c r="A80" s="1201" t="s">
        <v>309</v>
      </c>
      <c r="B80" s="1206" t="s">
        <v>325</v>
      </c>
      <c r="C80" s="1205">
        <v>30</v>
      </c>
      <c r="D80" s="1206" t="s">
        <v>336</v>
      </c>
      <c r="E80" s="494" t="s">
        <v>136</v>
      </c>
      <c r="F80" s="496" t="s">
        <v>316</v>
      </c>
      <c r="G80" s="494" t="s">
        <v>40</v>
      </c>
      <c r="H80" s="501">
        <v>0</v>
      </c>
      <c r="I80" s="1242">
        <v>45778</v>
      </c>
      <c r="J80" s="508">
        <f t="shared" si="3"/>
        <v>0</v>
      </c>
      <c r="K80" s="511"/>
      <c r="L80" s="519">
        <v>0</v>
      </c>
      <c r="M80" s="517">
        <v>8.9073309999999974</v>
      </c>
      <c r="N80" s="548"/>
      <c r="O80" s="546"/>
      <c r="P80" s="555"/>
      <c r="Q80" s="520"/>
      <c r="R80" s="541"/>
      <c r="S80" s="561"/>
    </row>
    <row r="81" spans="1:19" s="492" customFormat="1" ht="48.6">
      <c r="A81" s="1201" t="s">
        <v>309</v>
      </c>
      <c r="B81" s="1206" t="s">
        <v>325</v>
      </c>
      <c r="C81" s="1205">
        <v>31</v>
      </c>
      <c r="D81" s="1206" t="s">
        <v>338</v>
      </c>
      <c r="E81" s="494" t="s">
        <v>38</v>
      </c>
      <c r="F81" s="496" t="s">
        <v>316</v>
      </c>
      <c r="G81" s="494" t="s">
        <v>40</v>
      </c>
      <c r="H81" s="501">
        <v>0</v>
      </c>
      <c r="I81" s="1242">
        <v>45778</v>
      </c>
      <c r="J81" s="508">
        <f t="shared" si="3"/>
        <v>0</v>
      </c>
      <c r="K81" s="511"/>
      <c r="L81" s="519">
        <v>0</v>
      </c>
      <c r="M81" s="517">
        <v>125</v>
      </c>
      <c r="N81" s="548"/>
      <c r="O81" s="546"/>
      <c r="P81" s="555"/>
      <c r="Q81" s="520"/>
      <c r="R81" s="541"/>
      <c r="S81" s="561"/>
    </row>
    <row r="82" spans="1:19" s="492" customFormat="1" ht="48.6">
      <c r="A82" s="1201" t="s">
        <v>309</v>
      </c>
      <c r="B82" s="1206" t="s">
        <v>325</v>
      </c>
      <c r="C82" s="1205">
        <v>32</v>
      </c>
      <c r="D82" s="1206" t="s">
        <v>338</v>
      </c>
      <c r="E82" s="494" t="s">
        <v>136</v>
      </c>
      <c r="F82" s="496" t="s">
        <v>316</v>
      </c>
      <c r="G82" s="494" t="s">
        <v>40</v>
      </c>
      <c r="H82" s="501">
        <v>0</v>
      </c>
      <c r="I82" s="1242">
        <v>45778</v>
      </c>
      <c r="J82" s="508">
        <f t="shared" si="3"/>
        <v>0</v>
      </c>
      <c r="K82" s="511"/>
      <c r="L82" s="519">
        <v>0</v>
      </c>
      <c r="M82" s="517">
        <v>43.24</v>
      </c>
      <c r="N82" s="548"/>
      <c r="O82" s="546"/>
      <c r="P82" s="555"/>
      <c r="Q82" s="520"/>
      <c r="R82" s="541"/>
      <c r="S82" s="561"/>
    </row>
    <row r="83" spans="1:19" s="492" customFormat="1" ht="48.6">
      <c r="A83" s="1201" t="s">
        <v>309</v>
      </c>
      <c r="B83" s="1206" t="s">
        <v>325</v>
      </c>
      <c r="C83" s="1205">
        <v>33</v>
      </c>
      <c r="D83" s="1206" t="s">
        <v>339</v>
      </c>
      <c r="E83" s="494" t="s">
        <v>133</v>
      </c>
      <c r="F83" s="496" t="s">
        <v>340</v>
      </c>
      <c r="G83" s="494" t="s">
        <v>341</v>
      </c>
      <c r="H83" s="502">
        <v>5.0000000000000001E-3</v>
      </c>
      <c r="I83" s="1242">
        <v>45778</v>
      </c>
      <c r="J83" s="508" t="s">
        <v>41</v>
      </c>
      <c r="K83" s="511" t="s">
        <v>41</v>
      </c>
      <c r="L83" s="522" t="s">
        <v>41</v>
      </c>
      <c r="M83" s="517"/>
      <c r="N83" s="548"/>
      <c r="O83" s="546"/>
      <c r="P83" s="555"/>
      <c r="Q83" s="520"/>
      <c r="R83" s="541"/>
      <c r="S83" s="561"/>
    </row>
    <row r="84" spans="1:19" s="492" customFormat="1" ht="48.6">
      <c r="A84" s="1201" t="s">
        <v>309</v>
      </c>
      <c r="B84" s="1206" t="s">
        <v>325</v>
      </c>
      <c r="C84" s="1205">
        <v>34</v>
      </c>
      <c r="D84" s="1206" t="s">
        <v>339</v>
      </c>
      <c r="E84" s="494" t="s">
        <v>136</v>
      </c>
      <c r="F84" s="496" t="s">
        <v>340</v>
      </c>
      <c r="G84" s="494" t="s">
        <v>341</v>
      </c>
      <c r="H84" s="503" t="s">
        <v>41</v>
      </c>
      <c r="I84" s="1242">
        <v>45778</v>
      </c>
      <c r="J84" s="510" t="str">
        <f>IF(H84=0,0,IF(H84="-","-",ROUND(H84/12,2)))</f>
        <v>-</v>
      </c>
      <c r="K84" s="511" t="s">
        <v>41</v>
      </c>
      <c r="L84" s="522" t="s">
        <v>41</v>
      </c>
      <c r="M84" s="517"/>
      <c r="N84" s="548"/>
      <c r="O84" s="546"/>
      <c r="P84" s="555"/>
      <c r="Q84" s="520"/>
      <c r="R84" s="541"/>
      <c r="S84" s="561"/>
    </row>
    <row r="85" spans="1:19" s="492" customFormat="1" ht="48.6">
      <c r="A85" s="1201" t="s">
        <v>309</v>
      </c>
      <c r="B85" s="1206" t="s">
        <v>325</v>
      </c>
      <c r="C85" s="1205">
        <v>35</v>
      </c>
      <c r="D85" s="1206" t="s">
        <v>342</v>
      </c>
      <c r="E85" s="494" t="s">
        <v>133</v>
      </c>
      <c r="F85" s="496" t="s">
        <v>106</v>
      </c>
      <c r="G85" s="494" t="s">
        <v>285</v>
      </c>
      <c r="H85" s="504">
        <v>3.5000000000000003E-2</v>
      </c>
      <c r="I85" s="1242">
        <v>45778</v>
      </c>
      <c r="J85" s="513">
        <v>3.5999999999999997E-2</v>
      </c>
      <c r="K85" s="514">
        <v>3.3500000000000002E-2</v>
      </c>
      <c r="L85" s="523">
        <f>J85</f>
        <v>3.5999999999999997E-2</v>
      </c>
      <c r="M85" s="514">
        <v>3.3500000000000002E-2</v>
      </c>
      <c r="N85" s="548"/>
      <c r="O85" s="546"/>
      <c r="P85" s="555"/>
      <c r="Q85" s="520"/>
      <c r="R85" s="541"/>
      <c r="S85" s="561"/>
    </row>
    <row r="86" spans="1:19" s="492" customFormat="1" ht="48.6">
      <c r="A86" s="1201" t="s">
        <v>309</v>
      </c>
      <c r="B86" s="1206" t="s">
        <v>325</v>
      </c>
      <c r="C86" s="1205">
        <v>36</v>
      </c>
      <c r="D86" s="1206" t="s">
        <v>342</v>
      </c>
      <c r="E86" s="494" t="s">
        <v>136</v>
      </c>
      <c r="F86" s="496" t="s">
        <v>106</v>
      </c>
      <c r="G86" s="494" t="s">
        <v>285</v>
      </c>
      <c r="H86" s="506">
        <v>642.05999999999995</v>
      </c>
      <c r="I86" s="1242">
        <v>45778</v>
      </c>
      <c r="J86" s="510">
        <v>660.54</v>
      </c>
      <c r="K86" s="511">
        <v>544</v>
      </c>
      <c r="L86" s="520">
        <f>J86</f>
        <v>660.54</v>
      </c>
      <c r="M86" s="511">
        <v>544</v>
      </c>
      <c r="N86" s="548"/>
      <c r="O86" s="546"/>
      <c r="P86" s="555"/>
      <c r="Q86" s="520"/>
      <c r="R86" s="541"/>
      <c r="S86" s="561"/>
    </row>
    <row r="87" spans="1:19" s="492" customFormat="1" ht="48.6">
      <c r="A87" s="1201" t="s">
        <v>309</v>
      </c>
      <c r="B87" s="1206" t="s">
        <v>325</v>
      </c>
      <c r="C87" s="1205">
        <v>37</v>
      </c>
      <c r="D87" s="1206" t="s">
        <v>343</v>
      </c>
      <c r="E87" s="494" t="s">
        <v>38</v>
      </c>
      <c r="F87" s="496" t="s">
        <v>105</v>
      </c>
      <c r="G87" s="494"/>
      <c r="H87" s="500" t="s">
        <v>41</v>
      </c>
      <c r="I87" s="1243">
        <v>45778</v>
      </c>
      <c r="J87" s="955" t="s">
        <v>41</v>
      </c>
      <c r="K87" s="959"/>
      <c r="L87" s="946"/>
      <c r="M87" s="957"/>
      <c r="N87" s="943"/>
      <c r="O87" s="944"/>
      <c r="P87" s="945"/>
      <c r="Q87" s="946"/>
      <c r="R87" s="541"/>
      <c r="S87" s="561"/>
    </row>
    <row r="88" spans="1:19" s="492" customFormat="1" ht="48.6">
      <c r="A88" s="1201" t="s">
        <v>309</v>
      </c>
      <c r="B88" s="1206" t="s">
        <v>325</v>
      </c>
      <c r="C88" s="1205">
        <v>38</v>
      </c>
      <c r="D88" s="1206" t="s">
        <v>343</v>
      </c>
      <c r="E88" s="494" t="s">
        <v>136</v>
      </c>
      <c r="F88" s="496" t="s">
        <v>105</v>
      </c>
      <c r="G88" s="494"/>
      <c r="H88" s="505">
        <f>84578725.86/10^6</f>
        <v>84.578725860000006</v>
      </c>
      <c r="I88" s="1242">
        <v>45778</v>
      </c>
      <c r="J88" s="510">
        <f>1786949.41/10^6</f>
        <v>1.7869494099999998</v>
      </c>
      <c r="K88" s="511">
        <f>1546521.04/10^6</f>
        <v>1.54652104</v>
      </c>
      <c r="L88" s="520">
        <f>L39+J88</f>
        <v>3.0519768799999998</v>
      </c>
      <c r="M88" s="517">
        <f>K88+M39</f>
        <v>2.84762051</v>
      </c>
      <c r="N88" s="548"/>
      <c r="O88" s="546" t="s">
        <v>182</v>
      </c>
      <c r="P88" s="555"/>
      <c r="Q88" s="520"/>
      <c r="R88" s="541"/>
      <c r="S88" s="561"/>
    </row>
    <row r="89" spans="1:19" s="492" customFormat="1" ht="48.6">
      <c r="A89" s="1201" t="s">
        <v>309</v>
      </c>
      <c r="B89" s="1206" t="s">
        <v>325</v>
      </c>
      <c r="C89" s="1205">
        <v>39</v>
      </c>
      <c r="D89" s="1206" t="s">
        <v>344</v>
      </c>
      <c r="E89" s="494" t="s">
        <v>136</v>
      </c>
      <c r="F89" s="496" t="s">
        <v>110</v>
      </c>
      <c r="G89" s="494" t="s">
        <v>345</v>
      </c>
      <c r="H89" s="500">
        <v>3.17</v>
      </c>
      <c r="I89" s="1242">
        <v>45778</v>
      </c>
      <c r="J89" s="515" t="s">
        <v>41</v>
      </c>
      <c r="K89" s="516" t="s">
        <v>41</v>
      </c>
      <c r="L89" s="524" t="s">
        <v>41</v>
      </c>
      <c r="M89" s="517"/>
      <c r="N89" s="548"/>
      <c r="O89" s="546"/>
      <c r="P89" s="555"/>
      <c r="Q89" s="520"/>
      <c r="R89" s="541"/>
      <c r="S89" s="561"/>
    </row>
    <row r="90" spans="1:19" s="492" customFormat="1" ht="48.6">
      <c r="A90" s="1201" t="s">
        <v>309</v>
      </c>
      <c r="B90" s="1206" t="s">
        <v>325</v>
      </c>
      <c r="C90" s="1205">
        <v>40</v>
      </c>
      <c r="D90" s="1206" t="s">
        <v>346</v>
      </c>
      <c r="E90" s="494" t="s">
        <v>136</v>
      </c>
      <c r="F90" s="496" t="s">
        <v>110</v>
      </c>
      <c r="G90" s="494" t="s">
        <v>345</v>
      </c>
      <c r="H90" s="506">
        <v>5.84</v>
      </c>
      <c r="I90" s="1242">
        <v>45778</v>
      </c>
      <c r="J90" s="515" t="s">
        <v>41</v>
      </c>
      <c r="K90" s="516" t="s">
        <v>41</v>
      </c>
      <c r="L90" s="524" t="s">
        <v>41</v>
      </c>
      <c r="M90" s="517"/>
      <c r="N90" s="548"/>
      <c r="O90" s="546"/>
      <c r="P90" s="555"/>
      <c r="Q90" s="520"/>
      <c r="R90" s="541"/>
      <c r="S90" s="561"/>
    </row>
    <row r="91" spans="1:19" s="492" customFormat="1" ht="48.6">
      <c r="A91" s="1201" t="s">
        <v>309</v>
      </c>
      <c r="B91" s="1206" t="s">
        <v>325</v>
      </c>
      <c r="C91" s="1205">
        <v>41</v>
      </c>
      <c r="D91" s="1206" t="s">
        <v>347</v>
      </c>
      <c r="E91" s="494" t="s">
        <v>38</v>
      </c>
      <c r="F91" s="496" t="s">
        <v>106</v>
      </c>
      <c r="G91" s="494" t="s">
        <v>285</v>
      </c>
      <c r="H91" s="500" t="s">
        <v>41</v>
      </c>
      <c r="I91" s="1242">
        <v>45778</v>
      </c>
      <c r="J91" s="510" t="s">
        <v>41</v>
      </c>
      <c r="K91" s="511" t="s">
        <v>41</v>
      </c>
      <c r="L91" s="522" t="s">
        <v>41</v>
      </c>
      <c r="M91" s="511" t="s">
        <v>41</v>
      </c>
      <c r="N91" s="548"/>
      <c r="O91" s="546"/>
      <c r="P91" s="555"/>
      <c r="Q91" s="520"/>
      <c r="R91" s="541"/>
      <c r="S91" s="561"/>
    </row>
    <row r="92" spans="1:19" s="492" customFormat="1" ht="48.6">
      <c r="A92" s="1201" t="s">
        <v>309</v>
      </c>
      <c r="B92" s="1206" t="s">
        <v>325</v>
      </c>
      <c r="C92" s="1205">
        <v>42</v>
      </c>
      <c r="D92" s="1206" t="s">
        <v>347</v>
      </c>
      <c r="E92" s="494" t="s">
        <v>136</v>
      </c>
      <c r="F92" s="496" t="s">
        <v>106</v>
      </c>
      <c r="G92" s="494" t="s">
        <v>285</v>
      </c>
      <c r="H92" s="506">
        <v>155.07</v>
      </c>
      <c r="I92" s="1242">
        <v>45778</v>
      </c>
      <c r="J92" s="510" t="s">
        <v>41</v>
      </c>
      <c r="K92" s="511" t="s">
        <v>41</v>
      </c>
      <c r="L92" s="522" t="s">
        <v>41</v>
      </c>
      <c r="M92" s="511" t="s">
        <v>41</v>
      </c>
      <c r="N92" s="548"/>
      <c r="O92" s="546"/>
      <c r="P92" s="555"/>
      <c r="Q92" s="520"/>
      <c r="R92" s="541"/>
      <c r="S92" s="561"/>
    </row>
    <row r="93" spans="1:19" s="492" customFormat="1" ht="48.6">
      <c r="A93" s="1201" t="s">
        <v>309</v>
      </c>
      <c r="B93" s="1206" t="s">
        <v>325</v>
      </c>
      <c r="C93" s="1205">
        <v>43</v>
      </c>
      <c r="D93" s="1206" t="s">
        <v>349</v>
      </c>
      <c r="E93" s="494" t="s">
        <v>136</v>
      </c>
      <c r="F93" s="496" t="s">
        <v>340</v>
      </c>
      <c r="G93" s="494" t="s">
        <v>134</v>
      </c>
      <c r="H93" s="500">
        <v>5.4</v>
      </c>
      <c r="I93" s="1242">
        <v>45778</v>
      </c>
      <c r="J93" s="510" t="s">
        <v>41</v>
      </c>
      <c r="K93" s="511" t="s">
        <v>41</v>
      </c>
      <c r="L93" s="522" t="s">
        <v>41</v>
      </c>
      <c r="M93" s="511" t="s">
        <v>41</v>
      </c>
      <c r="N93" s="548"/>
      <c r="O93" s="546" t="s">
        <v>361</v>
      </c>
      <c r="P93" s="555"/>
      <c r="Q93" s="520"/>
      <c r="R93" s="541"/>
      <c r="S93" s="561"/>
    </row>
    <row r="94" spans="1:19" s="492" customFormat="1" ht="48.6">
      <c r="A94" s="1201" t="s">
        <v>309</v>
      </c>
      <c r="B94" s="1206" t="s">
        <v>325</v>
      </c>
      <c r="C94" s="1205">
        <v>44</v>
      </c>
      <c r="D94" s="1206" t="s">
        <v>350</v>
      </c>
      <c r="E94" s="494" t="s">
        <v>38</v>
      </c>
      <c r="F94" s="496" t="s">
        <v>106</v>
      </c>
      <c r="G94" s="494" t="s">
        <v>134</v>
      </c>
      <c r="H94" s="500" t="s">
        <v>41</v>
      </c>
      <c r="I94" s="1242">
        <v>45778</v>
      </c>
      <c r="J94" s="510" t="s">
        <v>41</v>
      </c>
      <c r="K94" s="511" t="s">
        <v>41</v>
      </c>
      <c r="L94" s="522" t="s">
        <v>41</v>
      </c>
      <c r="M94" s="511" t="s">
        <v>41</v>
      </c>
      <c r="N94" s="548"/>
      <c r="O94" s="546"/>
      <c r="P94" s="555"/>
      <c r="Q94" s="520"/>
      <c r="R94" s="541"/>
      <c r="S94" s="561"/>
    </row>
    <row r="95" spans="1:19" s="492" customFormat="1" ht="48.6">
      <c r="A95" s="1201" t="s">
        <v>309</v>
      </c>
      <c r="B95" s="1206" t="s">
        <v>325</v>
      </c>
      <c r="C95" s="1205">
        <v>45</v>
      </c>
      <c r="D95" s="1206" t="s">
        <v>350</v>
      </c>
      <c r="E95" s="494" t="s">
        <v>136</v>
      </c>
      <c r="F95" s="496" t="s">
        <v>106</v>
      </c>
      <c r="G95" s="494" t="s">
        <v>134</v>
      </c>
      <c r="H95" s="506">
        <v>3</v>
      </c>
      <c r="I95" s="1242">
        <v>45778</v>
      </c>
      <c r="J95" s="510" t="s">
        <v>41</v>
      </c>
      <c r="K95" s="516" t="s">
        <v>41</v>
      </c>
      <c r="L95" s="522" t="s">
        <v>41</v>
      </c>
      <c r="M95" s="511"/>
      <c r="N95" s="548"/>
      <c r="O95" s="546"/>
      <c r="P95" s="555"/>
      <c r="Q95" s="520"/>
      <c r="R95" s="541"/>
      <c r="S95" s="561"/>
    </row>
    <row r="96" spans="1:19" s="492" customFormat="1" ht="48.6">
      <c r="A96" s="1201" t="s">
        <v>309</v>
      </c>
      <c r="B96" s="1221" t="s">
        <v>351</v>
      </c>
      <c r="C96" s="1205">
        <v>46</v>
      </c>
      <c r="D96" s="1227" t="s">
        <v>41</v>
      </c>
      <c r="E96" s="494" t="s">
        <v>353</v>
      </c>
      <c r="F96" s="496" t="s">
        <v>312</v>
      </c>
      <c r="G96" s="497" t="s">
        <v>40</v>
      </c>
      <c r="H96" s="500">
        <v>1.2</v>
      </c>
      <c r="I96" s="1243">
        <v>45778</v>
      </c>
      <c r="J96" s="955" t="s">
        <v>41</v>
      </c>
      <c r="K96" s="959" t="s">
        <v>41</v>
      </c>
      <c r="L96" s="962" t="s">
        <v>41</v>
      </c>
      <c r="M96" s="959" t="s">
        <v>41</v>
      </c>
      <c r="N96" s="943"/>
      <c r="O96" s="944"/>
      <c r="P96" s="945"/>
      <c r="Q96" s="946"/>
      <c r="R96" s="541"/>
      <c r="S96" s="561"/>
    </row>
    <row r="97" spans="1:19" s="492" customFormat="1" ht="48.6">
      <c r="A97" s="1201" t="s">
        <v>309</v>
      </c>
      <c r="B97" s="1221" t="s">
        <v>354</v>
      </c>
      <c r="C97" s="1205">
        <v>47</v>
      </c>
      <c r="D97" s="1221" t="s">
        <v>355</v>
      </c>
      <c r="E97" s="494" t="s">
        <v>353</v>
      </c>
      <c r="F97" s="496" t="s">
        <v>327</v>
      </c>
      <c r="G97" s="497" t="s">
        <v>40</v>
      </c>
      <c r="H97" s="501">
        <v>0</v>
      </c>
      <c r="I97" s="1242">
        <v>45778</v>
      </c>
      <c r="J97" s="510" t="s">
        <v>41</v>
      </c>
      <c r="K97" s="516" t="s">
        <v>41</v>
      </c>
      <c r="L97" s="522" t="s">
        <v>41</v>
      </c>
      <c r="M97" s="517"/>
      <c r="N97" s="548"/>
      <c r="O97" s="546"/>
      <c r="P97" s="555"/>
      <c r="Q97" s="520"/>
      <c r="R97" s="541"/>
      <c r="S97" s="561"/>
    </row>
    <row r="98" spans="1:19" s="492" customFormat="1" ht="48.6">
      <c r="A98" s="1201" t="s">
        <v>309</v>
      </c>
      <c r="B98" s="1221" t="s">
        <v>356</v>
      </c>
      <c r="C98" s="1205">
        <v>48</v>
      </c>
      <c r="D98" s="1221" t="s">
        <v>355</v>
      </c>
      <c r="E98" s="494" t="s">
        <v>353</v>
      </c>
      <c r="F98" s="496" t="s">
        <v>321</v>
      </c>
      <c r="G98" s="497" t="s">
        <v>40</v>
      </c>
      <c r="H98" s="501">
        <v>0</v>
      </c>
      <c r="I98" s="1242">
        <v>45778</v>
      </c>
      <c r="J98" s="510" t="s">
        <v>41</v>
      </c>
      <c r="K98" s="511" t="s">
        <v>41</v>
      </c>
      <c r="L98" s="520" t="s">
        <v>41</v>
      </c>
      <c r="M98" s="517" t="s">
        <v>41</v>
      </c>
      <c r="N98" s="548"/>
      <c r="O98" s="546"/>
      <c r="P98" s="555"/>
      <c r="Q98" s="520"/>
      <c r="R98" s="541"/>
      <c r="S98" s="561"/>
    </row>
    <row r="99" spans="1:19" s="492" customFormat="1" ht="48.6">
      <c r="A99" s="1222" t="s">
        <v>309</v>
      </c>
      <c r="B99" s="1223" t="s">
        <v>357</v>
      </c>
      <c r="C99" s="1224">
        <v>49</v>
      </c>
      <c r="D99" s="1225" t="s">
        <v>41</v>
      </c>
      <c r="E99" s="532" t="s">
        <v>38</v>
      </c>
      <c r="F99" s="533" t="s">
        <v>312</v>
      </c>
      <c r="G99" s="534" t="s">
        <v>41</v>
      </c>
      <c r="H99" s="535"/>
      <c r="I99" s="1244">
        <v>45778</v>
      </c>
      <c r="J99" s="536">
        <v>24</v>
      </c>
      <c r="K99" s="537">
        <v>17</v>
      </c>
      <c r="L99" s="538">
        <f>L50+J99</f>
        <v>38</v>
      </c>
      <c r="M99" s="539">
        <f>M50+K99</f>
        <v>30</v>
      </c>
      <c r="N99" s="549"/>
      <c r="O99" s="624"/>
      <c r="P99" s="557"/>
      <c r="Q99" s="552"/>
      <c r="R99" s="542"/>
      <c r="S99" s="561"/>
    </row>
    <row r="100" spans="1:19" s="492" customFormat="1" ht="48.6">
      <c r="A100" s="1228" t="s">
        <v>309</v>
      </c>
      <c r="B100" s="1220" t="s">
        <v>310</v>
      </c>
      <c r="C100" s="1203">
        <v>1</v>
      </c>
      <c r="D100" s="1204" t="s">
        <v>311</v>
      </c>
      <c r="E100" s="525" t="s">
        <v>38</v>
      </c>
      <c r="F100" s="526" t="s">
        <v>312</v>
      </c>
      <c r="G100" s="525" t="s">
        <v>40</v>
      </c>
      <c r="H100" s="527">
        <v>0</v>
      </c>
      <c r="I100" s="1246">
        <v>45809</v>
      </c>
      <c r="J100" s="528">
        <f>IF(H100=0,0,IF(H100="-","-",ROUND(H100/12,2)))</f>
        <v>0</v>
      </c>
      <c r="K100" s="562">
        <v>0</v>
      </c>
      <c r="L100" s="530">
        <v>0</v>
      </c>
      <c r="M100" s="554">
        <v>0</v>
      </c>
      <c r="N100" s="550"/>
      <c r="O100" s="558"/>
      <c r="P100" s="559"/>
      <c r="Q100" s="553"/>
      <c r="R100" s="543"/>
      <c r="S100" s="561"/>
    </row>
    <row r="101" spans="1:19" s="492" customFormat="1" ht="48.6">
      <c r="A101" s="1229" t="s">
        <v>309</v>
      </c>
      <c r="B101" s="1221" t="s">
        <v>310</v>
      </c>
      <c r="C101" s="1205">
        <v>2</v>
      </c>
      <c r="D101" s="1206" t="s">
        <v>313</v>
      </c>
      <c r="E101" s="494" t="s">
        <v>38</v>
      </c>
      <c r="F101" s="496" t="s">
        <v>312</v>
      </c>
      <c r="G101" s="494" t="s">
        <v>40</v>
      </c>
      <c r="H101" s="500">
        <v>9</v>
      </c>
      <c r="I101" s="1247">
        <v>45809</v>
      </c>
      <c r="J101" s="508">
        <f>IF(H101=0,0,IF(H101="-","-",ROUND(H101/12,2)))</f>
        <v>0.75</v>
      </c>
      <c r="K101" s="509">
        <v>0</v>
      </c>
      <c r="L101" s="519">
        <f>J101+L52</f>
        <v>2.25</v>
      </c>
      <c r="M101" s="518">
        <f>K101+M52</f>
        <v>0</v>
      </c>
      <c r="N101" s="548"/>
      <c r="O101" s="546"/>
      <c r="P101" s="555"/>
      <c r="Q101" s="520"/>
      <c r="R101" s="541"/>
      <c r="S101" s="561"/>
    </row>
    <row r="102" spans="1:19" s="492" customFormat="1" ht="48.6">
      <c r="A102" s="1229" t="s">
        <v>309</v>
      </c>
      <c r="B102" s="1221" t="s">
        <v>310</v>
      </c>
      <c r="C102" s="1205">
        <v>3</v>
      </c>
      <c r="D102" s="1206" t="s">
        <v>314</v>
      </c>
      <c r="E102" s="494" t="s">
        <v>38</v>
      </c>
      <c r="F102" s="496" t="s">
        <v>312</v>
      </c>
      <c r="G102" s="494" t="s">
        <v>40</v>
      </c>
      <c r="H102" s="500">
        <v>0</v>
      </c>
      <c r="I102" s="1247">
        <v>45809</v>
      </c>
      <c r="J102" s="508">
        <f>IF(H102=0,0,IF(H102="-","-",ROUND(H102/12,2)))</f>
        <v>0</v>
      </c>
      <c r="K102" s="509">
        <v>0</v>
      </c>
      <c r="L102" s="519">
        <f>J102+L53</f>
        <v>0</v>
      </c>
      <c r="M102" s="518">
        <f>K102+M53</f>
        <v>0</v>
      </c>
      <c r="N102" s="548"/>
      <c r="O102" s="546"/>
      <c r="P102" s="555"/>
      <c r="Q102" s="520"/>
      <c r="R102" s="541"/>
      <c r="S102" s="561"/>
    </row>
    <row r="103" spans="1:19" s="492" customFormat="1" ht="48.6">
      <c r="A103" s="1229" t="s">
        <v>309</v>
      </c>
      <c r="B103" s="1221" t="s">
        <v>310</v>
      </c>
      <c r="C103" s="1205">
        <v>4</v>
      </c>
      <c r="D103" s="1206" t="s">
        <v>315</v>
      </c>
      <c r="E103" s="494" t="s">
        <v>38</v>
      </c>
      <c r="F103" s="496" t="s">
        <v>316</v>
      </c>
      <c r="G103" s="494" t="s">
        <v>40</v>
      </c>
      <c r="H103" s="500">
        <v>281</v>
      </c>
      <c r="I103" s="1247">
        <v>45809</v>
      </c>
      <c r="J103" s="508">
        <v>12</v>
      </c>
      <c r="K103" s="509">
        <v>23</v>
      </c>
      <c r="L103" s="519">
        <f>J103+L54</f>
        <v>44</v>
      </c>
      <c r="M103" s="518">
        <f t="shared" ref="M103" si="4">K103+M54</f>
        <v>55</v>
      </c>
      <c r="N103" s="548"/>
      <c r="O103" s="546"/>
      <c r="P103" s="555"/>
      <c r="Q103" s="520"/>
      <c r="R103" s="541"/>
      <c r="S103" s="561"/>
    </row>
    <row r="104" spans="1:19" s="492" customFormat="1" ht="48.6">
      <c r="A104" s="1229" t="s">
        <v>309</v>
      </c>
      <c r="B104" s="1221" t="s">
        <v>310</v>
      </c>
      <c r="C104" s="1205">
        <v>5</v>
      </c>
      <c r="D104" s="1206" t="s">
        <v>315</v>
      </c>
      <c r="E104" s="494" t="s">
        <v>136</v>
      </c>
      <c r="F104" s="496" t="s">
        <v>316</v>
      </c>
      <c r="G104" s="494" t="s">
        <v>40</v>
      </c>
      <c r="H104" s="500">
        <v>117</v>
      </c>
      <c r="I104" s="1247">
        <v>45809</v>
      </c>
      <c r="J104" s="510">
        <v>6.85</v>
      </c>
      <c r="K104" s="511">
        <v>4.71</v>
      </c>
      <c r="L104" s="520">
        <f t="shared" ref="L104:M104" si="5">J104+L55</f>
        <v>14.114999999999998</v>
      </c>
      <c r="M104" s="517">
        <f t="shared" si="5"/>
        <v>11.510000000000002</v>
      </c>
      <c r="N104" s="548"/>
      <c r="O104" s="546"/>
      <c r="P104" s="555"/>
      <c r="Q104" s="520"/>
      <c r="R104" s="541"/>
      <c r="S104" s="561"/>
    </row>
    <row r="105" spans="1:19" s="492" customFormat="1" ht="48.6">
      <c r="A105" s="1229" t="s">
        <v>309</v>
      </c>
      <c r="B105" s="1221" t="s">
        <v>310</v>
      </c>
      <c r="C105" s="1205">
        <v>6</v>
      </c>
      <c r="D105" s="1206" t="s">
        <v>317</v>
      </c>
      <c r="E105" s="494" t="s">
        <v>38</v>
      </c>
      <c r="F105" s="496" t="s">
        <v>316</v>
      </c>
      <c r="G105" s="494" t="s">
        <v>40</v>
      </c>
      <c r="H105" s="500">
        <v>0</v>
      </c>
      <c r="I105" s="1248">
        <v>45809</v>
      </c>
      <c r="J105" s="958">
        <f>IF(H105=0,0,IF(H105="-","-",ROUND(H105/12,2)))</f>
        <v>0</v>
      </c>
      <c r="K105" s="959">
        <v>1</v>
      </c>
      <c r="L105" s="971">
        <v>0</v>
      </c>
      <c r="M105" s="957">
        <f>K105+M56</f>
        <v>1</v>
      </c>
      <c r="N105" s="943"/>
      <c r="O105" s="944"/>
      <c r="P105" s="945"/>
      <c r="Q105" s="946">
        <v>0</v>
      </c>
      <c r="R105" s="544" t="s">
        <v>362</v>
      </c>
      <c r="S105" s="561"/>
    </row>
    <row r="106" spans="1:19" s="492" customFormat="1" ht="48.6">
      <c r="A106" s="1229" t="s">
        <v>309</v>
      </c>
      <c r="B106" s="1221" t="s">
        <v>310</v>
      </c>
      <c r="C106" s="1205">
        <v>7</v>
      </c>
      <c r="D106" s="1206" t="s">
        <v>317</v>
      </c>
      <c r="E106" s="494" t="s">
        <v>136</v>
      </c>
      <c r="F106" s="496" t="s">
        <v>316</v>
      </c>
      <c r="G106" s="494" t="s">
        <v>40</v>
      </c>
      <c r="H106" s="500">
        <v>0</v>
      </c>
      <c r="I106" s="1247">
        <v>45809</v>
      </c>
      <c r="J106" s="508">
        <f>IF(H106=0,0,IF(H106="-","-",ROUND(H106/12,2)))</f>
        <v>0</v>
      </c>
      <c r="K106" s="511">
        <v>0.93</v>
      </c>
      <c r="L106" s="519">
        <v>0</v>
      </c>
      <c r="M106" s="517">
        <f>K106+M57</f>
        <v>0.93</v>
      </c>
      <c r="N106" s="548"/>
      <c r="O106" s="546"/>
      <c r="P106" s="555"/>
      <c r="Q106" s="520">
        <v>0</v>
      </c>
      <c r="R106" s="544" t="s">
        <v>362</v>
      </c>
      <c r="S106" s="561"/>
    </row>
    <row r="107" spans="1:19" s="492" customFormat="1" ht="48.6">
      <c r="A107" s="1229" t="s">
        <v>309</v>
      </c>
      <c r="B107" s="1221" t="s">
        <v>310</v>
      </c>
      <c r="C107" s="1205">
        <v>8</v>
      </c>
      <c r="D107" s="1206" t="s">
        <v>318</v>
      </c>
      <c r="E107" s="494" t="s">
        <v>38</v>
      </c>
      <c r="F107" s="496" t="s">
        <v>316</v>
      </c>
      <c r="G107" s="494" t="s">
        <v>40</v>
      </c>
      <c r="H107" s="500">
        <v>195</v>
      </c>
      <c r="I107" s="1247">
        <v>45809</v>
      </c>
      <c r="J107" s="508">
        <v>18</v>
      </c>
      <c r="K107" s="509">
        <v>3</v>
      </c>
      <c r="L107" s="520">
        <f>J107+L58</f>
        <v>47</v>
      </c>
      <c r="M107" s="517">
        <f>K107+M58</f>
        <v>8</v>
      </c>
      <c r="N107" s="548"/>
      <c r="O107" s="546"/>
      <c r="P107" s="555"/>
      <c r="Q107" s="520"/>
      <c r="R107" s="541"/>
      <c r="S107" s="561"/>
    </row>
    <row r="108" spans="1:19" s="492" customFormat="1" ht="48.6">
      <c r="A108" s="1229" t="s">
        <v>309</v>
      </c>
      <c r="B108" s="1221" t="s">
        <v>310</v>
      </c>
      <c r="C108" s="1205">
        <v>9</v>
      </c>
      <c r="D108" s="1206" t="s">
        <v>318</v>
      </c>
      <c r="E108" s="494" t="s">
        <v>136</v>
      </c>
      <c r="F108" s="496" t="s">
        <v>316</v>
      </c>
      <c r="G108" s="494" t="s">
        <v>40</v>
      </c>
      <c r="H108" s="645">
        <v>313</v>
      </c>
      <c r="I108" s="1247">
        <v>45809</v>
      </c>
      <c r="J108" s="510">
        <v>19.718</v>
      </c>
      <c r="K108" s="511">
        <v>0.91200000000000003</v>
      </c>
      <c r="L108" s="520">
        <f>J108+L59</f>
        <v>51.747</v>
      </c>
      <c r="M108" s="517">
        <f>K108+M59</f>
        <v>29.415999999999997</v>
      </c>
      <c r="N108" s="548"/>
      <c r="O108" s="546"/>
      <c r="P108" s="555"/>
      <c r="Q108" s="520"/>
      <c r="R108" s="541"/>
      <c r="S108" s="561"/>
    </row>
    <row r="109" spans="1:19" s="492" customFormat="1" ht="48.6">
      <c r="A109" s="1229" t="s">
        <v>309</v>
      </c>
      <c r="B109" s="1221" t="s">
        <v>319</v>
      </c>
      <c r="C109" s="1205">
        <v>10</v>
      </c>
      <c r="D109" s="1206" t="s">
        <v>320</v>
      </c>
      <c r="E109" s="494" t="s">
        <v>38</v>
      </c>
      <c r="F109" s="496" t="s">
        <v>321</v>
      </c>
      <c r="G109" s="494" t="s">
        <v>40</v>
      </c>
      <c r="H109" s="500">
        <v>0</v>
      </c>
      <c r="I109" s="1247">
        <v>45809</v>
      </c>
      <c r="J109" s="508">
        <f>IF(H109=0,0,IF(H109="-","-",ROUND(H109/12,2)))</f>
        <v>0</v>
      </c>
      <c r="K109" s="511">
        <v>0</v>
      </c>
      <c r="L109" s="519">
        <v>0</v>
      </c>
      <c r="M109" s="517">
        <v>0</v>
      </c>
      <c r="N109" s="548"/>
      <c r="O109" s="546"/>
      <c r="P109" s="555"/>
      <c r="Q109" s="520"/>
      <c r="R109" s="541"/>
      <c r="S109" s="561"/>
    </row>
    <row r="110" spans="1:19" s="492" customFormat="1" ht="48.6">
      <c r="A110" s="1229" t="s">
        <v>309</v>
      </c>
      <c r="B110" s="1221" t="s">
        <v>319</v>
      </c>
      <c r="C110" s="1205">
        <v>11</v>
      </c>
      <c r="D110" s="1206" t="s">
        <v>322</v>
      </c>
      <c r="E110" s="494" t="s">
        <v>38</v>
      </c>
      <c r="F110" s="496" t="s">
        <v>321</v>
      </c>
      <c r="G110" s="494" t="s">
        <v>40</v>
      </c>
      <c r="H110" s="500">
        <v>0</v>
      </c>
      <c r="I110" s="1248">
        <v>45809</v>
      </c>
      <c r="J110" s="958">
        <f>IF(H110=0,0,IF(H110="-","-",ROUND(H110/12,2)))</f>
        <v>0</v>
      </c>
      <c r="K110" s="959">
        <v>0</v>
      </c>
      <c r="L110" s="971">
        <v>0</v>
      </c>
      <c r="M110" s="957">
        <v>0</v>
      </c>
      <c r="N110" s="943"/>
      <c r="O110" s="944"/>
      <c r="P110" s="945"/>
      <c r="Q110" s="946"/>
      <c r="R110" s="541"/>
      <c r="S110" s="561"/>
    </row>
    <row r="111" spans="1:19" s="492" customFormat="1" ht="48.6">
      <c r="A111" s="1229" t="s">
        <v>309</v>
      </c>
      <c r="B111" s="1221" t="s">
        <v>319</v>
      </c>
      <c r="C111" s="1205">
        <v>12</v>
      </c>
      <c r="D111" s="1206" t="s">
        <v>313</v>
      </c>
      <c r="E111" s="494" t="s">
        <v>38</v>
      </c>
      <c r="F111" s="496" t="s">
        <v>321</v>
      </c>
      <c r="G111" s="494" t="s">
        <v>40</v>
      </c>
      <c r="H111" s="500">
        <v>0</v>
      </c>
      <c r="I111" s="1248">
        <v>45809</v>
      </c>
      <c r="J111" s="958">
        <f>IF(H111=0,0,IF(H111="-","-",ROUND(H111/12,2)))</f>
        <v>0</v>
      </c>
      <c r="K111" s="959">
        <v>0</v>
      </c>
      <c r="L111" s="971">
        <v>0</v>
      </c>
      <c r="M111" s="957">
        <v>0</v>
      </c>
      <c r="N111" s="943"/>
      <c r="O111" s="944"/>
      <c r="P111" s="945"/>
      <c r="Q111" s="946"/>
      <c r="R111" s="541"/>
      <c r="S111" s="561"/>
    </row>
    <row r="112" spans="1:19" s="492" customFormat="1" ht="307.8">
      <c r="A112" s="1229" t="s">
        <v>309</v>
      </c>
      <c r="B112" s="1221" t="s">
        <v>319</v>
      </c>
      <c r="C112" s="1205">
        <v>13</v>
      </c>
      <c r="D112" s="1206" t="s">
        <v>323</v>
      </c>
      <c r="E112" s="494" t="s">
        <v>38</v>
      </c>
      <c r="F112" s="496" t="s">
        <v>321</v>
      </c>
      <c r="G112" s="494" t="s">
        <v>40</v>
      </c>
      <c r="H112" s="500">
        <v>5</v>
      </c>
      <c r="I112" s="1248">
        <v>45809</v>
      </c>
      <c r="J112" s="955">
        <v>2</v>
      </c>
      <c r="K112" s="959">
        <v>3</v>
      </c>
      <c r="L112" s="946">
        <v>2</v>
      </c>
      <c r="M112" s="957">
        <v>3</v>
      </c>
      <c r="N112" s="943"/>
      <c r="O112" s="961" t="s">
        <v>363</v>
      </c>
      <c r="P112" s="973" t="s">
        <v>364</v>
      </c>
      <c r="Q112" s="946">
        <v>0</v>
      </c>
      <c r="R112" s="541" t="s">
        <v>365</v>
      </c>
      <c r="S112" s="561"/>
    </row>
    <row r="113" spans="1:19" s="492" customFormat="1" ht="48.6">
      <c r="A113" s="1229" t="s">
        <v>309</v>
      </c>
      <c r="B113" s="1206" t="s">
        <v>324</v>
      </c>
      <c r="C113" s="1205">
        <v>14</v>
      </c>
      <c r="D113" s="1206" t="s">
        <v>311</v>
      </c>
      <c r="E113" s="494" t="s">
        <v>38</v>
      </c>
      <c r="F113" s="496" t="s">
        <v>312</v>
      </c>
      <c r="G113" s="494" t="s">
        <v>40</v>
      </c>
      <c r="H113" s="501">
        <v>0</v>
      </c>
      <c r="I113" s="1248">
        <v>45809</v>
      </c>
      <c r="J113" s="958">
        <f>IF(H113=0,0,IF(H113="-","-",ROUND(H113/12,2)))</f>
        <v>0</v>
      </c>
      <c r="K113" s="956">
        <v>0</v>
      </c>
      <c r="L113" s="971">
        <v>0</v>
      </c>
      <c r="M113" s="972">
        <f>M64+K113</f>
        <v>0</v>
      </c>
      <c r="N113" s="943"/>
      <c r="O113" s="944"/>
      <c r="P113" s="945"/>
      <c r="Q113" s="946"/>
      <c r="R113" s="1255"/>
      <c r="S113" s="561"/>
    </row>
    <row r="114" spans="1:19" s="492" customFormat="1" ht="48.6">
      <c r="A114" s="1229" t="s">
        <v>309</v>
      </c>
      <c r="B114" s="1206" t="s">
        <v>324</v>
      </c>
      <c r="C114" s="1205">
        <v>15</v>
      </c>
      <c r="D114" s="1206" t="s">
        <v>313</v>
      </c>
      <c r="E114" s="494" t="s">
        <v>38</v>
      </c>
      <c r="F114" s="496" t="s">
        <v>312</v>
      </c>
      <c r="G114" s="494" t="s">
        <v>40</v>
      </c>
      <c r="H114" s="501">
        <v>30</v>
      </c>
      <c r="I114" s="1248">
        <v>45809</v>
      </c>
      <c r="J114" s="958">
        <v>0</v>
      </c>
      <c r="K114" s="956">
        <v>7</v>
      </c>
      <c r="L114" s="971">
        <f>J114+L65</f>
        <v>5</v>
      </c>
      <c r="M114" s="972">
        <f>M65+K114</f>
        <v>12</v>
      </c>
      <c r="N114" s="943"/>
      <c r="O114" s="944"/>
      <c r="P114" s="945"/>
      <c r="Q114" s="946"/>
      <c r="R114" s="1255"/>
      <c r="S114" s="561"/>
    </row>
    <row r="115" spans="1:19" s="492" customFormat="1" ht="48.6">
      <c r="A115" s="1229" t="s">
        <v>309</v>
      </c>
      <c r="B115" s="1206" t="s">
        <v>324</v>
      </c>
      <c r="C115" s="1205">
        <v>16</v>
      </c>
      <c r="D115" s="1206" t="s">
        <v>314</v>
      </c>
      <c r="E115" s="494" t="s">
        <v>38</v>
      </c>
      <c r="F115" s="496" t="s">
        <v>312</v>
      </c>
      <c r="G115" s="494" t="s">
        <v>40</v>
      </c>
      <c r="H115" s="501">
        <v>0</v>
      </c>
      <c r="I115" s="1248">
        <v>45809</v>
      </c>
      <c r="J115" s="958">
        <f t="shared" ref="J115:J131" si="6">IF(H115=0,0,IF(H115="-","-",ROUND(H115/12,2)))</f>
        <v>0</v>
      </c>
      <c r="K115" s="956">
        <v>0</v>
      </c>
      <c r="L115" s="971">
        <f>J115+L66</f>
        <v>0</v>
      </c>
      <c r="M115" s="972">
        <f>M66+K115</f>
        <v>0</v>
      </c>
      <c r="N115" s="943"/>
      <c r="O115" s="944"/>
      <c r="P115" s="945"/>
      <c r="Q115" s="946"/>
      <c r="R115" s="1255"/>
      <c r="S115" s="561"/>
    </row>
    <row r="116" spans="1:19" s="492" customFormat="1" ht="48.6">
      <c r="A116" s="1229" t="s">
        <v>309</v>
      </c>
      <c r="B116" s="1206" t="s">
        <v>325</v>
      </c>
      <c r="C116" s="1205">
        <v>17</v>
      </c>
      <c r="D116" s="1206" t="s">
        <v>326</v>
      </c>
      <c r="E116" s="494" t="s">
        <v>38</v>
      </c>
      <c r="F116" s="496" t="s">
        <v>327</v>
      </c>
      <c r="G116" s="494" t="s">
        <v>40</v>
      </c>
      <c r="H116" s="501">
        <v>0</v>
      </c>
      <c r="I116" s="1248">
        <v>45809</v>
      </c>
      <c r="J116" s="958">
        <f t="shared" si="6"/>
        <v>0</v>
      </c>
      <c r="K116" s="959">
        <v>0</v>
      </c>
      <c r="L116" s="971">
        <v>0</v>
      </c>
      <c r="M116" s="972">
        <v>0</v>
      </c>
      <c r="N116" s="943"/>
      <c r="O116" s="944"/>
      <c r="P116" s="945"/>
      <c r="Q116" s="946"/>
      <c r="R116" s="541"/>
      <c r="S116" s="561"/>
    </row>
    <row r="117" spans="1:19" s="492" customFormat="1" ht="48.6">
      <c r="A117" s="1229" t="s">
        <v>309</v>
      </c>
      <c r="B117" s="1206" t="s">
        <v>325</v>
      </c>
      <c r="C117" s="1205">
        <v>18</v>
      </c>
      <c r="D117" s="1206" t="s">
        <v>326</v>
      </c>
      <c r="E117" s="494" t="s">
        <v>136</v>
      </c>
      <c r="F117" s="496" t="s">
        <v>327</v>
      </c>
      <c r="G117" s="494" t="s">
        <v>40</v>
      </c>
      <c r="H117" s="501">
        <v>0</v>
      </c>
      <c r="I117" s="1248">
        <v>45809</v>
      </c>
      <c r="J117" s="958">
        <f t="shared" si="6"/>
        <v>0</v>
      </c>
      <c r="K117" s="959">
        <v>0</v>
      </c>
      <c r="L117" s="971">
        <v>0</v>
      </c>
      <c r="M117" s="972">
        <v>0</v>
      </c>
      <c r="N117" s="943"/>
      <c r="O117" s="944"/>
      <c r="P117" s="945"/>
      <c r="Q117" s="946"/>
      <c r="R117" s="541"/>
      <c r="S117" s="561"/>
    </row>
    <row r="118" spans="1:19" s="492" customFormat="1" ht="48.6">
      <c r="A118" s="1229" t="s">
        <v>309</v>
      </c>
      <c r="B118" s="1206" t="s">
        <v>325</v>
      </c>
      <c r="C118" s="1205">
        <v>19</v>
      </c>
      <c r="D118" s="1206" t="s">
        <v>328</v>
      </c>
      <c r="E118" s="494" t="s">
        <v>38</v>
      </c>
      <c r="F118" s="496" t="s">
        <v>327</v>
      </c>
      <c r="G118" s="494" t="s">
        <v>40</v>
      </c>
      <c r="H118" s="501" t="s">
        <v>41</v>
      </c>
      <c r="I118" s="1248">
        <v>45809</v>
      </c>
      <c r="J118" s="955" t="str">
        <f t="shared" si="6"/>
        <v>-</v>
      </c>
      <c r="K118" s="956"/>
      <c r="L118" s="960" t="s">
        <v>41</v>
      </c>
      <c r="M118" s="957">
        <v>88</v>
      </c>
      <c r="N118" s="943"/>
      <c r="O118" s="944"/>
      <c r="P118" s="945"/>
      <c r="Q118" s="946"/>
      <c r="R118" s="541"/>
      <c r="S118" s="561"/>
    </row>
    <row r="119" spans="1:19" s="492" customFormat="1" ht="48.6">
      <c r="A119" s="1229" t="s">
        <v>309</v>
      </c>
      <c r="B119" s="1206" t="s">
        <v>325</v>
      </c>
      <c r="C119" s="1205">
        <v>20</v>
      </c>
      <c r="D119" s="1206" t="s">
        <v>328</v>
      </c>
      <c r="E119" s="494" t="s">
        <v>136</v>
      </c>
      <c r="F119" s="496" t="s">
        <v>327</v>
      </c>
      <c r="G119" s="494" t="s">
        <v>40</v>
      </c>
      <c r="H119" s="501" t="s">
        <v>41</v>
      </c>
      <c r="I119" s="1248">
        <v>45809</v>
      </c>
      <c r="J119" s="955" t="str">
        <f t="shared" si="6"/>
        <v>-</v>
      </c>
      <c r="K119" s="956"/>
      <c r="L119" s="946"/>
      <c r="M119" s="957">
        <v>371</v>
      </c>
      <c r="N119" s="943"/>
      <c r="O119" s="944"/>
      <c r="P119" s="945"/>
      <c r="Q119" s="946"/>
      <c r="R119" s="541"/>
      <c r="S119" s="561"/>
    </row>
    <row r="120" spans="1:19" s="492" customFormat="1" ht="48.6">
      <c r="A120" s="1229" t="s">
        <v>309</v>
      </c>
      <c r="B120" s="1206" t="s">
        <v>325</v>
      </c>
      <c r="C120" s="1205">
        <v>21</v>
      </c>
      <c r="D120" s="1206" t="s">
        <v>329</v>
      </c>
      <c r="E120" s="494" t="s">
        <v>38</v>
      </c>
      <c r="F120" s="496" t="s">
        <v>327</v>
      </c>
      <c r="G120" s="494" t="s">
        <v>40</v>
      </c>
      <c r="H120" s="501" t="s">
        <v>41</v>
      </c>
      <c r="I120" s="1248">
        <v>45809</v>
      </c>
      <c r="J120" s="955" t="str">
        <f t="shared" si="6"/>
        <v>-</v>
      </c>
      <c r="K120" s="956"/>
      <c r="L120" s="946"/>
      <c r="M120" s="957">
        <v>160</v>
      </c>
      <c r="N120" s="943"/>
      <c r="O120" s="944"/>
      <c r="P120" s="945"/>
      <c r="Q120" s="946"/>
      <c r="R120" s="541"/>
      <c r="S120" s="561"/>
    </row>
    <row r="121" spans="1:19" s="492" customFormat="1" ht="48.6">
      <c r="A121" s="1229" t="s">
        <v>309</v>
      </c>
      <c r="B121" s="1206" t="s">
        <v>325</v>
      </c>
      <c r="C121" s="1205">
        <v>22</v>
      </c>
      <c r="D121" s="1206" t="s">
        <v>329</v>
      </c>
      <c r="E121" s="494" t="s">
        <v>136</v>
      </c>
      <c r="F121" s="496" t="s">
        <v>327</v>
      </c>
      <c r="G121" s="494" t="s">
        <v>40</v>
      </c>
      <c r="H121" s="501" t="s">
        <v>41</v>
      </c>
      <c r="I121" s="1248">
        <v>45809</v>
      </c>
      <c r="J121" s="955" t="str">
        <f t="shared" si="6"/>
        <v>-</v>
      </c>
      <c r="K121" s="956"/>
      <c r="L121" s="946"/>
      <c r="M121" s="957">
        <v>228</v>
      </c>
      <c r="N121" s="943"/>
      <c r="O121" s="944" t="s">
        <v>366</v>
      </c>
      <c r="P121" s="945"/>
      <c r="Q121" s="946"/>
      <c r="R121" s="541"/>
      <c r="S121" s="561"/>
    </row>
    <row r="122" spans="1:19" s="492" customFormat="1" ht="48.6">
      <c r="A122" s="1229" t="s">
        <v>309</v>
      </c>
      <c r="B122" s="1206" t="s">
        <v>325</v>
      </c>
      <c r="C122" s="1205">
        <v>23</v>
      </c>
      <c r="D122" s="1206" t="s">
        <v>330</v>
      </c>
      <c r="E122" s="494" t="s">
        <v>38</v>
      </c>
      <c r="F122" s="496" t="s">
        <v>327</v>
      </c>
      <c r="G122" s="494" t="s">
        <v>40</v>
      </c>
      <c r="H122" s="501" t="s">
        <v>41</v>
      </c>
      <c r="I122" s="1248">
        <v>45809</v>
      </c>
      <c r="J122" s="955" t="str">
        <f t="shared" si="6"/>
        <v>-</v>
      </c>
      <c r="K122" s="956"/>
      <c r="L122" s="946"/>
      <c r="M122" s="957">
        <v>242</v>
      </c>
      <c r="N122" s="943"/>
      <c r="O122" s="944"/>
      <c r="P122" s="945"/>
      <c r="Q122" s="946"/>
      <c r="R122" s="541"/>
      <c r="S122" s="561"/>
    </row>
    <row r="123" spans="1:19" s="492" customFormat="1" ht="16.5" customHeight="1">
      <c r="A123" s="1229" t="s">
        <v>309</v>
      </c>
      <c r="B123" s="1206" t="s">
        <v>325</v>
      </c>
      <c r="C123" s="1205">
        <v>24</v>
      </c>
      <c r="D123" s="1206" t="s">
        <v>330</v>
      </c>
      <c r="E123" s="494" t="s">
        <v>136</v>
      </c>
      <c r="F123" s="496" t="s">
        <v>327</v>
      </c>
      <c r="G123" s="494" t="s">
        <v>40</v>
      </c>
      <c r="H123" s="501" t="s">
        <v>41</v>
      </c>
      <c r="I123" s="1248">
        <v>45809</v>
      </c>
      <c r="J123" s="955" t="str">
        <f t="shared" si="6"/>
        <v>-</v>
      </c>
      <c r="K123" s="956"/>
      <c r="L123" s="946"/>
      <c r="M123" s="957">
        <v>140</v>
      </c>
      <c r="N123" s="943"/>
      <c r="O123" s="944" t="s">
        <v>367</v>
      </c>
      <c r="P123" s="945"/>
      <c r="Q123" s="946"/>
      <c r="R123" s="541"/>
      <c r="S123" s="561"/>
    </row>
    <row r="124" spans="1:19" s="492" customFormat="1" ht="16.5" customHeight="1">
      <c r="A124" s="1229" t="s">
        <v>309</v>
      </c>
      <c r="B124" s="1206" t="s">
        <v>325</v>
      </c>
      <c r="C124" s="1205">
        <v>25</v>
      </c>
      <c r="D124" s="1206" t="s">
        <v>331</v>
      </c>
      <c r="E124" s="494" t="s">
        <v>38</v>
      </c>
      <c r="F124" s="496" t="s">
        <v>327</v>
      </c>
      <c r="G124" s="494" t="s">
        <v>332</v>
      </c>
      <c r="H124" s="501">
        <v>0</v>
      </c>
      <c r="I124" s="1248">
        <v>45809</v>
      </c>
      <c r="J124" s="958">
        <f t="shared" si="6"/>
        <v>0</v>
      </c>
      <c r="K124" s="956"/>
      <c r="L124" s="971">
        <v>0</v>
      </c>
      <c r="M124" s="957">
        <v>9</v>
      </c>
      <c r="N124" s="943"/>
      <c r="O124" s="2590" t="s">
        <v>368</v>
      </c>
      <c r="P124" s="945" t="s">
        <v>41</v>
      </c>
      <c r="Q124" s="946"/>
      <c r="R124" s="541"/>
      <c r="S124" s="561"/>
    </row>
    <row r="125" spans="1:19" s="492" customFormat="1" ht="48.6">
      <c r="A125" s="1229" t="s">
        <v>309</v>
      </c>
      <c r="B125" s="1206" t="s">
        <v>325</v>
      </c>
      <c r="C125" s="1205">
        <v>26</v>
      </c>
      <c r="D125" s="1216" t="s">
        <v>331</v>
      </c>
      <c r="E125" s="494" t="s">
        <v>136</v>
      </c>
      <c r="F125" s="496" t="s">
        <v>327</v>
      </c>
      <c r="G125" s="494" t="s">
        <v>332</v>
      </c>
      <c r="H125" s="501">
        <v>0</v>
      </c>
      <c r="I125" s="1248">
        <v>45809</v>
      </c>
      <c r="J125" s="958">
        <f t="shared" si="6"/>
        <v>0</v>
      </c>
      <c r="K125" s="956"/>
      <c r="L125" s="971">
        <v>0</v>
      </c>
      <c r="M125" s="957">
        <v>7.7</v>
      </c>
      <c r="N125" s="943"/>
      <c r="O125" s="2591"/>
      <c r="P125" s="945"/>
      <c r="Q125" s="946"/>
      <c r="R125" s="541"/>
      <c r="S125" s="561"/>
    </row>
    <row r="126" spans="1:19" s="492" customFormat="1" ht="16.5" customHeight="1">
      <c r="A126" s="1229" t="s">
        <v>309</v>
      </c>
      <c r="B126" s="1206" t="s">
        <v>325</v>
      </c>
      <c r="C126" s="1205">
        <v>27</v>
      </c>
      <c r="D126" s="1216" t="s">
        <v>334</v>
      </c>
      <c r="E126" s="494" t="s">
        <v>38</v>
      </c>
      <c r="F126" s="496" t="s">
        <v>327</v>
      </c>
      <c r="G126" s="494" t="s">
        <v>285</v>
      </c>
      <c r="H126" s="501">
        <v>0</v>
      </c>
      <c r="I126" s="1248">
        <v>45809</v>
      </c>
      <c r="J126" s="958">
        <f t="shared" si="6"/>
        <v>0</v>
      </c>
      <c r="K126" s="956"/>
      <c r="L126" s="971">
        <v>0</v>
      </c>
      <c r="M126" s="957">
        <v>14</v>
      </c>
      <c r="N126" s="943"/>
      <c r="O126" s="2594" t="s">
        <v>369</v>
      </c>
      <c r="P126" s="945" t="s">
        <v>41</v>
      </c>
      <c r="Q126" s="946"/>
      <c r="R126" s="541"/>
      <c r="S126" s="561"/>
    </row>
    <row r="127" spans="1:19" s="492" customFormat="1" ht="48.6">
      <c r="A127" s="1229" t="s">
        <v>309</v>
      </c>
      <c r="B127" s="1206" t="s">
        <v>325</v>
      </c>
      <c r="C127" s="1205">
        <v>28</v>
      </c>
      <c r="D127" s="1216" t="s">
        <v>334</v>
      </c>
      <c r="E127" s="494" t="s">
        <v>136</v>
      </c>
      <c r="F127" s="496" t="s">
        <v>327</v>
      </c>
      <c r="G127" s="494" t="s">
        <v>285</v>
      </c>
      <c r="H127" s="501">
        <v>0</v>
      </c>
      <c r="I127" s="1248">
        <v>45809</v>
      </c>
      <c r="J127" s="958">
        <f t="shared" si="6"/>
        <v>0</v>
      </c>
      <c r="K127" s="956"/>
      <c r="L127" s="971">
        <v>0</v>
      </c>
      <c r="M127" s="957">
        <v>10.5</v>
      </c>
      <c r="N127" s="943"/>
      <c r="O127" s="2589"/>
      <c r="P127" s="945"/>
      <c r="Q127" s="946"/>
      <c r="R127" s="541"/>
      <c r="S127" s="561"/>
    </row>
    <row r="128" spans="1:19" s="492" customFormat="1" ht="48.6">
      <c r="A128" s="1229" t="s">
        <v>309</v>
      </c>
      <c r="B128" s="1206" t="s">
        <v>325</v>
      </c>
      <c r="C128" s="1205">
        <v>29</v>
      </c>
      <c r="D128" s="1206" t="s">
        <v>336</v>
      </c>
      <c r="E128" s="494" t="s">
        <v>38</v>
      </c>
      <c r="F128" s="496" t="s">
        <v>316</v>
      </c>
      <c r="G128" s="494" t="s">
        <v>40</v>
      </c>
      <c r="H128" s="501">
        <v>0</v>
      </c>
      <c r="I128" s="1248">
        <v>45809</v>
      </c>
      <c r="J128" s="958">
        <f t="shared" si="6"/>
        <v>0</v>
      </c>
      <c r="K128" s="959"/>
      <c r="L128" s="971">
        <v>0</v>
      </c>
      <c r="M128" s="972">
        <v>168</v>
      </c>
      <c r="N128" s="943"/>
      <c r="O128" s="944" t="s">
        <v>370</v>
      </c>
      <c r="P128" s="945"/>
      <c r="Q128" s="946"/>
      <c r="R128" s="541"/>
      <c r="S128" s="561"/>
    </row>
    <row r="129" spans="1:19" s="492" customFormat="1" ht="48.6">
      <c r="A129" s="1229" t="s">
        <v>309</v>
      </c>
      <c r="B129" s="1206" t="s">
        <v>325</v>
      </c>
      <c r="C129" s="1205">
        <v>30</v>
      </c>
      <c r="D129" s="1206" t="s">
        <v>336</v>
      </c>
      <c r="E129" s="494" t="s">
        <v>136</v>
      </c>
      <c r="F129" s="496" t="s">
        <v>316</v>
      </c>
      <c r="G129" s="494" t="s">
        <v>40</v>
      </c>
      <c r="H129" s="501">
        <v>0</v>
      </c>
      <c r="I129" s="1248">
        <v>45809</v>
      </c>
      <c r="J129" s="958">
        <f t="shared" si="6"/>
        <v>0</v>
      </c>
      <c r="K129" s="959"/>
      <c r="L129" s="971">
        <v>0</v>
      </c>
      <c r="M129" s="957">
        <v>8.9073309999999974</v>
      </c>
      <c r="N129" s="943"/>
      <c r="O129" s="944" t="s">
        <v>371</v>
      </c>
      <c r="P129" s="945"/>
      <c r="Q129" s="946"/>
      <c r="R129" s="541"/>
      <c r="S129" s="561"/>
    </row>
    <row r="130" spans="1:19" s="492" customFormat="1" ht="48.6">
      <c r="A130" s="1229" t="s">
        <v>309</v>
      </c>
      <c r="B130" s="1206" t="s">
        <v>325</v>
      </c>
      <c r="C130" s="1205">
        <v>31</v>
      </c>
      <c r="D130" s="1206" t="s">
        <v>338</v>
      </c>
      <c r="E130" s="494" t="s">
        <v>38</v>
      </c>
      <c r="F130" s="496" t="s">
        <v>316</v>
      </c>
      <c r="G130" s="494" t="s">
        <v>40</v>
      </c>
      <c r="H130" s="501">
        <v>0</v>
      </c>
      <c r="I130" s="1248">
        <v>45809</v>
      </c>
      <c r="J130" s="958">
        <f t="shared" si="6"/>
        <v>0</v>
      </c>
      <c r="K130" s="959"/>
      <c r="L130" s="971">
        <v>0</v>
      </c>
      <c r="M130" s="957">
        <v>82</v>
      </c>
      <c r="N130" s="943"/>
      <c r="O130" s="944" t="s">
        <v>371</v>
      </c>
      <c r="P130" s="945"/>
      <c r="Q130" s="946"/>
      <c r="R130" s="541"/>
      <c r="S130" s="561"/>
    </row>
    <row r="131" spans="1:19" s="492" customFormat="1" ht="48.6">
      <c r="A131" s="1229" t="s">
        <v>309</v>
      </c>
      <c r="B131" s="1206" t="s">
        <v>325</v>
      </c>
      <c r="C131" s="1205">
        <v>32</v>
      </c>
      <c r="D131" s="1206" t="s">
        <v>338</v>
      </c>
      <c r="E131" s="494" t="s">
        <v>136</v>
      </c>
      <c r="F131" s="496" t="s">
        <v>316</v>
      </c>
      <c r="G131" s="494" t="s">
        <v>40</v>
      </c>
      <c r="H131" s="501">
        <v>0</v>
      </c>
      <c r="I131" s="1248">
        <v>45809</v>
      </c>
      <c r="J131" s="958">
        <f t="shared" si="6"/>
        <v>0</v>
      </c>
      <c r="K131" s="959"/>
      <c r="L131" s="971">
        <v>0</v>
      </c>
      <c r="M131" s="957">
        <v>11.33</v>
      </c>
      <c r="N131" s="943"/>
      <c r="O131" s="944" t="s">
        <v>371</v>
      </c>
      <c r="P131" s="945"/>
      <c r="Q131" s="946"/>
      <c r="R131" s="541"/>
      <c r="S131" s="561"/>
    </row>
    <row r="132" spans="1:19" s="492" customFormat="1" ht="48.6">
      <c r="A132" s="1229" t="s">
        <v>309</v>
      </c>
      <c r="B132" s="1206" t="s">
        <v>325</v>
      </c>
      <c r="C132" s="1205">
        <v>33</v>
      </c>
      <c r="D132" s="1206" t="s">
        <v>339</v>
      </c>
      <c r="E132" s="494" t="s">
        <v>133</v>
      </c>
      <c r="F132" s="496" t="s">
        <v>340</v>
      </c>
      <c r="G132" s="494" t="s">
        <v>341</v>
      </c>
      <c r="H132" s="502">
        <v>5.0000000000000001E-3</v>
      </c>
      <c r="I132" s="1248">
        <v>45809</v>
      </c>
      <c r="J132" s="958" t="s">
        <v>41</v>
      </c>
      <c r="K132" s="959"/>
      <c r="L132" s="962" t="s">
        <v>41</v>
      </c>
      <c r="M132" s="957"/>
      <c r="N132" s="943"/>
      <c r="O132" s="944"/>
      <c r="P132" s="945"/>
      <c r="Q132" s="946"/>
      <c r="R132" s="541"/>
      <c r="S132" s="561"/>
    </row>
    <row r="133" spans="1:19" s="492" customFormat="1" ht="48.6">
      <c r="A133" s="1229" t="s">
        <v>309</v>
      </c>
      <c r="B133" s="1206" t="s">
        <v>325</v>
      </c>
      <c r="C133" s="1205">
        <v>34</v>
      </c>
      <c r="D133" s="1206" t="s">
        <v>339</v>
      </c>
      <c r="E133" s="494" t="s">
        <v>136</v>
      </c>
      <c r="F133" s="496" t="s">
        <v>340</v>
      </c>
      <c r="G133" s="494" t="s">
        <v>341</v>
      </c>
      <c r="H133" s="503" t="s">
        <v>41</v>
      </c>
      <c r="I133" s="1248">
        <v>45809</v>
      </c>
      <c r="J133" s="955" t="str">
        <f>IF(H133=0,0,IF(H133="-","-",ROUND(H133/12,2)))</f>
        <v>-</v>
      </c>
      <c r="K133" s="959"/>
      <c r="L133" s="962" t="s">
        <v>41</v>
      </c>
      <c r="M133" s="957"/>
      <c r="N133" s="943"/>
      <c r="O133" s="944"/>
      <c r="P133" s="945"/>
      <c r="Q133" s="946"/>
      <c r="R133" s="541"/>
      <c r="S133" s="561"/>
    </row>
    <row r="134" spans="1:19" s="492" customFormat="1" ht="48.6">
      <c r="A134" s="1229" t="s">
        <v>309</v>
      </c>
      <c r="B134" s="1206" t="s">
        <v>325</v>
      </c>
      <c r="C134" s="1205">
        <v>35</v>
      </c>
      <c r="D134" s="1206" t="s">
        <v>342</v>
      </c>
      <c r="E134" s="494" t="s">
        <v>133</v>
      </c>
      <c r="F134" s="496" t="s">
        <v>106</v>
      </c>
      <c r="G134" s="494" t="s">
        <v>285</v>
      </c>
      <c r="H134" s="504">
        <v>3.5000000000000003E-2</v>
      </c>
      <c r="I134" s="1248">
        <v>45809</v>
      </c>
      <c r="J134" s="974">
        <v>3.5900000000000001E-2</v>
      </c>
      <c r="K134" s="975">
        <v>3.2399999999999998E-2</v>
      </c>
      <c r="L134" s="976">
        <f>J134</f>
        <v>3.5900000000000001E-2</v>
      </c>
      <c r="M134" s="975">
        <v>3.2399999999999998E-2</v>
      </c>
      <c r="N134" s="943"/>
      <c r="O134" s="944"/>
      <c r="P134" s="945"/>
      <c r="Q134" s="946"/>
      <c r="R134" s="541"/>
      <c r="S134" s="561"/>
    </row>
    <row r="135" spans="1:19" s="492" customFormat="1" ht="48.6">
      <c r="A135" s="1229" t="s">
        <v>309</v>
      </c>
      <c r="B135" s="1206" t="s">
        <v>325</v>
      </c>
      <c r="C135" s="1205">
        <v>36</v>
      </c>
      <c r="D135" s="1206" t="s">
        <v>342</v>
      </c>
      <c r="E135" s="494" t="s">
        <v>136</v>
      </c>
      <c r="F135" s="496" t="s">
        <v>106</v>
      </c>
      <c r="G135" s="494" t="s">
        <v>285</v>
      </c>
      <c r="H135" s="506">
        <v>642.05999999999995</v>
      </c>
      <c r="I135" s="1248">
        <v>45809</v>
      </c>
      <c r="J135" s="955">
        <v>658.68750000000011</v>
      </c>
      <c r="K135" s="959">
        <v>616.6</v>
      </c>
      <c r="L135" s="946">
        <f>J135</f>
        <v>658.68750000000011</v>
      </c>
      <c r="M135" s="959">
        <v>616.6</v>
      </c>
      <c r="N135" s="943"/>
      <c r="O135" s="944"/>
      <c r="P135" s="945"/>
      <c r="Q135" s="946"/>
      <c r="R135" s="541"/>
      <c r="S135" s="561"/>
    </row>
    <row r="136" spans="1:19" s="492" customFormat="1" ht="48.6">
      <c r="A136" s="1229" t="s">
        <v>309</v>
      </c>
      <c r="B136" s="1206" t="s">
        <v>325</v>
      </c>
      <c r="C136" s="1205">
        <v>37</v>
      </c>
      <c r="D136" s="1206" t="s">
        <v>343</v>
      </c>
      <c r="E136" s="494" t="s">
        <v>38</v>
      </c>
      <c r="F136" s="496" t="s">
        <v>105</v>
      </c>
      <c r="G136" s="494"/>
      <c r="H136" s="500" t="s">
        <v>41</v>
      </c>
      <c r="I136" s="1248">
        <v>45809</v>
      </c>
      <c r="J136" s="955" t="s">
        <v>41</v>
      </c>
      <c r="K136" s="959"/>
      <c r="L136" s="946"/>
      <c r="M136" s="957"/>
      <c r="N136" s="943"/>
      <c r="O136" s="944"/>
      <c r="P136" s="945"/>
      <c r="Q136" s="946"/>
      <c r="R136" s="541"/>
      <c r="S136" s="561"/>
    </row>
    <row r="137" spans="1:19" s="492" customFormat="1" ht="48.6">
      <c r="A137" s="1229" t="s">
        <v>309</v>
      </c>
      <c r="B137" s="1206" t="s">
        <v>325</v>
      </c>
      <c r="C137" s="1205">
        <v>38</v>
      </c>
      <c r="D137" s="1206" t="s">
        <v>343</v>
      </c>
      <c r="E137" s="494" t="s">
        <v>136</v>
      </c>
      <c r="F137" s="496" t="s">
        <v>105</v>
      </c>
      <c r="G137" s="494"/>
      <c r="H137" s="505">
        <f>84578725.86/10^6</f>
        <v>84.578725860000006</v>
      </c>
      <c r="I137" s="1248">
        <v>45809</v>
      </c>
      <c r="J137" s="955">
        <f>22057090.29/10^6</f>
        <v>22.057090289999998</v>
      </c>
      <c r="K137" s="959">
        <f>(2893653.35)/10^6</f>
        <v>2.8936533500000001</v>
      </c>
      <c r="L137" s="946">
        <f>L88+J137</f>
        <v>25.109067169999996</v>
      </c>
      <c r="M137" s="957">
        <f>K137+M88</f>
        <v>5.7412738599999997</v>
      </c>
      <c r="N137" s="943"/>
      <c r="O137" s="961" t="s">
        <v>182</v>
      </c>
      <c r="P137" s="945"/>
      <c r="Q137" s="946"/>
      <c r="R137" s="541"/>
      <c r="S137" s="561"/>
    </row>
    <row r="138" spans="1:19" s="492" customFormat="1" ht="48.6">
      <c r="A138" s="1229" t="s">
        <v>309</v>
      </c>
      <c r="B138" s="1206" t="s">
        <v>325</v>
      </c>
      <c r="C138" s="1205">
        <v>39</v>
      </c>
      <c r="D138" s="1206" t="s">
        <v>344</v>
      </c>
      <c r="E138" s="494" t="s">
        <v>136</v>
      </c>
      <c r="F138" s="496" t="s">
        <v>110</v>
      </c>
      <c r="G138" s="494" t="s">
        <v>345</v>
      </c>
      <c r="H138" s="500">
        <v>3.17</v>
      </c>
      <c r="I138" s="1248">
        <v>45809</v>
      </c>
      <c r="J138" s="977" t="s">
        <v>41</v>
      </c>
      <c r="K138" s="978" t="s">
        <v>41</v>
      </c>
      <c r="L138" s="962">
        <v>3.17</v>
      </c>
      <c r="M138" s="959">
        <f>1313665.32/1000000</f>
        <v>1.3136653200000001</v>
      </c>
      <c r="N138" s="943"/>
      <c r="O138" s="944"/>
      <c r="P138" s="945"/>
      <c r="Q138" s="946"/>
      <c r="R138" s="541"/>
      <c r="S138" s="561"/>
    </row>
    <row r="139" spans="1:19" s="492" customFormat="1" ht="48.6">
      <c r="A139" s="1229" t="s">
        <v>309</v>
      </c>
      <c r="B139" s="1206" t="s">
        <v>325</v>
      </c>
      <c r="C139" s="1205">
        <v>40</v>
      </c>
      <c r="D139" s="1206" t="s">
        <v>346</v>
      </c>
      <c r="E139" s="494" t="s">
        <v>136</v>
      </c>
      <c r="F139" s="496" t="s">
        <v>110</v>
      </c>
      <c r="G139" s="494" t="s">
        <v>345</v>
      </c>
      <c r="H139" s="500">
        <v>5.84</v>
      </c>
      <c r="I139" s="1248">
        <v>45809</v>
      </c>
      <c r="J139" s="977" t="s">
        <v>41</v>
      </c>
      <c r="K139" s="978" t="s">
        <v>41</v>
      </c>
      <c r="L139" s="962">
        <v>5.84</v>
      </c>
      <c r="M139" s="959">
        <f>5432401.55/1000000</f>
        <v>5.4324015499999998</v>
      </c>
      <c r="N139" s="943"/>
      <c r="O139" s="944"/>
      <c r="P139" s="945"/>
      <c r="Q139" s="946"/>
      <c r="R139" s="541"/>
      <c r="S139" s="561"/>
    </row>
    <row r="140" spans="1:19" s="492" customFormat="1" ht="48.6">
      <c r="A140" s="1229" t="s">
        <v>309</v>
      </c>
      <c r="B140" s="1206" t="s">
        <v>325</v>
      </c>
      <c r="C140" s="1205">
        <v>41</v>
      </c>
      <c r="D140" s="1206" t="s">
        <v>347</v>
      </c>
      <c r="E140" s="494" t="s">
        <v>38</v>
      </c>
      <c r="F140" s="496" t="s">
        <v>106</v>
      </c>
      <c r="G140" s="494" t="s">
        <v>285</v>
      </c>
      <c r="H140" s="500" t="s">
        <v>41</v>
      </c>
      <c r="I140" s="1248">
        <v>45809</v>
      </c>
      <c r="J140" s="955" t="s">
        <v>41</v>
      </c>
      <c r="K140" s="959">
        <v>4574</v>
      </c>
      <c r="L140" s="946" t="s">
        <v>41</v>
      </c>
      <c r="M140" s="959">
        <v>4574</v>
      </c>
      <c r="N140" s="943"/>
      <c r="O140" s="944"/>
      <c r="P140" s="945"/>
      <c r="Q140" s="946"/>
      <c r="R140" s="541"/>
      <c r="S140" s="561"/>
    </row>
    <row r="141" spans="1:19" s="492" customFormat="1" ht="81">
      <c r="A141" s="1229" t="s">
        <v>309</v>
      </c>
      <c r="B141" s="1206" t="s">
        <v>325</v>
      </c>
      <c r="C141" s="1205">
        <v>42</v>
      </c>
      <c r="D141" s="1206" t="s">
        <v>347</v>
      </c>
      <c r="E141" s="494" t="s">
        <v>136</v>
      </c>
      <c r="F141" s="496" t="s">
        <v>106</v>
      </c>
      <c r="G141" s="494" t="s">
        <v>285</v>
      </c>
      <c r="H141" s="506">
        <v>155.07</v>
      </c>
      <c r="I141" s="1248">
        <v>45809</v>
      </c>
      <c r="J141" s="979">
        <v>171.69750000000002</v>
      </c>
      <c r="K141" s="957">
        <v>172</v>
      </c>
      <c r="L141" s="946">
        <f>J141</f>
        <v>171.69750000000002</v>
      </c>
      <c r="M141" s="957">
        <f>K141</f>
        <v>172</v>
      </c>
      <c r="N141" s="943"/>
      <c r="O141" s="961" t="s">
        <v>372</v>
      </c>
      <c r="P141" s="980" t="s">
        <v>373</v>
      </c>
      <c r="Q141" s="946"/>
      <c r="R141" s="541"/>
      <c r="S141" s="561"/>
    </row>
    <row r="142" spans="1:19" s="492" customFormat="1" ht="48.6">
      <c r="A142" s="1229" t="s">
        <v>309</v>
      </c>
      <c r="B142" s="1206" t="s">
        <v>325</v>
      </c>
      <c r="C142" s="1205">
        <v>43</v>
      </c>
      <c r="D142" s="1206" t="s">
        <v>349</v>
      </c>
      <c r="E142" s="494" t="s">
        <v>136</v>
      </c>
      <c r="F142" s="496" t="s">
        <v>340</v>
      </c>
      <c r="G142" s="494" t="s">
        <v>134</v>
      </c>
      <c r="H142" s="500">
        <v>5.4</v>
      </c>
      <c r="I142" s="1248">
        <v>45809</v>
      </c>
      <c r="J142" s="955"/>
      <c r="K142" s="959"/>
      <c r="L142" s="946"/>
      <c r="M142" s="957"/>
      <c r="N142" s="943"/>
      <c r="O142" s="944" t="s">
        <v>361</v>
      </c>
      <c r="P142" s="945"/>
      <c r="Q142" s="946"/>
      <c r="R142" s="541"/>
      <c r="S142" s="561"/>
    </row>
    <row r="143" spans="1:19" s="492" customFormat="1" ht="48.6">
      <c r="A143" s="1229" t="s">
        <v>309</v>
      </c>
      <c r="B143" s="1206" t="s">
        <v>325</v>
      </c>
      <c r="C143" s="1205">
        <v>44</v>
      </c>
      <c r="D143" s="1206" t="s">
        <v>350</v>
      </c>
      <c r="E143" s="494" t="s">
        <v>38</v>
      </c>
      <c r="F143" s="496" t="s">
        <v>106</v>
      </c>
      <c r="G143" s="494" t="s">
        <v>134</v>
      </c>
      <c r="H143" s="500" t="s">
        <v>41</v>
      </c>
      <c r="I143" s="1248">
        <v>45809</v>
      </c>
      <c r="J143" s="955" t="s">
        <v>41</v>
      </c>
      <c r="K143" s="959" t="s">
        <v>41</v>
      </c>
      <c r="L143" s="962" t="s">
        <v>41</v>
      </c>
      <c r="M143" s="959" t="s">
        <v>41</v>
      </c>
      <c r="N143" s="943"/>
      <c r="O143" s="944"/>
      <c r="P143" s="945"/>
      <c r="Q143" s="946"/>
      <c r="R143" s="541"/>
      <c r="S143" s="561"/>
    </row>
    <row r="144" spans="1:19" s="492" customFormat="1" ht="48.6">
      <c r="A144" s="1229" t="s">
        <v>309</v>
      </c>
      <c r="B144" s="1206" t="s">
        <v>325</v>
      </c>
      <c r="C144" s="1205">
        <v>45</v>
      </c>
      <c r="D144" s="1206" t="s">
        <v>350</v>
      </c>
      <c r="E144" s="494" t="s">
        <v>136</v>
      </c>
      <c r="F144" s="496" t="s">
        <v>106</v>
      </c>
      <c r="G144" s="494" t="s">
        <v>134</v>
      </c>
      <c r="H144" s="506">
        <v>3</v>
      </c>
      <c r="I144" s="1248">
        <v>45809</v>
      </c>
      <c r="J144" s="955" t="s">
        <v>41</v>
      </c>
      <c r="K144" s="959" t="s">
        <v>41</v>
      </c>
      <c r="L144" s="962" t="s">
        <v>41</v>
      </c>
      <c r="M144" s="959" t="s">
        <v>41</v>
      </c>
      <c r="N144" s="943"/>
      <c r="O144" s="944"/>
      <c r="P144" s="945"/>
      <c r="Q144" s="946"/>
      <c r="R144" s="541"/>
      <c r="S144" s="561"/>
    </row>
    <row r="145" spans="1:19" s="492" customFormat="1" ht="48.6">
      <c r="A145" s="1229" t="s">
        <v>309</v>
      </c>
      <c r="B145" s="1221" t="s">
        <v>351</v>
      </c>
      <c r="C145" s="1205">
        <v>46</v>
      </c>
      <c r="D145" s="1227" t="s">
        <v>352</v>
      </c>
      <c r="E145" s="494" t="s">
        <v>353</v>
      </c>
      <c r="F145" s="496" t="s">
        <v>312</v>
      </c>
      <c r="G145" s="497" t="s">
        <v>40</v>
      </c>
      <c r="H145" s="500">
        <v>1.2</v>
      </c>
      <c r="I145" s="1248">
        <v>45809</v>
      </c>
      <c r="J145" s="955" t="s">
        <v>41</v>
      </c>
      <c r="K145" s="959" t="s">
        <v>41</v>
      </c>
      <c r="L145" s="962" t="s">
        <v>41</v>
      </c>
      <c r="M145" s="957" t="s">
        <v>41</v>
      </c>
      <c r="N145" s="943"/>
      <c r="O145" s="944"/>
      <c r="P145" s="945"/>
      <c r="Q145" s="946"/>
      <c r="R145" s="541"/>
      <c r="S145" s="561"/>
    </row>
    <row r="146" spans="1:19" s="492" customFormat="1" ht="48.6">
      <c r="A146" s="1229" t="s">
        <v>309</v>
      </c>
      <c r="B146" s="1221" t="s">
        <v>354</v>
      </c>
      <c r="C146" s="1205">
        <v>47</v>
      </c>
      <c r="D146" s="1221" t="s">
        <v>355</v>
      </c>
      <c r="E146" s="494" t="s">
        <v>353</v>
      </c>
      <c r="F146" s="496" t="s">
        <v>327</v>
      </c>
      <c r="G146" s="497" t="s">
        <v>40</v>
      </c>
      <c r="H146" s="501">
        <v>0</v>
      </c>
      <c r="I146" s="1248">
        <v>45809</v>
      </c>
      <c r="J146" s="955" t="s">
        <v>41</v>
      </c>
      <c r="K146" s="959" t="s">
        <v>41</v>
      </c>
      <c r="L146" s="962" t="s">
        <v>41</v>
      </c>
      <c r="M146" s="957" t="s">
        <v>41</v>
      </c>
      <c r="N146" s="943"/>
      <c r="O146" s="944"/>
      <c r="P146" s="945"/>
      <c r="Q146" s="946"/>
      <c r="R146" s="541"/>
      <c r="S146" s="561"/>
    </row>
    <row r="147" spans="1:19" s="492" customFormat="1" ht="48.6">
      <c r="A147" s="1229" t="s">
        <v>309</v>
      </c>
      <c r="B147" s="1221" t="s">
        <v>356</v>
      </c>
      <c r="C147" s="1205">
        <v>48</v>
      </c>
      <c r="D147" s="1221" t="s">
        <v>355</v>
      </c>
      <c r="E147" s="494" t="s">
        <v>353</v>
      </c>
      <c r="F147" s="496" t="s">
        <v>321</v>
      </c>
      <c r="G147" s="497" t="s">
        <v>40</v>
      </c>
      <c r="H147" s="501">
        <v>0</v>
      </c>
      <c r="I147" s="1248">
        <v>45809</v>
      </c>
      <c r="J147" s="955" t="s">
        <v>41</v>
      </c>
      <c r="K147" s="959" t="s">
        <v>41</v>
      </c>
      <c r="L147" s="962" t="s">
        <v>41</v>
      </c>
      <c r="M147" s="957" t="s">
        <v>41</v>
      </c>
      <c r="N147" s="943"/>
      <c r="O147" s="944"/>
      <c r="P147" s="945"/>
      <c r="Q147" s="946"/>
      <c r="R147" s="541"/>
      <c r="S147" s="561"/>
    </row>
    <row r="148" spans="1:19" s="492" customFormat="1" ht="48.6">
      <c r="A148" s="1229" t="s">
        <v>309</v>
      </c>
      <c r="B148" s="1230" t="s">
        <v>357</v>
      </c>
      <c r="C148" s="1205">
        <v>49</v>
      </c>
      <c r="D148" s="1216" t="s">
        <v>41</v>
      </c>
      <c r="E148" s="494" t="s">
        <v>38</v>
      </c>
      <c r="F148" s="496" t="s">
        <v>312</v>
      </c>
      <c r="G148" s="497" t="s">
        <v>41</v>
      </c>
      <c r="H148" s="501"/>
      <c r="I148" s="1248">
        <v>45809</v>
      </c>
      <c r="J148" s="958">
        <v>27</v>
      </c>
      <c r="K148" s="956">
        <v>21</v>
      </c>
      <c r="L148" s="960">
        <f>L99+J148</f>
        <v>65</v>
      </c>
      <c r="M148" s="972">
        <f>M99+K148</f>
        <v>51</v>
      </c>
      <c r="N148" s="943"/>
      <c r="O148" s="944"/>
      <c r="P148" s="945"/>
      <c r="Q148" s="946"/>
      <c r="R148" s="541"/>
      <c r="S148" s="561"/>
    </row>
    <row r="149" spans="1:19" s="492" customFormat="1" ht="48.6">
      <c r="A149" s="1229" t="s">
        <v>309</v>
      </c>
      <c r="B149" s="1221" t="s">
        <v>310</v>
      </c>
      <c r="C149" s="1205">
        <v>1</v>
      </c>
      <c r="D149" s="1206" t="s">
        <v>311</v>
      </c>
      <c r="E149" s="494" t="s">
        <v>38</v>
      </c>
      <c r="F149" s="496" t="s">
        <v>312</v>
      </c>
      <c r="G149" s="494" t="s">
        <v>40</v>
      </c>
      <c r="H149" s="500">
        <v>0</v>
      </c>
      <c r="I149" s="1248">
        <v>45839</v>
      </c>
      <c r="J149" s="958">
        <f>IF(H149=0,0,IF(H149="-","-",ROUND(H149/12,2)))</f>
        <v>0</v>
      </c>
      <c r="K149" s="956">
        <v>0</v>
      </c>
      <c r="L149" s="971">
        <v>0</v>
      </c>
      <c r="M149" s="957">
        <v>0</v>
      </c>
      <c r="N149" s="943"/>
      <c r="O149" s="944"/>
      <c r="P149" s="945"/>
      <c r="Q149" s="946"/>
      <c r="R149" s="541"/>
      <c r="S149" s="561"/>
    </row>
    <row r="150" spans="1:19" s="492" customFormat="1" ht="48.6">
      <c r="A150" s="1229" t="s">
        <v>309</v>
      </c>
      <c r="B150" s="1221" t="s">
        <v>310</v>
      </c>
      <c r="C150" s="1205">
        <v>2</v>
      </c>
      <c r="D150" s="1206" t="s">
        <v>313</v>
      </c>
      <c r="E150" s="494" t="s">
        <v>38</v>
      </c>
      <c r="F150" s="496" t="s">
        <v>312</v>
      </c>
      <c r="G150" s="494" t="s">
        <v>40</v>
      </c>
      <c r="H150" s="500">
        <v>9</v>
      </c>
      <c r="I150" s="1248">
        <v>45839</v>
      </c>
      <c r="J150" s="958">
        <f>IF(H150=0,0,IF(H150="-","-",ROUND(H150/12,2)))</f>
        <v>0.75</v>
      </c>
      <c r="K150" s="956">
        <v>0</v>
      </c>
      <c r="L150" s="971">
        <f>J150+L101</f>
        <v>3</v>
      </c>
      <c r="M150" s="972">
        <f>K150+M101</f>
        <v>0</v>
      </c>
      <c r="N150" s="943"/>
      <c r="O150" s="944"/>
      <c r="P150" s="945"/>
      <c r="Q150" s="946"/>
      <c r="R150" s="541"/>
      <c r="S150" s="561"/>
    </row>
    <row r="151" spans="1:19" s="492" customFormat="1" ht="48.6">
      <c r="A151" s="1229" t="s">
        <v>309</v>
      </c>
      <c r="B151" s="1221" t="s">
        <v>310</v>
      </c>
      <c r="C151" s="1205">
        <v>3</v>
      </c>
      <c r="D151" s="1206" t="s">
        <v>314</v>
      </c>
      <c r="E151" s="494" t="s">
        <v>38</v>
      </c>
      <c r="F151" s="496" t="s">
        <v>312</v>
      </c>
      <c r="G151" s="494" t="s">
        <v>40</v>
      </c>
      <c r="H151" s="500">
        <v>0</v>
      </c>
      <c r="I151" s="1248">
        <v>45839</v>
      </c>
      <c r="J151" s="958">
        <f>IF(H151=0,0,IF(H151="-","-",ROUND(H151/12,2)))</f>
        <v>0</v>
      </c>
      <c r="K151" s="956">
        <v>0</v>
      </c>
      <c r="L151" s="971">
        <f>J151+L102</f>
        <v>0</v>
      </c>
      <c r="M151" s="2431">
        <f>K151+M102</f>
        <v>0</v>
      </c>
      <c r="N151" s="943"/>
      <c r="O151" s="944"/>
      <c r="P151" s="945"/>
      <c r="Q151" s="946"/>
      <c r="R151" s="541"/>
      <c r="S151" s="561"/>
    </row>
    <row r="152" spans="1:19" s="492" customFormat="1" ht="48.6">
      <c r="A152" s="1229" t="s">
        <v>309</v>
      </c>
      <c r="B152" s="1221" t="s">
        <v>310</v>
      </c>
      <c r="C152" s="1205">
        <v>4</v>
      </c>
      <c r="D152" s="1206" t="s">
        <v>315</v>
      </c>
      <c r="E152" s="494" t="s">
        <v>38</v>
      </c>
      <c r="F152" s="496" t="s">
        <v>316</v>
      </c>
      <c r="G152" s="494" t="s">
        <v>40</v>
      </c>
      <c r="H152" s="500">
        <v>281</v>
      </c>
      <c r="I152" s="1248">
        <v>45839</v>
      </c>
      <c r="J152" s="958">
        <v>23</v>
      </c>
      <c r="K152" s="956">
        <v>22</v>
      </c>
      <c r="L152" s="971">
        <f>J152+L103</f>
        <v>67</v>
      </c>
      <c r="M152" s="972">
        <f t="shared" ref="M152" si="7">K152+M103</f>
        <v>77</v>
      </c>
      <c r="N152" s="943"/>
      <c r="O152" s="961" t="s">
        <v>374</v>
      </c>
      <c r="P152" s="945"/>
      <c r="Q152" s="946"/>
      <c r="R152" s="541"/>
      <c r="S152" s="561"/>
    </row>
    <row r="153" spans="1:19" s="492" customFormat="1" ht="48.6">
      <c r="A153" s="1229" t="s">
        <v>309</v>
      </c>
      <c r="B153" s="1221" t="s">
        <v>310</v>
      </c>
      <c r="C153" s="1205">
        <v>5</v>
      </c>
      <c r="D153" s="1206" t="s">
        <v>315</v>
      </c>
      <c r="E153" s="494" t="s">
        <v>136</v>
      </c>
      <c r="F153" s="496" t="s">
        <v>316</v>
      </c>
      <c r="G153" s="494" t="s">
        <v>40</v>
      </c>
      <c r="H153" s="500">
        <v>117</v>
      </c>
      <c r="I153" s="1248">
        <v>45839</v>
      </c>
      <c r="J153" s="955">
        <v>10.29</v>
      </c>
      <c r="K153" s="981">
        <v>10.85</v>
      </c>
      <c r="L153" s="946">
        <f>J153+L104</f>
        <v>24.404999999999998</v>
      </c>
      <c r="M153" s="957">
        <f t="shared" ref="M153" si="8">K153+M104</f>
        <v>22.36</v>
      </c>
      <c r="N153" s="943"/>
      <c r="O153" s="961" t="s">
        <v>375</v>
      </c>
      <c r="P153" s="945"/>
      <c r="Q153" s="946"/>
      <c r="R153" s="541"/>
      <c r="S153" s="561"/>
    </row>
    <row r="154" spans="1:19" s="492" customFormat="1" ht="48.6">
      <c r="A154" s="1229" t="s">
        <v>309</v>
      </c>
      <c r="B154" s="1221" t="s">
        <v>310</v>
      </c>
      <c r="C154" s="1205">
        <v>6</v>
      </c>
      <c r="D154" s="1206" t="s">
        <v>317</v>
      </c>
      <c r="E154" s="494" t="s">
        <v>38</v>
      </c>
      <c r="F154" s="496" t="s">
        <v>316</v>
      </c>
      <c r="G154" s="494" t="s">
        <v>40</v>
      </c>
      <c r="H154" s="500">
        <v>0</v>
      </c>
      <c r="I154" s="1248">
        <v>45839</v>
      </c>
      <c r="J154" s="958">
        <f>IF(H154=0,0,IF(H154="-","-",ROUND(H154/12,2)))</f>
        <v>0</v>
      </c>
      <c r="K154" s="959">
        <v>0</v>
      </c>
      <c r="L154" s="971">
        <v>0</v>
      </c>
      <c r="M154" s="957">
        <f>M105</f>
        <v>1</v>
      </c>
      <c r="N154" s="943"/>
      <c r="O154" s="944"/>
      <c r="P154" s="945"/>
      <c r="Q154" s="946"/>
      <c r="R154" s="541"/>
      <c r="S154" s="561"/>
    </row>
    <row r="155" spans="1:19" s="492" customFormat="1" ht="48.6">
      <c r="A155" s="1229" t="s">
        <v>309</v>
      </c>
      <c r="B155" s="1221" t="s">
        <v>310</v>
      </c>
      <c r="C155" s="1205">
        <v>7</v>
      </c>
      <c r="D155" s="1206" t="s">
        <v>317</v>
      </c>
      <c r="E155" s="494" t="s">
        <v>136</v>
      </c>
      <c r="F155" s="496" t="s">
        <v>316</v>
      </c>
      <c r="G155" s="494" t="s">
        <v>40</v>
      </c>
      <c r="H155" s="500">
        <v>0</v>
      </c>
      <c r="I155" s="1248">
        <v>45839</v>
      </c>
      <c r="J155" s="958">
        <f>IF(H155=0,0,IF(H155="-","-",ROUND(H155/12,2)))</f>
        <v>0</v>
      </c>
      <c r="K155" s="959">
        <v>0</v>
      </c>
      <c r="L155" s="971">
        <v>0</v>
      </c>
      <c r="M155" s="957">
        <f>M106+K155</f>
        <v>0.93</v>
      </c>
      <c r="N155" s="943"/>
      <c r="O155" s="944"/>
      <c r="P155" s="945"/>
      <c r="Q155" s="946"/>
      <c r="R155" s="541"/>
      <c r="S155" s="561"/>
    </row>
    <row r="156" spans="1:19" s="492" customFormat="1" ht="48.6">
      <c r="A156" s="1229" t="s">
        <v>309</v>
      </c>
      <c r="B156" s="1221" t="s">
        <v>310</v>
      </c>
      <c r="C156" s="1205">
        <v>8</v>
      </c>
      <c r="D156" s="1206" t="s">
        <v>318</v>
      </c>
      <c r="E156" s="494" t="s">
        <v>38</v>
      </c>
      <c r="F156" s="496" t="s">
        <v>316</v>
      </c>
      <c r="G156" s="494" t="s">
        <v>40</v>
      </c>
      <c r="H156" s="500">
        <v>195</v>
      </c>
      <c r="I156" s="1248">
        <v>45839</v>
      </c>
      <c r="J156" s="958">
        <v>23</v>
      </c>
      <c r="K156" s="956">
        <v>8</v>
      </c>
      <c r="L156" s="946">
        <f>J156+L107</f>
        <v>70</v>
      </c>
      <c r="M156" s="957">
        <f t="shared" ref="M156" si="9">K156+M107</f>
        <v>16</v>
      </c>
      <c r="N156" s="943"/>
      <c r="O156" s="944"/>
      <c r="P156" s="945"/>
      <c r="Q156" s="946"/>
      <c r="R156" s="541"/>
      <c r="S156" s="561"/>
    </row>
    <row r="157" spans="1:19" s="492" customFormat="1" ht="48.6">
      <c r="A157" s="1229" t="s">
        <v>309</v>
      </c>
      <c r="B157" s="1221" t="s">
        <v>310</v>
      </c>
      <c r="C157" s="1205">
        <v>9</v>
      </c>
      <c r="D157" s="1206" t="s">
        <v>318</v>
      </c>
      <c r="E157" s="494" t="s">
        <v>136</v>
      </c>
      <c r="F157" s="496" t="s">
        <v>316</v>
      </c>
      <c r="G157" s="494" t="s">
        <v>40</v>
      </c>
      <c r="H157" s="645">
        <v>313</v>
      </c>
      <c r="I157" s="1248">
        <v>45839</v>
      </c>
      <c r="J157" s="955">
        <v>51.511000000000003</v>
      </c>
      <c r="K157" s="959">
        <v>3.665</v>
      </c>
      <c r="L157" s="946">
        <f>J157+L108</f>
        <v>103.25800000000001</v>
      </c>
      <c r="M157" s="957">
        <f t="shared" ref="M157" si="10">K157+M108</f>
        <v>33.080999999999996</v>
      </c>
      <c r="N157" s="943"/>
      <c r="O157" s="944"/>
      <c r="P157" s="945"/>
      <c r="Q157" s="946"/>
      <c r="R157" s="541"/>
      <c r="S157" s="561"/>
    </row>
    <row r="158" spans="1:19" s="492" customFormat="1" ht="48.6">
      <c r="A158" s="1229" t="s">
        <v>309</v>
      </c>
      <c r="B158" s="1221" t="s">
        <v>319</v>
      </c>
      <c r="C158" s="1205">
        <v>10</v>
      </c>
      <c r="D158" s="1206" t="s">
        <v>320</v>
      </c>
      <c r="E158" s="494" t="s">
        <v>38</v>
      </c>
      <c r="F158" s="496" t="s">
        <v>321</v>
      </c>
      <c r="G158" s="494" t="s">
        <v>40</v>
      </c>
      <c r="H158" s="500">
        <v>0</v>
      </c>
      <c r="I158" s="1248">
        <v>45839</v>
      </c>
      <c r="J158" s="958">
        <f>IF(H158=0,0,IF(H158="-","-",ROUND(H158/12,2)))</f>
        <v>0</v>
      </c>
      <c r="K158" s="959">
        <v>0</v>
      </c>
      <c r="L158" s="971">
        <v>0</v>
      </c>
      <c r="M158" s="957">
        <v>0</v>
      </c>
      <c r="N158" s="982">
        <v>0</v>
      </c>
      <c r="O158" s="944"/>
      <c r="P158" s="945"/>
      <c r="Q158" s="946"/>
      <c r="R158" s="541"/>
      <c r="S158" s="561"/>
    </row>
    <row r="159" spans="1:19" s="492" customFormat="1" ht="48.6">
      <c r="A159" s="1229" t="s">
        <v>309</v>
      </c>
      <c r="B159" s="1221" t="s">
        <v>319</v>
      </c>
      <c r="C159" s="1205">
        <v>11</v>
      </c>
      <c r="D159" s="1206" t="s">
        <v>322</v>
      </c>
      <c r="E159" s="494" t="s">
        <v>38</v>
      </c>
      <c r="F159" s="496" t="s">
        <v>321</v>
      </c>
      <c r="G159" s="494" t="s">
        <v>40</v>
      </c>
      <c r="H159" s="500">
        <v>0</v>
      </c>
      <c r="I159" s="1248">
        <v>45839</v>
      </c>
      <c r="J159" s="958">
        <f>IF(H159=0,0,IF(H159="-","-",ROUND(H159/12,2)))</f>
        <v>0</v>
      </c>
      <c r="K159" s="959">
        <v>0</v>
      </c>
      <c r="L159" s="971">
        <v>0</v>
      </c>
      <c r="M159" s="957">
        <v>0</v>
      </c>
      <c r="N159" s="982">
        <v>0</v>
      </c>
      <c r="O159" s="944"/>
      <c r="P159" s="945"/>
      <c r="Q159" s="946"/>
      <c r="R159" s="541"/>
      <c r="S159" s="561"/>
    </row>
    <row r="160" spans="1:19" s="492" customFormat="1" ht="226.8">
      <c r="A160" s="1229" t="s">
        <v>309</v>
      </c>
      <c r="B160" s="1221" t="s">
        <v>319</v>
      </c>
      <c r="C160" s="1205">
        <v>12</v>
      </c>
      <c r="D160" s="1206" t="s">
        <v>313</v>
      </c>
      <c r="E160" s="494" t="s">
        <v>38</v>
      </c>
      <c r="F160" s="496" t="s">
        <v>321</v>
      </c>
      <c r="G160" s="494" t="s">
        <v>40</v>
      </c>
      <c r="H160" s="500">
        <v>0</v>
      </c>
      <c r="I160" s="1248">
        <v>45839</v>
      </c>
      <c r="J160" s="958">
        <v>0</v>
      </c>
      <c r="K160" s="959">
        <v>4</v>
      </c>
      <c r="L160" s="971">
        <v>0</v>
      </c>
      <c r="M160" s="957">
        <v>4</v>
      </c>
      <c r="N160" s="982">
        <v>0</v>
      </c>
      <c r="O160" s="961" t="s">
        <v>376</v>
      </c>
      <c r="P160" s="973" t="s">
        <v>377</v>
      </c>
      <c r="Q160" s="946">
        <v>4</v>
      </c>
      <c r="R160" s="541" t="s">
        <v>378</v>
      </c>
      <c r="S160" s="561"/>
    </row>
    <row r="161" spans="1:19" s="492" customFormat="1" ht="48.6">
      <c r="A161" s="1229" t="s">
        <v>309</v>
      </c>
      <c r="B161" s="1221" t="s">
        <v>319</v>
      </c>
      <c r="C161" s="1205">
        <v>13</v>
      </c>
      <c r="D161" s="1206" t="s">
        <v>323</v>
      </c>
      <c r="E161" s="494" t="s">
        <v>38</v>
      </c>
      <c r="F161" s="496" t="s">
        <v>321</v>
      </c>
      <c r="G161" s="494" t="s">
        <v>40</v>
      </c>
      <c r="H161" s="500">
        <v>5</v>
      </c>
      <c r="I161" s="1248">
        <v>45839</v>
      </c>
      <c r="J161" s="955" t="s">
        <v>41</v>
      </c>
      <c r="K161" s="959">
        <v>0</v>
      </c>
      <c r="L161" s="946">
        <f>L112</f>
        <v>2</v>
      </c>
      <c r="M161" s="957">
        <f>M112+K161</f>
        <v>3</v>
      </c>
      <c r="N161" s="982" t="s">
        <v>41</v>
      </c>
      <c r="O161" s="944"/>
      <c r="P161" s="945"/>
      <c r="Q161" s="946"/>
      <c r="R161" s="541"/>
      <c r="S161" s="561"/>
    </row>
    <row r="162" spans="1:19" s="492" customFormat="1" ht="48.6">
      <c r="A162" s="1229" t="s">
        <v>309</v>
      </c>
      <c r="B162" s="1206" t="s">
        <v>324</v>
      </c>
      <c r="C162" s="1205">
        <v>14</v>
      </c>
      <c r="D162" s="1206" t="s">
        <v>311</v>
      </c>
      <c r="E162" s="494" t="s">
        <v>38</v>
      </c>
      <c r="F162" s="496" t="s">
        <v>312</v>
      </c>
      <c r="G162" s="494" t="s">
        <v>40</v>
      </c>
      <c r="H162" s="501">
        <v>0</v>
      </c>
      <c r="I162" s="1248">
        <v>45839</v>
      </c>
      <c r="J162" s="958">
        <f>IF(H162=0,0,IF(H162="-","-",ROUND(H162/12,2)))</f>
        <v>0</v>
      </c>
      <c r="K162" s="956">
        <v>0</v>
      </c>
      <c r="L162" s="971">
        <v>0</v>
      </c>
      <c r="M162" s="972">
        <f>M113+K162</f>
        <v>0</v>
      </c>
      <c r="N162" s="943"/>
      <c r="O162" s="944"/>
      <c r="P162" s="945"/>
      <c r="Q162" s="946"/>
      <c r="R162" s="1255"/>
      <c r="S162" s="561"/>
    </row>
    <row r="163" spans="1:19" s="492" customFormat="1" ht="48.6">
      <c r="A163" s="1229" t="s">
        <v>309</v>
      </c>
      <c r="B163" s="1206" t="s">
        <v>324</v>
      </c>
      <c r="C163" s="1205">
        <v>15</v>
      </c>
      <c r="D163" s="1206" t="s">
        <v>313</v>
      </c>
      <c r="E163" s="494" t="s">
        <v>38</v>
      </c>
      <c r="F163" s="496" t="s">
        <v>312</v>
      </c>
      <c r="G163" s="494" t="s">
        <v>40</v>
      </c>
      <c r="H163" s="501">
        <v>30</v>
      </c>
      <c r="I163" s="1248">
        <v>45839</v>
      </c>
      <c r="J163" s="958">
        <f>IF(H163=0,0,IF(H163="-","-",ROUND(H163/12,2)))</f>
        <v>2.5</v>
      </c>
      <c r="K163" s="956">
        <v>4</v>
      </c>
      <c r="L163" s="971">
        <f>J163+L114</f>
        <v>7.5</v>
      </c>
      <c r="M163" s="972">
        <f>M114+K163</f>
        <v>16</v>
      </c>
      <c r="N163" s="943"/>
      <c r="O163" s="961"/>
      <c r="P163" s="945"/>
      <c r="Q163" s="946"/>
      <c r="R163" s="1255"/>
      <c r="S163" s="561"/>
    </row>
    <row r="164" spans="1:19" s="492" customFormat="1" ht="48.6">
      <c r="A164" s="1229" t="s">
        <v>309</v>
      </c>
      <c r="B164" s="1206" t="s">
        <v>324</v>
      </c>
      <c r="C164" s="1205">
        <v>16</v>
      </c>
      <c r="D164" s="1206" t="s">
        <v>314</v>
      </c>
      <c r="E164" s="494" t="s">
        <v>38</v>
      </c>
      <c r="F164" s="496" t="s">
        <v>312</v>
      </c>
      <c r="G164" s="494" t="s">
        <v>40</v>
      </c>
      <c r="H164" s="501">
        <v>0</v>
      </c>
      <c r="I164" s="1248">
        <v>45839</v>
      </c>
      <c r="J164" s="958">
        <f>IF(H164=0,0,IF(H164="-","-",ROUND(H164/12,2)))</f>
        <v>0</v>
      </c>
      <c r="K164" s="956">
        <v>0</v>
      </c>
      <c r="L164" s="971">
        <f>J164+L115</f>
        <v>0</v>
      </c>
      <c r="M164" s="972">
        <f>M115+K164</f>
        <v>0</v>
      </c>
      <c r="N164" s="943"/>
      <c r="O164" s="944"/>
      <c r="P164" s="945"/>
      <c r="Q164" s="946"/>
      <c r="R164" s="1255"/>
      <c r="S164" s="561"/>
    </row>
    <row r="165" spans="1:19" s="492" customFormat="1" ht="48.6">
      <c r="A165" s="1229" t="s">
        <v>309</v>
      </c>
      <c r="B165" s="1206" t="s">
        <v>325</v>
      </c>
      <c r="C165" s="1205">
        <v>17</v>
      </c>
      <c r="D165" s="1206" t="s">
        <v>326</v>
      </c>
      <c r="E165" s="494" t="s">
        <v>38</v>
      </c>
      <c r="F165" s="496" t="s">
        <v>327</v>
      </c>
      <c r="G165" s="494" t="s">
        <v>40</v>
      </c>
      <c r="H165" s="501">
        <v>0</v>
      </c>
      <c r="I165" s="1248">
        <v>45839</v>
      </c>
      <c r="J165" s="958" t="s">
        <v>41</v>
      </c>
      <c r="K165" s="959" t="s">
        <v>41</v>
      </c>
      <c r="L165" s="971" t="s">
        <v>41</v>
      </c>
      <c r="M165" s="957"/>
      <c r="N165" s="943"/>
      <c r="O165" s="944"/>
      <c r="P165" s="945"/>
      <c r="Q165" s="946"/>
      <c r="R165" s="541"/>
      <c r="S165" s="561"/>
    </row>
    <row r="166" spans="1:19" s="492" customFormat="1" ht="48.6">
      <c r="A166" s="1229" t="s">
        <v>309</v>
      </c>
      <c r="B166" s="1206" t="s">
        <v>325</v>
      </c>
      <c r="C166" s="1205">
        <v>18</v>
      </c>
      <c r="D166" s="1206" t="s">
        <v>326</v>
      </c>
      <c r="E166" s="494" t="s">
        <v>136</v>
      </c>
      <c r="F166" s="496" t="s">
        <v>327</v>
      </c>
      <c r="G166" s="494" t="s">
        <v>40</v>
      </c>
      <c r="H166" s="501">
        <v>0</v>
      </c>
      <c r="I166" s="1248">
        <v>45839</v>
      </c>
      <c r="J166" s="958" t="s">
        <v>41</v>
      </c>
      <c r="K166" s="959" t="s">
        <v>41</v>
      </c>
      <c r="L166" s="971" t="s">
        <v>41</v>
      </c>
      <c r="M166" s="957"/>
      <c r="N166" s="943"/>
      <c r="O166" s="944"/>
      <c r="P166" s="945"/>
      <c r="Q166" s="946"/>
      <c r="R166" s="541"/>
      <c r="S166" s="561"/>
    </row>
    <row r="167" spans="1:19" s="492" customFormat="1" ht="48.6">
      <c r="A167" s="1229" t="s">
        <v>309</v>
      </c>
      <c r="B167" s="1206" t="s">
        <v>325</v>
      </c>
      <c r="C167" s="1205">
        <v>19</v>
      </c>
      <c r="D167" s="1206" t="s">
        <v>328</v>
      </c>
      <c r="E167" s="494" t="s">
        <v>38</v>
      </c>
      <c r="F167" s="496" t="s">
        <v>327</v>
      </c>
      <c r="G167" s="494" t="s">
        <v>40</v>
      </c>
      <c r="H167" s="501" t="s">
        <v>41</v>
      </c>
      <c r="I167" s="1248">
        <v>45839</v>
      </c>
      <c r="J167" s="955" t="str">
        <f t="shared" ref="J167:J172" si="11">IF(H167=0,0,IF(H167="-","-",ROUND(H167/12,2)))</f>
        <v>-</v>
      </c>
      <c r="K167" s="959" t="s">
        <v>41</v>
      </c>
      <c r="L167" s="962" t="s">
        <v>41</v>
      </c>
      <c r="M167" s="972">
        <v>88</v>
      </c>
      <c r="N167" s="943"/>
      <c r="O167" s="944"/>
      <c r="P167" s="945"/>
      <c r="Q167" s="946"/>
      <c r="R167" s="541"/>
      <c r="S167" s="561"/>
    </row>
    <row r="168" spans="1:19" s="492" customFormat="1" ht="48.6">
      <c r="A168" s="1229" t="s">
        <v>309</v>
      </c>
      <c r="B168" s="1206" t="s">
        <v>325</v>
      </c>
      <c r="C168" s="1205">
        <v>20</v>
      </c>
      <c r="D168" s="1206" t="s">
        <v>328</v>
      </c>
      <c r="E168" s="494" t="s">
        <v>136</v>
      </c>
      <c r="F168" s="496" t="s">
        <v>327</v>
      </c>
      <c r="G168" s="494" t="s">
        <v>40</v>
      </c>
      <c r="H168" s="501" t="s">
        <v>41</v>
      </c>
      <c r="I168" s="1248">
        <v>45839</v>
      </c>
      <c r="J168" s="955" t="str">
        <f t="shared" si="11"/>
        <v>-</v>
      </c>
      <c r="K168" s="959" t="s">
        <v>41</v>
      </c>
      <c r="L168" s="962" t="s">
        <v>41</v>
      </c>
      <c r="M168" s="972">
        <v>371</v>
      </c>
      <c r="N168" s="943"/>
      <c r="O168" s="944"/>
      <c r="P168" s="945"/>
      <c r="Q168" s="946"/>
      <c r="R168" s="541"/>
      <c r="S168" s="561"/>
    </row>
    <row r="169" spans="1:19" s="492" customFormat="1" ht="48.6">
      <c r="A169" s="1229" t="s">
        <v>309</v>
      </c>
      <c r="B169" s="1206" t="s">
        <v>325</v>
      </c>
      <c r="C169" s="1205">
        <v>21</v>
      </c>
      <c r="D169" s="1206" t="s">
        <v>329</v>
      </c>
      <c r="E169" s="494" t="s">
        <v>38</v>
      </c>
      <c r="F169" s="496" t="s">
        <v>327</v>
      </c>
      <c r="G169" s="494" t="s">
        <v>40</v>
      </c>
      <c r="H169" s="501" t="s">
        <v>41</v>
      </c>
      <c r="I169" s="1248">
        <v>45839</v>
      </c>
      <c r="J169" s="955" t="str">
        <f t="shared" si="11"/>
        <v>-</v>
      </c>
      <c r="K169" s="959" t="s">
        <v>41</v>
      </c>
      <c r="L169" s="962" t="s">
        <v>41</v>
      </c>
      <c r="M169" s="983">
        <v>167</v>
      </c>
      <c r="N169" s="943"/>
      <c r="O169" s="961" t="s">
        <v>379</v>
      </c>
      <c r="P169" s="945"/>
      <c r="Q169" s="946"/>
      <c r="R169" s="541"/>
      <c r="S169" s="561"/>
    </row>
    <row r="170" spans="1:19" s="492" customFormat="1" ht="48.6">
      <c r="A170" s="1229" t="s">
        <v>309</v>
      </c>
      <c r="B170" s="1206" t="s">
        <v>325</v>
      </c>
      <c r="C170" s="1205">
        <v>22</v>
      </c>
      <c r="D170" s="1206" t="s">
        <v>329</v>
      </c>
      <c r="E170" s="494" t="s">
        <v>136</v>
      </c>
      <c r="F170" s="496" t="s">
        <v>327</v>
      </c>
      <c r="G170" s="494" t="s">
        <v>40</v>
      </c>
      <c r="H170" s="501" t="s">
        <v>41</v>
      </c>
      <c r="I170" s="1248">
        <v>45839</v>
      </c>
      <c r="J170" s="955" t="str">
        <f t="shared" si="11"/>
        <v>-</v>
      </c>
      <c r="K170" s="959" t="s">
        <v>41</v>
      </c>
      <c r="L170" s="962" t="s">
        <v>41</v>
      </c>
      <c r="M170" s="983">
        <v>268</v>
      </c>
      <c r="N170" s="943"/>
      <c r="O170" s="944"/>
      <c r="P170" s="945"/>
      <c r="Q170" s="946"/>
      <c r="R170" s="541"/>
      <c r="S170" s="561"/>
    </row>
    <row r="171" spans="1:19" s="492" customFormat="1" ht="48.6">
      <c r="A171" s="1229" t="s">
        <v>309</v>
      </c>
      <c r="B171" s="1206" t="s">
        <v>325</v>
      </c>
      <c r="C171" s="1205">
        <v>23</v>
      </c>
      <c r="D171" s="1206" t="s">
        <v>330</v>
      </c>
      <c r="E171" s="494" t="s">
        <v>38</v>
      </c>
      <c r="F171" s="496" t="s">
        <v>327</v>
      </c>
      <c r="G171" s="494" t="s">
        <v>40</v>
      </c>
      <c r="H171" s="501" t="s">
        <v>41</v>
      </c>
      <c r="I171" s="1248">
        <v>45839</v>
      </c>
      <c r="J171" s="955" t="str">
        <f t="shared" si="11"/>
        <v>-</v>
      </c>
      <c r="K171" s="959" t="s">
        <v>41</v>
      </c>
      <c r="L171" s="962" t="s">
        <v>41</v>
      </c>
      <c r="M171" s="983">
        <v>122</v>
      </c>
      <c r="N171" s="943"/>
      <c r="O171" s="944" t="s">
        <v>380</v>
      </c>
      <c r="P171" s="945"/>
      <c r="Q171" s="946"/>
      <c r="R171" s="541"/>
      <c r="S171" s="561"/>
    </row>
    <row r="172" spans="1:19" s="492" customFormat="1" ht="48.6">
      <c r="A172" s="1229" t="s">
        <v>309</v>
      </c>
      <c r="B172" s="1206" t="s">
        <v>325</v>
      </c>
      <c r="C172" s="1205">
        <v>24</v>
      </c>
      <c r="D172" s="1206" t="s">
        <v>330</v>
      </c>
      <c r="E172" s="494" t="s">
        <v>136</v>
      </c>
      <c r="F172" s="496" t="s">
        <v>327</v>
      </c>
      <c r="G172" s="494" t="s">
        <v>40</v>
      </c>
      <c r="H172" s="501" t="s">
        <v>41</v>
      </c>
      <c r="I172" s="1248">
        <v>45839</v>
      </c>
      <c r="J172" s="955" t="str">
        <f t="shared" si="11"/>
        <v>-</v>
      </c>
      <c r="K172" s="959" t="s">
        <v>41</v>
      </c>
      <c r="L172" s="962" t="s">
        <v>41</v>
      </c>
      <c r="M172" s="957">
        <v>69.5</v>
      </c>
      <c r="N172" s="943"/>
      <c r="O172" s="944"/>
      <c r="P172" s="945"/>
      <c r="Q172" s="946"/>
      <c r="R172" s="541"/>
      <c r="S172" s="561"/>
    </row>
    <row r="173" spans="1:19" s="492" customFormat="1" ht="48.6">
      <c r="A173" s="1229" t="s">
        <v>309</v>
      </c>
      <c r="B173" s="1206" t="s">
        <v>325</v>
      </c>
      <c r="C173" s="1205">
        <v>25</v>
      </c>
      <c r="D173" s="1216" t="s">
        <v>331</v>
      </c>
      <c r="E173" s="494" t="s">
        <v>38</v>
      </c>
      <c r="F173" s="496" t="s">
        <v>327</v>
      </c>
      <c r="G173" s="494" t="s">
        <v>332</v>
      </c>
      <c r="H173" s="501">
        <v>0</v>
      </c>
      <c r="I173" s="1248">
        <v>45839</v>
      </c>
      <c r="J173" s="958" t="s">
        <v>41</v>
      </c>
      <c r="K173" s="959" t="s">
        <v>41</v>
      </c>
      <c r="L173" s="971">
        <v>0</v>
      </c>
      <c r="M173" s="983">
        <v>4</v>
      </c>
      <c r="N173" s="943"/>
      <c r="O173" s="2592" t="s">
        <v>381</v>
      </c>
      <c r="P173" s="945"/>
      <c r="Q173" s="946"/>
      <c r="R173" s="541"/>
      <c r="S173" s="561"/>
    </row>
    <row r="174" spans="1:19" s="492" customFormat="1" ht="48.6">
      <c r="A174" s="1229" t="s">
        <v>309</v>
      </c>
      <c r="B174" s="1206" t="s">
        <v>325</v>
      </c>
      <c r="C174" s="1205">
        <v>26</v>
      </c>
      <c r="D174" s="1216" t="s">
        <v>331</v>
      </c>
      <c r="E174" s="494" t="s">
        <v>136</v>
      </c>
      <c r="F174" s="496" t="s">
        <v>327</v>
      </c>
      <c r="G174" s="494" t="s">
        <v>332</v>
      </c>
      <c r="H174" s="501">
        <v>0</v>
      </c>
      <c r="I174" s="1248">
        <v>45839</v>
      </c>
      <c r="J174" s="958" t="s">
        <v>41</v>
      </c>
      <c r="K174" s="959" t="s">
        <v>41</v>
      </c>
      <c r="L174" s="971">
        <v>0</v>
      </c>
      <c r="M174" s="957">
        <v>6.08</v>
      </c>
      <c r="N174" s="943"/>
      <c r="O174" s="2593"/>
      <c r="P174" s="973"/>
      <c r="Q174" s="946"/>
      <c r="R174" s="541"/>
      <c r="S174" s="561"/>
    </row>
    <row r="175" spans="1:19" s="492" customFormat="1" ht="48.6">
      <c r="A175" s="1229" t="s">
        <v>309</v>
      </c>
      <c r="B175" s="1206" t="s">
        <v>325</v>
      </c>
      <c r="C175" s="1205">
        <v>27</v>
      </c>
      <c r="D175" s="1216" t="s">
        <v>334</v>
      </c>
      <c r="E175" s="494" t="s">
        <v>38</v>
      </c>
      <c r="F175" s="496" t="s">
        <v>327</v>
      </c>
      <c r="G175" s="494" t="s">
        <v>332</v>
      </c>
      <c r="H175" s="501">
        <v>0</v>
      </c>
      <c r="I175" s="1248">
        <v>45839</v>
      </c>
      <c r="J175" s="958" t="s">
        <v>41</v>
      </c>
      <c r="K175" s="959" t="s">
        <v>41</v>
      </c>
      <c r="L175" s="971">
        <v>0</v>
      </c>
      <c r="M175" s="983">
        <v>13</v>
      </c>
      <c r="N175" s="943"/>
      <c r="O175" s="2592" t="s">
        <v>382</v>
      </c>
      <c r="P175" s="945"/>
      <c r="Q175" s="946"/>
      <c r="R175" s="541"/>
      <c r="S175" s="561"/>
    </row>
    <row r="176" spans="1:19" s="492" customFormat="1" ht="48.6">
      <c r="A176" s="1229" t="s">
        <v>309</v>
      </c>
      <c r="B176" s="1206" t="s">
        <v>325</v>
      </c>
      <c r="C176" s="1205">
        <v>28</v>
      </c>
      <c r="D176" s="1216" t="s">
        <v>334</v>
      </c>
      <c r="E176" s="494" t="s">
        <v>136</v>
      </c>
      <c r="F176" s="496" t="s">
        <v>327</v>
      </c>
      <c r="G176" s="494" t="s">
        <v>332</v>
      </c>
      <c r="H176" s="501">
        <v>0</v>
      </c>
      <c r="I176" s="1248">
        <v>45839</v>
      </c>
      <c r="J176" s="958" t="s">
        <v>41</v>
      </c>
      <c r="K176" s="959" t="s">
        <v>41</v>
      </c>
      <c r="L176" s="971">
        <v>0</v>
      </c>
      <c r="M176" s="957">
        <v>9.9</v>
      </c>
      <c r="N176" s="943"/>
      <c r="O176" s="2593"/>
      <c r="P176" s="973"/>
      <c r="Q176" s="946"/>
      <c r="R176" s="541"/>
      <c r="S176" s="561"/>
    </row>
    <row r="177" spans="1:19" s="492" customFormat="1" ht="48.6">
      <c r="A177" s="1229" t="s">
        <v>309</v>
      </c>
      <c r="B177" s="1206" t="s">
        <v>325</v>
      </c>
      <c r="C177" s="1205">
        <v>29</v>
      </c>
      <c r="D177" s="1206" t="s">
        <v>336</v>
      </c>
      <c r="E177" s="494" t="s">
        <v>38</v>
      </c>
      <c r="F177" s="496" t="s">
        <v>316</v>
      </c>
      <c r="G177" s="494" t="s">
        <v>40</v>
      </c>
      <c r="H177" s="501">
        <v>0</v>
      </c>
      <c r="I177" s="1248">
        <v>45839</v>
      </c>
      <c r="J177" s="958">
        <f>IF(H177=0,0,IF(H177="-","-",ROUND(H177/12,2)))</f>
        <v>0</v>
      </c>
      <c r="K177" s="959">
        <f>15+17</f>
        <v>32</v>
      </c>
      <c r="L177" s="971">
        <v>0</v>
      </c>
      <c r="M177" s="972">
        <v>32</v>
      </c>
      <c r="N177" s="943"/>
      <c r="O177" s="961" t="s">
        <v>383</v>
      </c>
      <c r="P177" s="945"/>
      <c r="Q177" s="946"/>
      <c r="R177" s="541"/>
      <c r="S177" s="561"/>
    </row>
    <row r="178" spans="1:19" s="492" customFormat="1" ht="48.6">
      <c r="A178" s="1229" t="s">
        <v>309</v>
      </c>
      <c r="B178" s="1206" t="s">
        <v>325</v>
      </c>
      <c r="C178" s="1205">
        <v>30</v>
      </c>
      <c r="D178" s="1206" t="s">
        <v>336</v>
      </c>
      <c r="E178" s="494" t="s">
        <v>136</v>
      </c>
      <c r="F178" s="496" t="s">
        <v>316</v>
      </c>
      <c r="G178" s="494" t="s">
        <v>40</v>
      </c>
      <c r="H178" s="501">
        <v>0</v>
      </c>
      <c r="I178" s="1248">
        <v>45839</v>
      </c>
      <c r="J178" s="958">
        <f>IF(H178=0,0,IF(H178="-","-",ROUND(H178/12,2)))</f>
        <v>0</v>
      </c>
      <c r="K178" s="959">
        <v>2.9279999999999999</v>
      </c>
      <c r="L178" s="971">
        <v>0</v>
      </c>
      <c r="M178" s="959">
        <v>2.9279999999999999</v>
      </c>
      <c r="N178" s="943"/>
      <c r="O178" s="961" t="s">
        <v>384</v>
      </c>
      <c r="P178" s="945"/>
      <c r="Q178" s="946"/>
      <c r="R178" s="541"/>
      <c r="S178" s="561"/>
    </row>
    <row r="179" spans="1:19" s="492" customFormat="1" ht="48.6">
      <c r="A179" s="1229" t="s">
        <v>309</v>
      </c>
      <c r="B179" s="1206" t="s">
        <v>325</v>
      </c>
      <c r="C179" s="1205">
        <v>31</v>
      </c>
      <c r="D179" s="1206" t="s">
        <v>338</v>
      </c>
      <c r="E179" s="494" t="s">
        <v>38</v>
      </c>
      <c r="F179" s="496" t="s">
        <v>316</v>
      </c>
      <c r="G179" s="494" t="s">
        <v>40</v>
      </c>
      <c r="H179" s="501">
        <v>0</v>
      </c>
      <c r="I179" s="1248">
        <v>45839</v>
      </c>
      <c r="J179" s="958">
        <f>IF(H179=0,0,IF(H179="-","-",ROUND(H179/12,2)))</f>
        <v>0</v>
      </c>
      <c r="K179" s="959">
        <v>28</v>
      </c>
      <c r="L179" s="971">
        <v>0</v>
      </c>
      <c r="M179" s="957">
        <v>28</v>
      </c>
      <c r="N179" s="943"/>
      <c r="O179" s="961" t="s">
        <v>385</v>
      </c>
      <c r="P179" s="945"/>
      <c r="Q179" s="946"/>
      <c r="R179" s="541"/>
      <c r="S179" s="561"/>
    </row>
    <row r="180" spans="1:19" s="492" customFormat="1" ht="48.6">
      <c r="A180" s="1229" t="s">
        <v>309</v>
      </c>
      <c r="B180" s="1206" t="s">
        <v>325</v>
      </c>
      <c r="C180" s="1205">
        <v>32</v>
      </c>
      <c r="D180" s="1206" t="s">
        <v>338</v>
      </c>
      <c r="E180" s="494" t="s">
        <v>136</v>
      </c>
      <c r="F180" s="496" t="s">
        <v>316</v>
      </c>
      <c r="G180" s="494" t="s">
        <v>40</v>
      </c>
      <c r="H180" s="501">
        <v>0</v>
      </c>
      <c r="I180" s="1248">
        <v>45839</v>
      </c>
      <c r="J180" s="958">
        <f>IF(H180=0,0,IF(H180="-","-",ROUND(H180/12,2)))</f>
        <v>0</v>
      </c>
      <c r="K180" s="959">
        <v>3.45</v>
      </c>
      <c r="L180" s="971">
        <v>0</v>
      </c>
      <c r="M180" s="957">
        <v>3.45</v>
      </c>
      <c r="N180" s="943"/>
      <c r="O180" s="961" t="s">
        <v>386</v>
      </c>
      <c r="P180" s="945"/>
      <c r="Q180" s="946"/>
      <c r="R180" s="541"/>
      <c r="S180" s="561"/>
    </row>
    <row r="181" spans="1:19" s="492" customFormat="1" ht="48.6">
      <c r="A181" s="1229" t="s">
        <v>309</v>
      </c>
      <c r="B181" s="1206" t="s">
        <v>325</v>
      </c>
      <c r="C181" s="1205">
        <v>33</v>
      </c>
      <c r="D181" s="1206" t="s">
        <v>339</v>
      </c>
      <c r="E181" s="494" t="s">
        <v>133</v>
      </c>
      <c r="F181" s="496" t="s">
        <v>340</v>
      </c>
      <c r="G181" s="494" t="s">
        <v>341</v>
      </c>
      <c r="H181" s="502">
        <v>5.0000000000000001E-3</v>
      </c>
      <c r="I181" s="1248">
        <v>45839</v>
      </c>
      <c r="J181" s="958" t="s">
        <v>41</v>
      </c>
      <c r="K181" s="956" t="s">
        <v>41</v>
      </c>
      <c r="L181" s="960" t="s">
        <v>41</v>
      </c>
      <c r="M181" s="956" t="s">
        <v>41</v>
      </c>
      <c r="N181" s="943"/>
      <c r="O181" s="944"/>
      <c r="P181" s="945"/>
      <c r="Q181" s="946"/>
      <c r="R181" s="541"/>
      <c r="S181" s="561"/>
    </row>
    <row r="182" spans="1:19" s="492" customFormat="1" ht="48.6">
      <c r="A182" s="1229" t="s">
        <v>309</v>
      </c>
      <c r="B182" s="1206" t="s">
        <v>325</v>
      </c>
      <c r="C182" s="1205">
        <v>34</v>
      </c>
      <c r="D182" s="1206" t="s">
        <v>339</v>
      </c>
      <c r="E182" s="494" t="s">
        <v>136</v>
      </c>
      <c r="F182" s="496" t="s">
        <v>340</v>
      </c>
      <c r="G182" s="494" t="s">
        <v>341</v>
      </c>
      <c r="H182" s="503" t="s">
        <v>41</v>
      </c>
      <c r="I182" s="1248">
        <v>45839</v>
      </c>
      <c r="J182" s="958" t="s">
        <v>41</v>
      </c>
      <c r="K182" s="956" t="s">
        <v>41</v>
      </c>
      <c r="L182" s="960" t="s">
        <v>41</v>
      </c>
      <c r="M182" s="956" t="s">
        <v>41</v>
      </c>
      <c r="N182" s="943"/>
      <c r="O182" s="944"/>
      <c r="P182" s="945"/>
      <c r="Q182" s="946"/>
      <c r="R182" s="541"/>
      <c r="S182" s="561"/>
    </row>
    <row r="183" spans="1:19" s="492" customFormat="1" ht="48.6">
      <c r="A183" s="1229" t="s">
        <v>309</v>
      </c>
      <c r="B183" s="1206" t="s">
        <v>325</v>
      </c>
      <c r="C183" s="1205">
        <v>35</v>
      </c>
      <c r="D183" s="1206" t="s">
        <v>342</v>
      </c>
      <c r="E183" s="494" t="s">
        <v>133</v>
      </c>
      <c r="F183" s="496" t="s">
        <v>106</v>
      </c>
      <c r="G183" s="494" t="s">
        <v>285</v>
      </c>
      <c r="H183" s="504">
        <v>3.5000000000000003E-2</v>
      </c>
      <c r="I183" s="1248">
        <v>45839</v>
      </c>
      <c r="J183" s="974">
        <v>3.5799999999999998E-2</v>
      </c>
      <c r="K183" s="975">
        <v>3.1899999999999998E-2</v>
      </c>
      <c r="L183" s="984">
        <f>J183</f>
        <v>3.5799999999999998E-2</v>
      </c>
      <c r="M183" s="975">
        <v>3.1899999999999998E-2</v>
      </c>
      <c r="N183" s="943"/>
      <c r="O183" s="944"/>
      <c r="P183" s="945"/>
      <c r="Q183" s="946"/>
      <c r="R183" s="541"/>
      <c r="S183" s="561"/>
    </row>
    <row r="184" spans="1:19" s="492" customFormat="1" ht="48.6">
      <c r="A184" s="1229" t="s">
        <v>309</v>
      </c>
      <c r="B184" s="1206" t="s">
        <v>325</v>
      </c>
      <c r="C184" s="1205">
        <v>36</v>
      </c>
      <c r="D184" s="1206" t="s">
        <v>342</v>
      </c>
      <c r="E184" s="494" t="s">
        <v>136</v>
      </c>
      <c r="F184" s="496" t="s">
        <v>106</v>
      </c>
      <c r="G184" s="494" t="s">
        <v>285</v>
      </c>
      <c r="H184" s="506">
        <v>642.05999999999995</v>
      </c>
      <c r="I184" s="1248">
        <v>45839</v>
      </c>
      <c r="J184" s="955">
        <v>656.84000000000015</v>
      </c>
      <c r="K184" s="956">
        <v>606</v>
      </c>
      <c r="L184" s="946">
        <f>J184</f>
        <v>656.84000000000015</v>
      </c>
      <c r="M184" s="956">
        <v>606</v>
      </c>
      <c r="N184" s="943"/>
      <c r="O184" s="944"/>
      <c r="P184" s="945"/>
      <c r="Q184" s="946"/>
      <c r="R184" s="541"/>
      <c r="S184" s="561"/>
    </row>
    <row r="185" spans="1:19" s="492" customFormat="1" ht="48.6">
      <c r="A185" s="1229" t="s">
        <v>309</v>
      </c>
      <c r="B185" s="1206" t="s">
        <v>325</v>
      </c>
      <c r="C185" s="1205">
        <v>37</v>
      </c>
      <c r="D185" s="1206" t="s">
        <v>343</v>
      </c>
      <c r="E185" s="494" t="s">
        <v>38</v>
      </c>
      <c r="F185" s="496" t="s">
        <v>105</v>
      </c>
      <c r="G185" s="494"/>
      <c r="H185" s="500" t="s">
        <v>41</v>
      </c>
      <c r="I185" s="1248">
        <v>45839</v>
      </c>
      <c r="J185" s="955" t="s">
        <v>41</v>
      </c>
      <c r="K185" s="959" t="s">
        <v>41</v>
      </c>
      <c r="L185" s="946" t="s">
        <v>41</v>
      </c>
      <c r="M185" s="957" t="s">
        <v>41</v>
      </c>
      <c r="N185" s="943"/>
      <c r="O185" s="944"/>
      <c r="P185" s="945"/>
      <c r="Q185" s="946"/>
      <c r="R185" s="541"/>
      <c r="S185" s="561"/>
    </row>
    <row r="186" spans="1:19" s="492" customFormat="1" ht="48.6">
      <c r="A186" s="1229" t="s">
        <v>309</v>
      </c>
      <c r="B186" s="1206" t="s">
        <v>325</v>
      </c>
      <c r="C186" s="1205">
        <v>38</v>
      </c>
      <c r="D186" s="1206" t="s">
        <v>343</v>
      </c>
      <c r="E186" s="494" t="s">
        <v>136</v>
      </c>
      <c r="F186" s="496" t="s">
        <v>105</v>
      </c>
      <c r="G186" s="494"/>
      <c r="H186" s="505">
        <f>84578725.86/10^6</f>
        <v>84.578725860000006</v>
      </c>
      <c r="I186" s="1248">
        <v>45839</v>
      </c>
      <c r="J186" s="955">
        <f>17520670.44/10^6</f>
        <v>17.52067044</v>
      </c>
      <c r="K186" s="959">
        <f>1660610.87/10^6</f>
        <v>1.6606108700000002</v>
      </c>
      <c r="L186" s="946">
        <f>L137+J186</f>
        <v>42.629737609999992</v>
      </c>
      <c r="M186" s="957">
        <f>K186+M137</f>
        <v>7.4018847299999999</v>
      </c>
      <c r="N186" s="943"/>
      <c r="O186" s="961" t="s">
        <v>182</v>
      </c>
      <c r="P186" s="945"/>
      <c r="Q186" s="946"/>
      <c r="R186" s="541"/>
      <c r="S186" s="561"/>
    </row>
    <row r="187" spans="1:19" s="492" customFormat="1" ht="48.6">
      <c r="A187" s="1229" t="s">
        <v>309</v>
      </c>
      <c r="B187" s="1206" t="s">
        <v>325</v>
      </c>
      <c r="C187" s="1205">
        <v>39</v>
      </c>
      <c r="D187" s="1206" t="s">
        <v>344</v>
      </c>
      <c r="E187" s="494" t="s">
        <v>136</v>
      </c>
      <c r="F187" s="496" t="s">
        <v>110</v>
      </c>
      <c r="G187" s="494" t="s">
        <v>345</v>
      </c>
      <c r="H187" s="500">
        <v>3.17</v>
      </c>
      <c r="I187" s="1248">
        <v>45839</v>
      </c>
      <c r="J187" s="977" t="s">
        <v>41</v>
      </c>
      <c r="K187" s="959" t="s">
        <v>41</v>
      </c>
      <c r="L187" s="985" t="s">
        <v>41</v>
      </c>
      <c r="M187" s="959" t="s">
        <v>41</v>
      </c>
      <c r="N187" s="943"/>
      <c r="O187" s="944"/>
      <c r="P187" s="945"/>
      <c r="Q187" s="946"/>
      <c r="R187" s="541"/>
      <c r="S187" s="561"/>
    </row>
    <row r="188" spans="1:19" s="492" customFormat="1" ht="48.6">
      <c r="A188" s="1229" t="s">
        <v>309</v>
      </c>
      <c r="B188" s="1206" t="s">
        <v>325</v>
      </c>
      <c r="C188" s="1205">
        <v>40</v>
      </c>
      <c r="D188" s="1206" t="s">
        <v>346</v>
      </c>
      <c r="E188" s="494" t="s">
        <v>136</v>
      </c>
      <c r="F188" s="496" t="s">
        <v>110</v>
      </c>
      <c r="G188" s="494" t="s">
        <v>345</v>
      </c>
      <c r="H188" s="500">
        <v>5.84</v>
      </c>
      <c r="I188" s="1248">
        <v>45839</v>
      </c>
      <c r="J188" s="977" t="s">
        <v>41</v>
      </c>
      <c r="K188" s="959" t="s">
        <v>41</v>
      </c>
      <c r="L188" s="962" t="s">
        <v>41</v>
      </c>
      <c r="M188" s="959" t="s">
        <v>41</v>
      </c>
      <c r="N188" s="943"/>
      <c r="O188" s="944"/>
      <c r="P188" s="945"/>
      <c r="Q188" s="946"/>
      <c r="R188" s="541"/>
      <c r="S188" s="561"/>
    </row>
    <row r="189" spans="1:19" s="492" customFormat="1" ht="48.6">
      <c r="A189" s="1229" t="s">
        <v>309</v>
      </c>
      <c r="B189" s="1206" t="s">
        <v>325</v>
      </c>
      <c r="C189" s="1205">
        <v>41</v>
      </c>
      <c r="D189" s="1206" t="s">
        <v>347</v>
      </c>
      <c r="E189" s="494" t="s">
        <v>38</v>
      </c>
      <c r="F189" s="496" t="s">
        <v>106</v>
      </c>
      <c r="G189" s="494" t="s">
        <v>285</v>
      </c>
      <c r="H189" s="500" t="s">
        <v>41</v>
      </c>
      <c r="I189" s="1248">
        <v>45839</v>
      </c>
      <c r="J189" s="955" t="s">
        <v>41</v>
      </c>
      <c r="K189" s="959" t="s">
        <v>41</v>
      </c>
      <c r="L189" s="962" t="s">
        <v>41</v>
      </c>
      <c r="M189" s="959" t="s">
        <v>41</v>
      </c>
      <c r="N189" s="943"/>
      <c r="O189" s="944" t="s">
        <v>387</v>
      </c>
      <c r="P189" s="945"/>
      <c r="Q189" s="946"/>
      <c r="R189" s="541"/>
      <c r="S189" s="561"/>
    </row>
    <row r="190" spans="1:19" s="492" customFormat="1" ht="48.6">
      <c r="A190" s="1229" t="s">
        <v>309</v>
      </c>
      <c r="B190" s="1206" t="s">
        <v>325</v>
      </c>
      <c r="C190" s="1205">
        <v>42</v>
      </c>
      <c r="D190" s="1206" t="s">
        <v>347</v>
      </c>
      <c r="E190" s="494" t="s">
        <v>136</v>
      </c>
      <c r="F190" s="496" t="s">
        <v>106</v>
      </c>
      <c r="G190" s="494" t="s">
        <v>285</v>
      </c>
      <c r="H190" s="506">
        <v>155.07</v>
      </c>
      <c r="I190" s="1248">
        <v>45839</v>
      </c>
      <c r="J190" s="955" t="s">
        <v>41</v>
      </c>
      <c r="K190" s="959" t="s">
        <v>41</v>
      </c>
      <c r="L190" s="962" t="s">
        <v>41</v>
      </c>
      <c r="M190" s="959" t="s">
        <v>41</v>
      </c>
      <c r="N190" s="943"/>
      <c r="O190" s="944" t="s">
        <v>387</v>
      </c>
      <c r="P190" s="945"/>
      <c r="Q190" s="946"/>
      <c r="R190" s="541"/>
      <c r="S190" s="561"/>
    </row>
    <row r="191" spans="1:19" s="492" customFormat="1" ht="48.6">
      <c r="A191" s="1229" t="s">
        <v>309</v>
      </c>
      <c r="B191" s="1206" t="s">
        <v>325</v>
      </c>
      <c r="C191" s="1205">
        <v>43</v>
      </c>
      <c r="D191" s="1206" t="s">
        <v>349</v>
      </c>
      <c r="E191" s="494" t="s">
        <v>136</v>
      </c>
      <c r="F191" s="496" t="s">
        <v>340</v>
      </c>
      <c r="G191" s="494" t="s">
        <v>134</v>
      </c>
      <c r="H191" s="500">
        <v>5.4</v>
      </c>
      <c r="I191" s="1248">
        <v>45839</v>
      </c>
      <c r="J191" s="955"/>
      <c r="K191" s="959" t="s">
        <v>41</v>
      </c>
      <c r="L191" s="962" t="s">
        <v>41</v>
      </c>
      <c r="M191" s="959" t="s">
        <v>41</v>
      </c>
      <c r="N191" s="943"/>
      <c r="O191" s="944"/>
      <c r="P191" s="945"/>
      <c r="Q191" s="946"/>
      <c r="R191" s="541"/>
      <c r="S191" s="561"/>
    </row>
    <row r="192" spans="1:19" s="492" customFormat="1" ht="48.6">
      <c r="A192" s="1229" t="s">
        <v>309</v>
      </c>
      <c r="B192" s="1206" t="s">
        <v>325</v>
      </c>
      <c r="C192" s="1205">
        <v>44</v>
      </c>
      <c r="D192" s="1206" t="s">
        <v>350</v>
      </c>
      <c r="E192" s="494" t="s">
        <v>38</v>
      </c>
      <c r="F192" s="496" t="s">
        <v>106</v>
      </c>
      <c r="G192" s="494" t="s">
        <v>134</v>
      </c>
      <c r="H192" s="500" t="s">
        <v>41</v>
      </c>
      <c r="I192" s="1248">
        <v>45839</v>
      </c>
      <c r="J192" s="955" t="s">
        <v>41</v>
      </c>
      <c r="K192" s="959" t="s">
        <v>41</v>
      </c>
      <c r="L192" s="962" t="s">
        <v>41</v>
      </c>
      <c r="M192" s="959" t="s">
        <v>41</v>
      </c>
      <c r="N192" s="943"/>
      <c r="O192" s="944" t="s">
        <v>361</v>
      </c>
      <c r="P192" s="945"/>
      <c r="Q192" s="946"/>
      <c r="R192" s="541"/>
      <c r="S192" s="561"/>
    </row>
    <row r="193" spans="1:19" s="492" customFormat="1" ht="48.6">
      <c r="A193" s="1229" t="s">
        <v>309</v>
      </c>
      <c r="B193" s="1206" t="s">
        <v>325</v>
      </c>
      <c r="C193" s="1205">
        <v>45</v>
      </c>
      <c r="D193" s="1206" t="s">
        <v>350</v>
      </c>
      <c r="E193" s="494" t="s">
        <v>136</v>
      </c>
      <c r="F193" s="496" t="s">
        <v>106</v>
      </c>
      <c r="G193" s="494" t="s">
        <v>134</v>
      </c>
      <c r="H193" s="506">
        <v>3</v>
      </c>
      <c r="I193" s="1248">
        <v>45839</v>
      </c>
      <c r="J193" s="955" t="s">
        <v>41</v>
      </c>
      <c r="K193" s="959" t="s">
        <v>41</v>
      </c>
      <c r="L193" s="962" t="s">
        <v>41</v>
      </c>
      <c r="M193" s="959" t="s">
        <v>41</v>
      </c>
      <c r="N193" s="943"/>
      <c r="O193" s="944" t="s">
        <v>361</v>
      </c>
      <c r="P193" s="945"/>
      <c r="Q193" s="946"/>
      <c r="R193" s="541"/>
      <c r="S193" s="561"/>
    </row>
    <row r="194" spans="1:19" s="492" customFormat="1" ht="48.6">
      <c r="A194" s="1229" t="s">
        <v>309</v>
      </c>
      <c r="B194" s="1221" t="s">
        <v>351</v>
      </c>
      <c r="C194" s="1205">
        <v>46</v>
      </c>
      <c r="D194" s="1227" t="s">
        <v>352</v>
      </c>
      <c r="E194" s="494" t="s">
        <v>353</v>
      </c>
      <c r="F194" s="496" t="s">
        <v>312</v>
      </c>
      <c r="G194" s="497" t="s">
        <v>40</v>
      </c>
      <c r="H194" s="500">
        <v>1.2</v>
      </c>
      <c r="I194" s="1248">
        <v>45839</v>
      </c>
      <c r="J194" s="955" t="s">
        <v>41</v>
      </c>
      <c r="K194" s="959" t="s">
        <v>41</v>
      </c>
      <c r="L194" s="962" t="s">
        <v>41</v>
      </c>
      <c r="M194" s="959" t="s">
        <v>41</v>
      </c>
      <c r="N194" s="943"/>
      <c r="O194" s="944"/>
      <c r="P194" s="945"/>
      <c r="Q194" s="946"/>
      <c r="R194" s="541"/>
      <c r="S194" s="561"/>
    </row>
    <row r="195" spans="1:19" s="492" customFormat="1" ht="48.6">
      <c r="A195" s="1229" t="s">
        <v>309</v>
      </c>
      <c r="B195" s="1221" t="s">
        <v>354</v>
      </c>
      <c r="C195" s="1205">
        <v>47</v>
      </c>
      <c r="D195" s="1221" t="s">
        <v>355</v>
      </c>
      <c r="E195" s="494" t="s">
        <v>353</v>
      </c>
      <c r="F195" s="496" t="s">
        <v>327</v>
      </c>
      <c r="G195" s="497" t="s">
        <v>40</v>
      </c>
      <c r="H195" s="501">
        <v>0</v>
      </c>
      <c r="I195" s="1248">
        <v>45839</v>
      </c>
      <c r="J195" s="955" t="s">
        <v>41</v>
      </c>
      <c r="K195" s="959" t="s">
        <v>41</v>
      </c>
      <c r="L195" s="962" t="s">
        <v>41</v>
      </c>
      <c r="M195" s="959" t="s">
        <v>41</v>
      </c>
      <c r="N195" s="943"/>
      <c r="O195" s="944"/>
      <c r="P195" s="945"/>
      <c r="Q195" s="946"/>
      <c r="R195" s="541"/>
      <c r="S195" s="561"/>
    </row>
    <row r="196" spans="1:19" s="492" customFormat="1" ht="48.6">
      <c r="A196" s="1229" t="s">
        <v>309</v>
      </c>
      <c r="B196" s="1221" t="s">
        <v>356</v>
      </c>
      <c r="C196" s="1205">
        <v>48</v>
      </c>
      <c r="D196" s="1221" t="s">
        <v>355</v>
      </c>
      <c r="E196" s="494" t="s">
        <v>353</v>
      </c>
      <c r="F196" s="496" t="s">
        <v>321</v>
      </c>
      <c r="G196" s="497" t="s">
        <v>40</v>
      </c>
      <c r="H196" s="501">
        <v>0</v>
      </c>
      <c r="I196" s="1248">
        <v>45839</v>
      </c>
      <c r="J196" s="955" t="s">
        <v>41</v>
      </c>
      <c r="K196" s="959" t="s">
        <v>41</v>
      </c>
      <c r="L196" s="962" t="s">
        <v>41</v>
      </c>
      <c r="M196" s="959" t="s">
        <v>41</v>
      </c>
      <c r="N196" s="943"/>
      <c r="O196" s="944"/>
      <c r="P196" s="945"/>
      <c r="Q196" s="946"/>
      <c r="R196" s="541"/>
      <c r="S196" s="561"/>
    </row>
    <row r="197" spans="1:19" s="492" customFormat="1" ht="48.6">
      <c r="A197" s="1229" t="s">
        <v>309</v>
      </c>
      <c r="B197" s="1230" t="s">
        <v>357</v>
      </c>
      <c r="C197" s="1205">
        <v>49</v>
      </c>
      <c r="D197" s="1216" t="s">
        <v>41</v>
      </c>
      <c r="E197" s="494" t="s">
        <v>38</v>
      </c>
      <c r="F197" s="496" t="s">
        <v>312</v>
      </c>
      <c r="G197" s="497" t="s">
        <v>41</v>
      </c>
      <c r="H197" s="501"/>
      <c r="I197" s="1248">
        <v>45839</v>
      </c>
      <c r="J197" s="958">
        <v>26</v>
      </c>
      <c r="K197" s="956">
        <v>23</v>
      </c>
      <c r="L197" s="960">
        <f>L148+J197</f>
        <v>91</v>
      </c>
      <c r="M197" s="972">
        <f>M148+K197</f>
        <v>74</v>
      </c>
      <c r="N197" s="943"/>
      <c r="O197" s="944"/>
      <c r="P197" s="945"/>
      <c r="Q197" s="946"/>
      <c r="R197" s="541"/>
      <c r="S197" s="561"/>
    </row>
    <row r="198" spans="1:19" s="492" customFormat="1" ht="48.6">
      <c r="A198" s="1229" t="s">
        <v>309</v>
      </c>
      <c r="B198" s="1221" t="s">
        <v>310</v>
      </c>
      <c r="C198" s="1205">
        <v>1</v>
      </c>
      <c r="D198" s="1206" t="s">
        <v>311</v>
      </c>
      <c r="E198" s="494" t="s">
        <v>38</v>
      </c>
      <c r="F198" s="496" t="s">
        <v>312</v>
      </c>
      <c r="G198" s="494" t="s">
        <v>40</v>
      </c>
      <c r="H198" s="500">
        <v>0</v>
      </c>
      <c r="I198" s="1248">
        <v>45870</v>
      </c>
      <c r="J198" s="958">
        <f>IF(H198=0,0,IF(H198="-","-",ROUND(H198/12,2)))</f>
        <v>0</v>
      </c>
      <c r="K198" s="956">
        <v>0</v>
      </c>
      <c r="L198" s="971">
        <v>0</v>
      </c>
      <c r="M198" s="957">
        <v>0</v>
      </c>
      <c r="N198" s="943"/>
      <c r="O198" s="944"/>
      <c r="P198" s="945"/>
      <c r="Q198" s="946"/>
      <c r="R198" s="541"/>
      <c r="S198" s="561"/>
    </row>
    <row r="199" spans="1:19" s="492" customFormat="1" ht="48.6">
      <c r="A199" s="1229" t="s">
        <v>309</v>
      </c>
      <c r="B199" s="1221" t="s">
        <v>310</v>
      </c>
      <c r="C199" s="1205">
        <v>2</v>
      </c>
      <c r="D199" s="1206" t="s">
        <v>313</v>
      </c>
      <c r="E199" s="494" t="s">
        <v>38</v>
      </c>
      <c r="F199" s="496" t="s">
        <v>312</v>
      </c>
      <c r="G199" s="494" t="s">
        <v>40</v>
      </c>
      <c r="H199" s="500">
        <v>9</v>
      </c>
      <c r="I199" s="1248">
        <v>45870</v>
      </c>
      <c r="J199" s="958">
        <f>IF(H199=0,0,IF(H199="-","-",ROUND(H199/12,2)))</f>
        <v>0.75</v>
      </c>
      <c r="K199" s="956">
        <v>0</v>
      </c>
      <c r="L199" s="971">
        <f>J199+L150</f>
        <v>3.75</v>
      </c>
      <c r="M199" s="972">
        <f>K199+M150</f>
        <v>0</v>
      </c>
      <c r="N199" s="943"/>
      <c r="O199" s="944"/>
      <c r="P199" s="945"/>
      <c r="Q199" s="946"/>
      <c r="R199" s="541"/>
      <c r="S199" s="561"/>
    </row>
    <row r="200" spans="1:19" s="492" customFormat="1" ht="48.6">
      <c r="A200" s="1229" t="s">
        <v>309</v>
      </c>
      <c r="B200" s="1221" t="s">
        <v>310</v>
      </c>
      <c r="C200" s="1205">
        <v>3</v>
      </c>
      <c r="D200" s="1206" t="s">
        <v>314</v>
      </c>
      <c r="E200" s="494" t="s">
        <v>38</v>
      </c>
      <c r="F200" s="496" t="s">
        <v>312</v>
      </c>
      <c r="G200" s="494" t="s">
        <v>40</v>
      </c>
      <c r="H200" s="500">
        <v>0</v>
      </c>
      <c r="I200" s="1248">
        <v>45870</v>
      </c>
      <c r="J200" s="958">
        <f>IF(H200=0,0,IF(H200="-","-",ROUND(H200/12,2)))</f>
        <v>0</v>
      </c>
      <c r="K200" s="956">
        <v>0</v>
      </c>
      <c r="L200" s="971">
        <f>J200+L151</f>
        <v>0</v>
      </c>
      <c r="M200" s="2431">
        <f>K200+M151</f>
        <v>0</v>
      </c>
      <c r="N200" s="943"/>
      <c r="O200" s="944"/>
      <c r="P200" s="945"/>
      <c r="Q200" s="946"/>
      <c r="R200" s="541"/>
      <c r="S200" s="561"/>
    </row>
    <row r="201" spans="1:19" s="492" customFormat="1" ht="48.6">
      <c r="A201" s="1229" t="s">
        <v>309</v>
      </c>
      <c r="B201" s="1221" t="s">
        <v>310</v>
      </c>
      <c r="C201" s="1205">
        <v>4</v>
      </c>
      <c r="D201" s="1206" t="s">
        <v>315</v>
      </c>
      <c r="E201" s="494" t="s">
        <v>38</v>
      </c>
      <c r="F201" s="496" t="s">
        <v>316</v>
      </c>
      <c r="G201" s="494" t="s">
        <v>40</v>
      </c>
      <c r="H201" s="500">
        <v>281</v>
      </c>
      <c r="I201" s="1248">
        <v>45870</v>
      </c>
      <c r="J201" s="958">
        <v>36</v>
      </c>
      <c r="K201" s="956">
        <v>23</v>
      </c>
      <c r="L201" s="971">
        <f>J201+L152</f>
        <v>103</v>
      </c>
      <c r="M201" s="972">
        <f t="shared" ref="M201" si="12">K201+M152</f>
        <v>100</v>
      </c>
      <c r="N201" s="943"/>
      <c r="O201" s="944"/>
      <c r="P201" s="945"/>
      <c r="Q201" s="946"/>
      <c r="R201" s="541"/>
      <c r="S201" s="561"/>
    </row>
    <row r="202" spans="1:19" s="492" customFormat="1" ht="48.6">
      <c r="A202" s="1229" t="s">
        <v>309</v>
      </c>
      <c r="B202" s="1221" t="s">
        <v>310</v>
      </c>
      <c r="C202" s="1205">
        <v>5</v>
      </c>
      <c r="D202" s="1206" t="s">
        <v>315</v>
      </c>
      <c r="E202" s="494" t="s">
        <v>136</v>
      </c>
      <c r="F202" s="496" t="s">
        <v>316</v>
      </c>
      <c r="G202" s="494" t="s">
        <v>40</v>
      </c>
      <c r="H202" s="500">
        <v>117</v>
      </c>
      <c r="I202" s="1248">
        <v>45870</v>
      </c>
      <c r="J202" s="955">
        <v>5.492</v>
      </c>
      <c r="K202" s="959">
        <v>7.5</v>
      </c>
      <c r="L202" s="946">
        <f t="shared" ref="L202:M202" si="13">J202+L153</f>
        <v>29.896999999999998</v>
      </c>
      <c r="M202" s="957">
        <f t="shared" si="13"/>
        <v>29.86</v>
      </c>
      <c r="N202" s="943"/>
      <c r="O202" s="944"/>
      <c r="P202" s="945"/>
      <c r="Q202" s="946"/>
      <c r="R202" s="541"/>
      <c r="S202" s="561"/>
    </row>
    <row r="203" spans="1:19" s="492" customFormat="1" ht="48.6">
      <c r="A203" s="1229" t="s">
        <v>309</v>
      </c>
      <c r="B203" s="1221" t="s">
        <v>310</v>
      </c>
      <c r="C203" s="1205">
        <v>6</v>
      </c>
      <c r="D203" s="1206" t="s">
        <v>317</v>
      </c>
      <c r="E203" s="494" t="s">
        <v>38</v>
      </c>
      <c r="F203" s="496" t="s">
        <v>316</v>
      </c>
      <c r="G203" s="494" t="s">
        <v>40</v>
      </c>
      <c r="H203" s="500">
        <v>0</v>
      </c>
      <c r="I203" s="1248">
        <v>45870</v>
      </c>
      <c r="J203" s="958">
        <f>IF(H203=0,0,IF(H203="-","-",ROUND(H203/12,2)))</f>
        <v>0</v>
      </c>
      <c r="K203" s="956">
        <v>0</v>
      </c>
      <c r="L203" s="971">
        <v>0</v>
      </c>
      <c r="M203" s="957">
        <f>M154</f>
        <v>1</v>
      </c>
      <c r="N203" s="943"/>
      <c r="O203" s="944" t="s">
        <v>388</v>
      </c>
      <c r="P203" s="945"/>
      <c r="Q203" s="946"/>
      <c r="R203" s="541"/>
      <c r="S203" s="561"/>
    </row>
    <row r="204" spans="1:19" s="492" customFormat="1" ht="48.6">
      <c r="A204" s="1229" t="s">
        <v>309</v>
      </c>
      <c r="B204" s="1221" t="s">
        <v>310</v>
      </c>
      <c r="C204" s="1205">
        <v>7</v>
      </c>
      <c r="D204" s="1206" t="s">
        <v>317</v>
      </c>
      <c r="E204" s="494" t="s">
        <v>136</v>
      </c>
      <c r="F204" s="496" t="s">
        <v>316</v>
      </c>
      <c r="G204" s="494" t="s">
        <v>40</v>
      </c>
      <c r="H204" s="500">
        <v>0</v>
      </c>
      <c r="I204" s="1248">
        <v>45870</v>
      </c>
      <c r="J204" s="955">
        <f>IF(H204=0,0,IF(H204="-","-",ROUND(H204/12,2)))</f>
        <v>0</v>
      </c>
      <c r="K204" s="959">
        <v>0</v>
      </c>
      <c r="L204" s="971">
        <v>0</v>
      </c>
      <c r="M204" s="957">
        <f>M155+K204</f>
        <v>0.93</v>
      </c>
      <c r="N204" s="943"/>
      <c r="O204" s="944"/>
      <c r="P204" s="945"/>
      <c r="Q204" s="946"/>
      <c r="R204" s="541"/>
      <c r="S204" s="561"/>
    </row>
    <row r="205" spans="1:19" s="492" customFormat="1" ht="48.6">
      <c r="A205" s="1229" t="s">
        <v>309</v>
      </c>
      <c r="B205" s="1221" t="s">
        <v>310</v>
      </c>
      <c r="C205" s="1205">
        <v>8</v>
      </c>
      <c r="D205" s="1206" t="s">
        <v>318</v>
      </c>
      <c r="E205" s="494" t="s">
        <v>38</v>
      </c>
      <c r="F205" s="496" t="s">
        <v>316</v>
      </c>
      <c r="G205" s="494" t="s">
        <v>40</v>
      </c>
      <c r="H205" s="500">
        <v>195</v>
      </c>
      <c r="I205" s="1248">
        <v>45870</v>
      </c>
      <c r="J205" s="958">
        <v>27</v>
      </c>
      <c r="K205" s="956">
        <v>12</v>
      </c>
      <c r="L205" s="946">
        <f t="shared" ref="L205:M205" si="14">J205+L156</f>
        <v>97</v>
      </c>
      <c r="M205" s="957">
        <f t="shared" si="14"/>
        <v>28</v>
      </c>
      <c r="N205" s="943"/>
      <c r="O205" s="944" t="s">
        <v>389</v>
      </c>
      <c r="P205" s="945"/>
      <c r="Q205" s="946"/>
      <c r="R205" s="541"/>
      <c r="S205" s="561"/>
    </row>
    <row r="206" spans="1:19" s="492" customFormat="1" ht="48.6">
      <c r="A206" s="1229" t="s">
        <v>309</v>
      </c>
      <c r="B206" s="1221" t="s">
        <v>310</v>
      </c>
      <c r="C206" s="1205">
        <v>9</v>
      </c>
      <c r="D206" s="1206" t="s">
        <v>318</v>
      </c>
      <c r="E206" s="494" t="s">
        <v>136</v>
      </c>
      <c r="F206" s="496" t="s">
        <v>316</v>
      </c>
      <c r="G206" s="494" t="s">
        <v>40</v>
      </c>
      <c r="H206" s="645">
        <v>313</v>
      </c>
      <c r="I206" s="1248">
        <v>45870</v>
      </c>
      <c r="J206" s="955">
        <v>80.122</v>
      </c>
      <c r="K206" s="959">
        <v>8.94</v>
      </c>
      <c r="L206" s="946">
        <f t="shared" ref="L206:M206" si="15">J206+L157</f>
        <v>183.38</v>
      </c>
      <c r="M206" s="957">
        <f t="shared" si="15"/>
        <v>42.020999999999994</v>
      </c>
      <c r="N206" s="943"/>
      <c r="O206" s="944"/>
      <c r="P206" s="945"/>
      <c r="Q206" s="946"/>
      <c r="R206" s="541"/>
      <c r="S206" s="561"/>
    </row>
    <row r="207" spans="1:19" s="492" customFormat="1" ht="48.6">
      <c r="A207" s="1229" t="s">
        <v>309</v>
      </c>
      <c r="B207" s="1221" t="s">
        <v>319</v>
      </c>
      <c r="C207" s="1205">
        <v>10</v>
      </c>
      <c r="D207" s="1206" t="s">
        <v>320</v>
      </c>
      <c r="E207" s="494" t="s">
        <v>38</v>
      </c>
      <c r="F207" s="496" t="s">
        <v>321</v>
      </c>
      <c r="G207" s="494" t="s">
        <v>40</v>
      </c>
      <c r="H207" s="500">
        <v>0</v>
      </c>
      <c r="I207" s="1248">
        <v>45870</v>
      </c>
      <c r="J207" s="958">
        <f>IF(H207=0,0,IF(H207="-","-",ROUND(H207/12,2)))</f>
        <v>0</v>
      </c>
      <c r="K207" s="959">
        <v>0</v>
      </c>
      <c r="L207" s="971">
        <v>0</v>
      </c>
      <c r="M207" s="957">
        <v>0</v>
      </c>
      <c r="N207" s="943"/>
      <c r="O207" s="944"/>
      <c r="P207" s="945"/>
      <c r="Q207" s="946"/>
      <c r="R207" s="541"/>
      <c r="S207" s="561"/>
    </row>
    <row r="208" spans="1:19" s="492" customFormat="1" ht="48.6">
      <c r="A208" s="1229" t="s">
        <v>309</v>
      </c>
      <c r="B208" s="1221" t="s">
        <v>319</v>
      </c>
      <c r="C208" s="1205">
        <v>11</v>
      </c>
      <c r="D208" s="1206" t="s">
        <v>322</v>
      </c>
      <c r="E208" s="494" t="s">
        <v>38</v>
      </c>
      <c r="F208" s="496" t="s">
        <v>321</v>
      </c>
      <c r="G208" s="494" t="s">
        <v>40</v>
      </c>
      <c r="H208" s="500">
        <v>0</v>
      </c>
      <c r="I208" s="1248">
        <v>45870</v>
      </c>
      <c r="J208" s="958">
        <f>IF(H208=0,0,IF(H208="-","-",ROUND(H208/12,2)))</f>
        <v>0</v>
      </c>
      <c r="K208" s="959">
        <v>0</v>
      </c>
      <c r="L208" s="971">
        <v>0</v>
      </c>
      <c r="M208" s="957">
        <v>0</v>
      </c>
      <c r="N208" s="943"/>
      <c r="O208" s="944"/>
      <c r="P208" s="945"/>
      <c r="Q208" s="946"/>
      <c r="R208" s="541"/>
      <c r="S208" s="561"/>
    </row>
    <row r="209" spans="1:19" s="492" customFormat="1" ht="48.6">
      <c r="A209" s="1229" t="s">
        <v>309</v>
      </c>
      <c r="B209" s="1221" t="s">
        <v>319</v>
      </c>
      <c r="C209" s="1205">
        <v>12</v>
      </c>
      <c r="D209" s="1206" t="s">
        <v>313</v>
      </c>
      <c r="E209" s="494" t="s">
        <v>38</v>
      </c>
      <c r="F209" s="496" t="s">
        <v>321</v>
      </c>
      <c r="G209" s="494" t="s">
        <v>40</v>
      </c>
      <c r="H209" s="500">
        <v>0</v>
      </c>
      <c r="I209" s="1248">
        <v>45870</v>
      </c>
      <c r="J209" s="958">
        <f>IF(H209=0,0,IF(H209="-","-",ROUND(H209/12,2)))</f>
        <v>0</v>
      </c>
      <c r="K209" s="959">
        <v>0</v>
      </c>
      <c r="L209" s="971">
        <v>0</v>
      </c>
      <c r="M209" s="957">
        <v>4</v>
      </c>
      <c r="N209" s="943"/>
      <c r="O209" s="944"/>
      <c r="P209" s="945"/>
      <c r="Q209" s="946"/>
      <c r="R209" s="541"/>
      <c r="S209" s="561"/>
    </row>
    <row r="210" spans="1:19" s="492" customFormat="1" ht="48.6">
      <c r="A210" s="1229" t="s">
        <v>309</v>
      </c>
      <c r="B210" s="1221" t="s">
        <v>319</v>
      </c>
      <c r="C210" s="1205">
        <v>13</v>
      </c>
      <c r="D210" s="1206" t="s">
        <v>323</v>
      </c>
      <c r="E210" s="494" t="s">
        <v>38</v>
      </c>
      <c r="F210" s="496" t="s">
        <v>321</v>
      </c>
      <c r="G210" s="494" t="s">
        <v>40</v>
      </c>
      <c r="H210" s="500">
        <v>5</v>
      </c>
      <c r="I210" s="1248">
        <v>45870</v>
      </c>
      <c r="J210" s="955" t="s">
        <v>41</v>
      </c>
      <c r="K210" s="959">
        <v>0</v>
      </c>
      <c r="L210" s="946">
        <f>L161</f>
        <v>2</v>
      </c>
      <c r="M210" s="957">
        <v>3</v>
      </c>
      <c r="N210" s="943"/>
      <c r="O210" s="944"/>
      <c r="P210" s="945"/>
      <c r="Q210" s="946"/>
      <c r="R210" s="541"/>
      <c r="S210" s="561"/>
    </row>
    <row r="211" spans="1:19" s="492" customFormat="1" ht="48.6">
      <c r="A211" s="1229" t="s">
        <v>309</v>
      </c>
      <c r="B211" s="1206" t="s">
        <v>324</v>
      </c>
      <c r="C211" s="1205">
        <v>14</v>
      </c>
      <c r="D211" s="1206" t="s">
        <v>311</v>
      </c>
      <c r="E211" s="494" t="s">
        <v>38</v>
      </c>
      <c r="F211" s="496" t="s">
        <v>312</v>
      </c>
      <c r="G211" s="494" t="s">
        <v>40</v>
      </c>
      <c r="H211" s="501">
        <v>0</v>
      </c>
      <c r="I211" s="1248">
        <v>45870</v>
      </c>
      <c r="J211" s="958">
        <f>IF(H211=0,0,IF(H211="-","-",ROUND(H211/12,2)))</f>
        <v>0</v>
      </c>
      <c r="K211" s="956">
        <v>0</v>
      </c>
      <c r="L211" s="971">
        <v>0</v>
      </c>
      <c r="M211" s="972">
        <f>M162+K211</f>
        <v>0</v>
      </c>
      <c r="N211" s="943"/>
      <c r="O211" s="944"/>
      <c r="P211" s="945"/>
      <c r="Q211" s="946"/>
      <c r="R211" s="1255"/>
      <c r="S211" s="561"/>
    </row>
    <row r="212" spans="1:19" s="492" customFormat="1" ht="48.6">
      <c r="A212" s="1229" t="s">
        <v>309</v>
      </c>
      <c r="B212" s="1206" t="s">
        <v>324</v>
      </c>
      <c r="C212" s="1205">
        <v>15</v>
      </c>
      <c r="D212" s="1206" t="s">
        <v>313</v>
      </c>
      <c r="E212" s="494" t="s">
        <v>38</v>
      </c>
      <c r="F212" s="496" t="s">
        <v>312</v>
      </c>
      <c r="G212" s="494" t="s">
        <v>40</v>
      </c>
      <c r="H212" s="501">
        <v>30</v>
      </c>
      <c r="I212" s="1248">
        <v>45870</v>
      </c>
      <c r="J212" s="958">
        <f>IF(H212=0,0,IF(H212="-","-",ROUND(H212/12,2)))</f>
        <v>2.5</v>
      </c>
      <c r="K212" s="956">
        <v>1</v>
      </c>
      <c r="L212" s="971">
        <f>J212+L163</f>
        <v>10</v>
      </c>
      <c r="M212" s="972">
        <f>M163+K212</f>
        <v>17</v>
      </c>
      <c r="N212" s="943"/>
      <c r="O212" s="944"/>
      <c r="P212" s="945"/>
      <c r="Q212" s="946"/>
      <c r="R212" s="1255"/>
      <c r="S212" s="561"/>
    </row>
    <row r="213" spans="1:19" s="492" customFormat="1" ht="48.6">
      <c r="A213" s="1229" t="s">
        <v>309</v>
      </c>
      <c r="B213" s="1206" t="s">
        <v>324</v>
      </c>
      <c r="C213" s="1205">
        <v>16</v>
      </c>
      <c r="D213" s="1206" t="s">
        <v>314</v>
      </c>
      <c r="E213" s="494" t="s">
        <v>38</v>
      </c>
      <c r="F213" s="496" t="s">
        <v>312</v>
      </c>
      <c r="G213" s="494" t="s">
        <v>40</v>
      </c>
      <c r="H213" s="501">
        <v>0</v>
      </c>
      <c r="I213" s="1248">
        <v>45870</v>
      </c>
      <c r="J213" s="958">
        <f>IF(H213=0,0,IF(H213="-","-",ROUND(H213/12,2)))</f>
        <v>0</v>
      </c>
      <c r="K213" s="956">
        <v>0</v>
      </c>
      <c r="L213" s="971">
        <f>J213+L164</f>
        <v>0</v>
      </c>
      <c r="M213" s="972">
        <f>M164+K213</f>
        <v>0</v>
      </c>
      <c r="N213" s="943"/>
      <c r="O213" s="944"/>
      <c r="P213" s="945"/>
      <c r="Q213" s="946"/>
      <c r="R213" s="1255"/>
      <c r="S213" s="561"/>
    </row>
    <row r="214" spans="1:19" s="492" customFormat="1" ht="48.6">
      <c r="A214" s="1229" t="s">
        <v>309</v>
      </c>
      <c r="B214" s="1206" t="s">
        <v>325</v>
      </c>
      <c r="C214" s="1205">
        <v>17</v>
      </c>
      <c r="D214" s="1206" t="s">
        <v>326</v>
      </c>
      <c r="E214" s="494" t="s">
        <v>38</v>
      </c>
      <c r="F214" s="496" t="s">
        <v>327</v>
      </c>
      <c r="G214" s="494" t="s">
        <v>40</v>
      </c>
      <c r="H214" s="501">
        <v>0</v>
      </c>
      <c r="I214" s="1248">
        <v>45870</v>
      </c>
      <c r="J214" s="958" t="s">
        <v>41</v>
      </c>
      <c r="K214" s="956" t="s">
        <v>41</v>
      </c>
      <c r="L214" s="960" t="s">
        <v>41</v>
      </c>
      <c r="M214" s="972" t="e">
        <f>M165+K214</f>
        <v>#VALUE!</v>
      </c>
      <c r="N214" s="943"/>
      <c r="O214" s="944"/>
      <c r="P214" s="945"/>
      <c r="Q214" s="946"/>
      <c r="R214" s="541"/>
      <c r="S214" s="561"/>
    </row>
    <row r="215" spans="1:19" s="492" customFormat="1" ht="48.6">
      <c r="A215" s="1229" t="s">
        <v>309</v>
      </c>
      <c r="B215" s="1206" t="s">
        <v>325</v>
      </c>
      <c r="C215" s="1205">
        <v>18</v>
      </c>
      <c r="D215" s="1206" t="s">
        <v>326</v>
      </c>
      <c r="E215" s="494" t="s">
        <v>136</v>
      </c>
      <c r="F215" s="496" t="s">
        <v>327</v>
      </c>
      <c r="G215" s="494" t="s">
        <v>40</v>
      </c>
      <c r="H215" s="501">
        <v>0</v>
      </c>
      <c r="I215" s="1248">
        <v>45870</v>
      </c>
      <c r="J215" s="958" t="s">
        <v>41</v>
      </c>
      <c r="K215" s="956" t="s">
        <v>41</v>
      </c>
      <c r="L215" s="960" t="s">
        <v>41</v>
      </c>
      <c r="M215" s="972" t="e">
        <f>M166+K215</f>
        <v>#VALUE!</v>
      </c>
      <c r="N215" s="943"/>
      <c r="O215" s="944"/>
      <c r="P215" s="945"/>
      <c r="Q215" s="946"/>
      <c r="R215" s="541"/>
      <c r="S215" s="561"/>
    </row>
    <row r="216" spans="1:19" s="492" customFormat="1" ht="48.6">
      <c r="A216" s="1229" t="s">
        <v>309</v>
      </c>
      <c r="B216" s="1206" t="s">
        <v>325</v>
      </c>
      <c r="C216" s="1205">
        <v>19</v>
      </c>
      <c r="D216" s="1206" t="s">
        <v>328</v>
      </c>
      <c r="E216" s="494" t="s">
        <v>38</v>
      </c>
      <c r="F216" s="496" t="s">
        <v>327</v>
      </c>
      <c r="G216" s="494" t="s">
        <v>40</v>
      </c>
      <c r="H216" s="501" t="s">
        <v>41</v>
      </c>
      <c r="I216" s="1248">
        <v>45870</v>
      </c>
      <c r="J216" s="955" t="str">
        <f t="shared" ref="J216:J221" si="16">IF(H216=0,0,IF(H216="-","-",ROUND(H216/12,2)))</f>
        <v>-</v>
      </c>
      <c r="K216" s="959" t="s">
        <v>41</v>
      </c>
      <c r="L216" s="946" t="s">
        <v>41</v>
      </c>
      <c r="M216" s="983">
        <v>38</v>
      </c>
      <c r="N216" s="943"/>
      <c r="O216" s="944"/>
      <c r="P216" s="945"/>
      <c r="Q216" s="946"/>
      <c r="R216" s="541"/>
      <c r="S216" s="561"/>
    </row>
    <row r="217" spans="1:19" s="492" customFormat="1" ht="48.6">
      <c r="A217" s="1229" t="s">
        <v>309</v>
      </c>
      <c r="B217" s="1206" t="s">
        <v>325</v>
      </c>
      <c r="C217" s="1205">
        <v>20</v>
      </c>
      <c r="D217" s="1206" t="s">
        <v>328</v>
      </c>
      <c r="E217" s="494" t="s">
        <v>136</v>
      </c>
      <c r="F217" s="496" t="s">
        <v>327</v>
      </c>
      <c r="G217" s="494" t="s">
        <v>40</v>
      </c>
      <c r="H217" s="501" t="s">
        <v>41</v>
      </c>
      <c r="I217" s="1248">
        <v>45870</v>
      </c>
      <c r="J217" s="955" t="str">
        <f t="shared" si="16"/>
        <v>-</v>
      </c>
      <c r="K217" s="959" t="s">
        <v>41</v>
      </c>
      <c r="L217" s="946" t="s">
        <v>41</v>
      </c>
      <c r="M217" s="957">
        <v>121</v>
      </c>
      <c r="N217" s="943"/>
      <c r="O217" s="944"/>
      <c r="P217" s="945"/>
      <c r="Q217" s="946"/>
      <c r="R217" s="541"/>
      <c r="S217" s="561"/>
    </row>
    <row r="218" spans="1:19" s="492" customFormat="1" ht="48.6">
      <c r="A218" s="1229" t="s">
        <v>309</v>
      </c>
      <c r="B218" s="1206" t="s">
        <v>325</v>
      </c>
      <c r="C218" s="1205">
        <v>21</v>
      </c>
      <c r="D218" s="1206" t="s">
        <v>329</v>
      </c>
      <c r="E218" s="494" t="s">
        <v>38</v>
      </c>
      <c r="F218" s="496" t="s">
        <v>327</v>
      </c>
      <c r="G218" s="494" t="s">
        <v>40</v>
      </c>
      <c r="H218" s="501" t="s">
        <v>41</v>
      </c>
      <c r="I218" s="1248">
        <v>45870</v>
      </c>
      <c r="J218" s="955" t="str">
        <f t="shared" si="16"/>
        <v>-</v>
      </c>
      <c r="K218" s="959" t="s">
        <v>41</v>
      </c>
      <c r="L218" s="946" t="s">
        <v>41</v>
      </c>
      <c r="M218" s="983">
        <v>183</v>
      </c>
      <c r="N218" s="943"/>
      <c r="O218" s="961" t="s">
        <v>390</v>
      </c>
      <c r="P218" s="945" t="s">
        <v>41</v>
      </c>
      <c r="Q218" s="946" t="s">
        <v>41</v>
      </c>
      <c r="R218" s="541" t="s">
        <v>41</v>
      </c>
      <c r="S218" s="561"/>
    </row>
    <row r="219" spans="1:19" s="492" customFormat="1" ht="48.6">
      <c r="A219" s="1229" t="s">
        <v>309</v>
      </c>
      <c r="B219" s="1206" t="s">
        <v>325</v>
      </c>
      <c r="C219" s="1205">
        <v>22</v>
      </c>
      <c r="D219" s="1206" t="s">
        <v>329</v>
      </c>
      <c r="E219" s="494" t="s">
        <v>136</v>
      </c>
      <c r="F219" s="496" t="s">
        <v>327</v>
      </c>
      <c r="G219" s="494" t="s">
        <v>40</v>
      </c>
      <c r="H219" s="501" t="s">
        <v>41</v>
      </c>
      <c r="I219" s="1248">
        <v>45870</v>
      </c>
      <c r="J219" s="955" t="str">
        <f t="shared" si="16"/>
        <v>-</v>
      </c>
      <c r="K219" s="959" t="s">
        <v>41</v>
      </c>
      <c r="L219" s="946" t="s">
        <v>41</v>
      </c>
      <c r="M219" s="957">
        <v>99.6</v>
      </c>
      <c r="N219" s="943"/>
      <c r="O219" s="944"/>
      <c r="P219" s="945" t="s">
        <v>41</v>
      </c>
      <c r="Q219" s="946" t="s">
        <v>41</v>
      </c>
      <c r="R219" s="541" t="s">
        <v>41</v>
      </c>
      <c r="S219" s="561"/>
    </row>
    <row r="220" spans="1:19" s="492" customFormat="1" ht="48.6">
      <c r="A220" s="1229" t="s">
        <v>309</v>
      </c>
      <c r="B220" s="1206" t="s">
        <v>325</v>
      </c>
      <c r="C220" s="1205">
        <v>23</v>
      </c>
      <c r="D220" s="1206" t="s">
        <v>330</v>
      </c>
      <c r="E220" s="494" t="s">
        <v>38</v>
      </c>
      <c r="F220" s="496" t="s">
        <v>327</v>
      </c>
      <c r="G220" s="494" t="s">
        <v>40</v>
      </c>
      <c r="H220" s="501" t="s">
        <v>41</v>
      </c>
      <c r="I220" s="1248">
        <v>45870</v>
      </c>
      <c r="J220" s="955" t="str">
        <f t="shared" si="16"/>
        <v>-</v>
      </c>
      <c r="K220" s="959" t="s">
        <v>41</v>
      </c>
      <c r="L220" s="946" t="s">
        <v>41</v>
      </c>
      <c r="M220" s="983">
        <v>148</v>
      </c>
      <c r="N220" s="943"/>
      <c r="O220" s="961" t="s">
        <v>391</v>
      </c>
      <c r="P220" s="945" t="s">
        <v>41</v>
      </c>
      <c r="Q220" s="946" t="s">
        <v>41</v>
      </c>
      <c r="R220" s="541" t="s">
        <v>41</v>
      </c>
      <c r="S220" s="561"/>
    </row>
    <row r="221" spans="1:19" s="492" customFormat="1" ht="48.6">
      <c r="A221" s="1229" t="s">
        <v>309</v>
      </c>
      <c r="B221" s="1206" t="s">
        <v>325</v>
      </c>
      <c r="C221" s="1205">
        <v>24</v>
      </c>
      <c r="D221" s="1206" t="s">
        <v>330</v>
      </c>
      <c r="E221" s="494" t="s">
        <v>136</v>
      </c>
      <c r="F221" s="496" t="s">
        <v>327</v>
      </c>
      <c r="G221" s="494" t="s">
        <v>40</v>
      </c>
      <c r="H221" s="501" t="s">
        <v>41</v>
      </c>
      <c r="I221" s="1248">
        <v>45870</v>
      </c>
      <c r="J221" s="955" t="str">
        <f t="shared" si="16"/>
        <v>-</v>
      </c>
      <c r="K221" s="959" t="s">
        <v>41</v>
      </c>
      <c r="L221" s="946" t="s">
        <v>41</v>
      </c>
      <c r="M221" s="957">
        <v>122.35</v>
      </c>
      <c r="N221" s="943"/>
      <c r="O221" s="944"/>
      <c r="P221" s="945" t="s">
        <v>41</v>
      </c>
      <c r="Q221" s="946" t="s">
        <v>41</v>
      </c>
      <c r="R221" s="541" t="s">
        <v>41</v>
      </c>
      <c r="S221" s="561"/>
    </row>
    <row r="222" spans="1:19" s="492" customFormat="1" ht="48.6">
      <c r="A222" s="1229" t="s">
        <v>309</v>
      </c>
      <c r="B222" s="1206" t="s">
        <v>325</v>
      </c>
      <c r="C222" s="1205">
        <v>25</v>
      </c>
      <c r="D222" s="1206" t="s">
        <v>331</v>
      </c>
      <c r="E222" s="494" t="s">
        <v>38</v>
      </c>
      <c r="F222" s="496" t="s">
        <v>327</v>
      </c>
      <c r="G222" s="494" t="s">
        <v>392</v>
      </c>
      <c r="H222" s="501">
        <v>0</v>
      </c>
      <c r="I222" s="1248">
        <v>45870</v>
      </c>
      <c r="J222" s="958" t="s">
        <v>41</v>
      </c>
      <c r="K222" s="959" t="s">
        <v>41</v>
      </c>
      <c r="L222" s="971">
        <v>0</v>
      </c>
      <c r="M222" s="972">
        <v>5</v>
      </c>
      <c r="N222" s="943"/>
      <c r="O222" s="2592" t="s">
        <v>393</v>
      </c>
      <c r="P222" s="945"/>
      <c r="Q222" s="946" t="s">
        <v>41</v>
      </c>
      <c r="R222" s="541" t="s">
        <v>41</v>
      </c>
      <c r="S222" s="561"/>
    </row>
    <row r="223" spans="1:19" s="492" customFormat="1" ht="48.6">
      <c r="A223" s="1229" t="s">
        <v>309</v>
      </c>
      <c r="B223" s="1206" t="s">
        <v>325</v>
      </c>
      <c r="C223" s="1205">
        <v>26</v>
      </c>
      <c r="D223" s="1216" t="s">
        <v>331</v>
      </c>
      <c r="E223" s="494" t="s">
        <v>136</v>
      </c>
      <c r="F223" s="496" t="s">
        <v>327</v>
      </c>
      <c r="G223" s="494" t="s">
        <v>392</v>
      </c>
      <c r="H223" s="501">
        <v>0</v>
      </c>
      <c r="I223" s="1248">
        <v>45870</v>
      </c>
      <c r="J223" s="958" t="s">
        <v>41</v>
      </c>
      <c r="K223" s="959" t="s">
        <v>41</v>
      </c>
      <c r="L223" s="971">
        <v>0</v>
      </c>
      <c r="M223" s="957">
        <v>3.2</v>
      </c>
      <c r="N223" s="943"/>
      <c r="O223" s="2592"/>
      <c r="P223" s="945" t="s">
        <v>41</v>
      </c>
      <c r="Q223" s="946" t="s">
        <v>41</v>
      </c>
      <c r="R223" s="541" t="s">
        <v>41</v>
      </c>
      <c r="S223" s="561"/>
    </row>
    <row r="224" spans="1:19" s="492" customFormat="1" ht="48.6">
      <c r="A224" s="1229" t="s">
        <v>309</v>
      </c>
      <c r="B224" s="1206" t="s">
        <v>325</v>
      </c>
      <c r="C224" s="1205">
        <v>27</v>
      </c>
      <c r="D224" s="1216" t="s">
        <v>334</v>
      </c>
      <c r="E224" s="494" t="s">
        <v>38</v>
      </c>
      <c r="F224" s="496" t="s">
        <v>327</v>
      </c>
      <c r="G224" s="494" t="s">
        <v>332</v>
      </c>
      <c r="H224" s="501">
        <v>0</v>
      </c>
      <c r="I224" s="1248">
        <v>45870</v>
      </c>
      <c r="J224" s="958" t="s">
        <v>41</v>
      </c>
      <c r="K224" s="959" t="s">
        <v>41</v>
      </c>
      <c r="L224" s="971">
        <v>0</v>
      </c>
      <c r="M224" s="972">
        <v>13</v>
      </c>
      <c r="N224" s="943"/>
      <c r="O224" s="2592" t="s">
        <v>394</v>
      </c>
      <c r="P224" s="945" t="s">
        <v>41</v>
      </c>
      <c r="Q224" s="946" t="s">
        <v>41</v>
      </c>
      <c r="R224" s="541" t="s">
        <v>41</v>
      </c>
      <c r="S224" s="561"/>
    </row>
    <row r="225" spans="1:19" s="492" customFormat="1" ht="48.6">
      <c r="A225" s="1229" t="s">
        <v>309</v>
      </c>
      <c r="B225" s="1206" t="s">
        <v>325</v>
      </c>
      <c r="C225" s="1205">
        <v>28</v>
      </c>
      <c r="D225" s="1216" t="s">
        <v>334</v>
      </c>
      <c r="E225" s="494" t="s">
        <v>136</v>
      </c>
      <c r="F225" s="496" t="s">
        <v>327</v>
      </c>
      <c r="G225" s="494" t="s">
        <v>332</v>
      </c>
      <c r="H225" s="501">
        <v>0</v>
      </c>
      <c r="I225" s="1248">
        <v>45870</v>
      </c>
      <c r="J225" s="958" t="s">
        <v>41</v>
      </c>
      <c r="K225" s="959" t="s">
        <v>41</v>
      </c>
      <c r="L225" s="971">
        <v>0</v>
      </c>
      <c r="M225" s="957">
        <v>9.9</v>
      </c>
      <c r="N225" s="943"/>
      <c r="O225" s="2593"/>
      <c r="P225" s="945" t="s">
        <v>41</v>
      </c>
      <c r="Q225" s="946" t="s">
        <v>41</v>
      </c>
      <c r="R225" s="541" t="s">
        <v>41</v>
      </c>
      <c r="S225" s="561"/>
    </row>
    <row r="226" spans="1:19" s="492" customFormat="1" ht="97.2">
      <c r="A226" s="1229" t="s">
        <v>309</v>
      </c>
      <c r="B226" s="1206" t="s">
        <v>325</v>
      </c>
      <c r="C226" s="1205">
        <v>29</v>
      </c>
      <c r="D226" s="1206" t="s">
        <v>336</v>
      </c>
      <c r="E226" s="494" t="s">
        <v>38</v>
      </c>
      <c r="F226" s="496" t="s">
        <v>316</v>
      </c>
      <c r="G226" s="494" t="s">
        <v>40</v>
      </c>
      <c r="H226" s="501">
        <v>0</v>
      </c>
      <c r="I226" s="1248">
        <v>45870</v>
      </c>
      <c r="J226" s="958">
        <f>IF(H226=0,0,IF(H226="-","-",ROUND(H226/12,2)))</f>
        <v>0</v>
      </c>
      <c r="K226" s="959">
        <v>4</v>
      </c>
      <c r="L226" s="971">
        <v>0</v>
      </c>
      <c r="M226" s="972">
        <f>K226</f>
        <v>4</v>
      </c>
      <c r="N226" s="943"/>
      <c r="O226" s="1579" t="s">
        <v>395</v>
      </c>
      <c r="P226" s="945" t="s">
        <v>41</v>
      </c>
      <c r="Q226" s="946" t="s">
        <v>41</v>
      </c>
      <c r="R226" s="541" t="s">
        <v>41</v>
      </c>
      <c r="S226" s="561"/>
    </row>
    <row r="227" spans="1:19" s="492" customFormat="1" ht="48.6">
      <c r="A227" s="1229" t="s">
        <v>309</v>
      </c>
      <c r="B227" s="1206" t="s">
        <v>325</v>
      </c>
      <c r="C227" s="1205">
        <v>30</v>
      </c>
      <c r="D227" s="1206" t="s">
        <v>336</v>
      </c>
      <c r="E227" s="494" t="s">
        <v>136</v>
      </c>
      <c r="F227" s="496" t="s">
        <v>316</v>
      </c>
      <c r="G227" s="494" t="s">
        <v>40</v>
      </c>
      <c r="H227" s="501">
        <v>0</v>
      </c>
      <c r="I227" s="1248">
        <v>45870</v>
      </c>
      <c r="J227" s="958">
        <f>IF(H227=0,0,IF(H227="-","-",ROUND(H227/12,2)))</f>
        <v>0</v>
      </c>
      <c r="K227" s="959">
        <v>1.46</v>
      </c>
      <c r="L227" s="971">
        <v>0</v>
      </c>
      <c r="M227" s="957">
        <f>K227</f>
        <v>1.46</v>
      </c>
      <c r="N227" s="943"/>
      <c r="O227" s="944"/>
      <c r="P227" s="945" t="s">
        <v>41</v>
      </c>
      <c r="Q227" s="946" t="s">
        <v>41</v>
      </c>
      <c r="R227" s="541" t="s">
        <v>41</v>
      </c>
      <c r="S227" s="561"/>
    </row>
    <row r="228" spans="1:19" s="492" customFormat="1" ht="48.6">
      <c r="A228" s="1229" t="s">
        <v>309</v>
      </c>
      <c r="B228" s="1206" t="s">
        <v>325</v>
      </c>
      <c r="C228" s="1205">
        <v>31</v>
      </c>
      <c r="D228" s="1206" t="s">
        <v>338</v>
      </c>
      <c r="E228" s="494" t="s">
        <v>38</v>
      </c>
      <c r="F228" s="496" t="s">
        <v>316</v>
      </c>
      <c r="G228" s="494" t="s">
        <v>40</v>
      </c>
      <c r="H228" s="501">
        <v>0</v>
      </c>
      <c r="I228" s="1248">
        <v>45870</v>
      </c>
      <c r="J228" s="958">
        <f>IF(H228=0,0,IF(H228="-","-",ROUND(H228/12,2)))</f>
        <v>0</v>
      </c>
      <c r="K228" s="959">
        <v>9</v>
      </c>
      <c r="L228" s="971">
        <v>0</v>
      </c>
      <c r="M228" s="957">
        <f>K228</f>
        <v>9</v>
      </c>
      <c r="N228" s="943"/>
      <c r="O228" s="944" t="s">
        <v>396</v>
      </c>
      <c r="P228" s="945" t="s">
        <v>41</v>
      </c>
      <c r="Q228" s="946" t="s">
        <v>41</v>
      </c>
      <c r="R228" s="541" t="s">
        <v>41</v>
      </c>
      <c r="S228" s="561"/>
    </row>
    <row r="229" spans="1:19" s="492" customFormat="1" ht="48.6">
      <c r="A229" s="1229" t="s">
        <v>309</v>
      </c>
      <c r="B229" s="1206" t="s">
        <v>325</v>
      </c>
      <c r="C229" s="1205">
        <v>32</v>
      </c>
      <c r="D229" s="1206" t="s">
        <v>338</v>
      </c>
      <c r="E229" s="494" t="s">
        <v>136</v>
      </c>
      <c r="F229" s="496" t="s">
        <v>316</v>
      </c>
      <c r="G229" s="494" t="s">
        <v>40</v>
      </c>
      <c r="H229" s="501">
        <v>0</v>
      </c>
      <c r="I229" s="1248">
        <v>45870</v>
      </c>
      <c r="J229" s="958">
        <f>IF(H229=0,0,IF(H229="-","-",ROUND(H229/12,2)))</f>
        <v>0</v>
      </c>
      <c r="K229" s="959">
        <v>2.29</v>
      </c>
      <c r="L229" s="971">
        <v>0</v>
      </c>
      <c r="M229" s="957">
        <f>K229</f>
        <v>2.29</v>
      </c>
      <c r="N229" s="943"/>
      <c r="O229" s="944" t="s">
        <v>396</v>
      </c>
      <c r="P229" s="945" t="s">
        <v>41</v>
      </c>
      <c r="Q229" s="946" t="s">
        <v>41</v>
      </c>
      <c r="R229" s="541" t="s">
        <v>41</v>
      </c>
      <c r="S229" s="561"/>
    </row>
    <row r="230" spans="1:19" s="492" customFormat="1" ht="48.6">
      <c r="A230" s="1229" t="s">
        <v>309</v>
      </c>
      <c r="B230" s="1206" t="s">
        <v>325</v>
      </c>
      <c r="C230" s="1205">
        <v>33</v>
      </c>
      <c r="D230" s="1206" t="s">
        <v>339</v>
      </c>
      <c r="E230" s="494" t="s">
        <v>133</v>
      </c>
      <c r="F230" s="496" t="s">
        <v>340</v>
      </c>
      <c r="G230" s="494" t="s">
        <v>341</v>
      </c>
      <c r="H230" s="502">
        <v>5.0000000000000001E-3</v>
      </c>
      <c r="I230" s="1248">
        <v>45870</v>
      </c>
      <c r="J230" s="958" t="s">
        <v>41</v>
      </c>
      <c r="K230" s="959" t="s">
        <v>41</v>
      </c>
      <c r="L230" s="962" t="s">
        <v>41</v>
      </c>
      <c r="M230" s="957" t="s">
        <v>41</v>
      </c>
      <c r="N230" s="943"/>
      <c r="O230" s="944"/>
      <c r="P230" s="945" t="s">
        <v>41</v>
      </c>
      <c r="Q230" s="946" t="s">
        <v>41</v>
      </c>
      <c r="R230" s="541" t="s">
        <v>41</v>
      </c>
      <c r="S230" s="561"/>
    </row>
    <row r="231" spans="1:19" s="492" customFormat="1" ht="48.6">
      <c r="A231" s="1229" t="s">
        <v>309</v>
      </c>
      <c r="B231" s="1206" t="s">
        <v>325</v>
      </c>
      <c r="C231" s="1205">
        <v>34</v>
      </c>
      <c r="D231" s="1206" t="s">
        <v>339</v>
      </c>
      <c r="E231" s="494" t="s">
        <v>136</v>
      </c>
      <c r="F231" s="496" t="s">
        <v>340</v>
      </c>
      <c r="G231" s="494" t="s">
        <v>341</v>
      </c>
      <c r="H231" s="503" t="s">
        <v>41</v>
      </c>
      <c r="I231" s="1248">
        <v>45870</v>
      </c>
      <c r="J231" s="955" t="str">
        <f>IF(H231=0,0,IF(H231="-","-",ROUND(H231/12,2)))</f>
        <v>-</v>
      </c>
      <c r="K231" s="959" t="s">
        <v>41</v>
      </c>
      <c r="L231" s="962" t="s">
        <v>41</v>
      </c>
      <c r="M231" s="957" t="s">
        <v>41</v>
      </c>
      <c r="N231" s="943"/>
      <c r="O231" s="944"/>
      <c r="P231" s="945" t="s">
        <v>41</v>
      </c>
      <c r="Q231" s="946" t="s">
        <v>41</v>
      </c>
      <c r="R231" s="541" t="s">
        <v>41</v>
      </c>
      <c r="S231" s="561"/>
    </row>
    <row r="232" spans="1:19" s="492" customFormat="1" ht="48.6">
      <c r="A232" s="1229" t="s">
        <v>309</v>
      </c>
      <c r="B232" s="1206" t="s">
        <v>325</v>
      </c>
      <c r="C232" s="1205">
        <v>35</v>
      </c>
      <c r="D232" s="1206" t="s">
        <v>342</v>
      </c>
      <c r="E232" s="494" t="s">
        <v>133</v>
      </c>
      <c r="F232" s="496" t="s">
        <v>106</v>
      </c>
      <c r="G232" s="494" t="s">
        <v>285</v>
      </c>
      <c r="H232" s="504">
        <v>3.5000000000000003E-2</v>
      </c>
      <c r="I232" s="1248">
        <v>45870</v>
      </c>
      <c r="J232" s="974">
        <v>3.5700000000000003E-2</v>
      </c>
      <c r="K232" s="975">
        <v>3.1300000000000001E-2</v>
      </c>
      <c r="L232" s="976">
        <f>J232</f>
        <v>3.5700000000000003E-2</v>
      </c>
      <c r="M232" s="975">
        <v>3.1300000000000001E-2</v>
      </c>
      <c r="N232" s="943"/>
      <c r="O232" s="944"/>
      <c r="P232" s="945" t="s">
        <v>41</v>
      </c>
      <c r="Q232" s="946" t="s">
        <v>41</v>
      </c>
      <c r="R232" s="541" t="s">
        <v>41</v>
      </c>
      <c r="S232" s="561"/>
    </row>
    <row r="233" spans="1:19" s="492" customFormat="1" ht="48.6">
      <c r="A233" s="1229" t="s">
        <v>309</v>
      </c>
      <c r="B233" s="1206" t="s">
        <v>325</v>
      </c>
      <c r="C233" s="1205">
        <v>36</v>
      </c>
      <c r="D233" s="1206" t="s">
        <v>342</v>
      </c>
      <c r="E233" s="494" t="s">
        <v>136</v>
      </c>
      <c r="F233" s="496" t="s">
        <v>106</v>
      </c>
      <c r="G233" s="494" t="s">
        <v>285</v>
      </c>
      <c r="H233" s="506">
        <v>642.05999999999995</v>
      </c>
      <c r="I233" s="1248">
        <v>45870</v>
      </c>
      <c r="J233" s="955">
        <v>654.99250000000018</v>
      </c>
      <c r="K233" s="959">
        <v>597</v>
      </c>
      <c r="L233" s="946">
        <f>J233</f>
        <v>654.99250000000018</v>
      </c>
      <c r="M233" s="959">
        <v>597</v>
      </c>
      <c r="N233" s="943"/>
      <c r="O233" s="944"/>
      <c r="P233" s="945" t="s">
        <v>41</v>
      </c>
      <c r="Q233" s="946" t="s">
        <v>41</v>
      </c>
      <c r="R233" s="541" t="s">
        <v>41</v>
      </c>
      <c r="S233" s="561"/>
    </row>
    <row r="234" spans="1:19" s="492" customFormat="1" ht="48.6">
      <c r="A234" s="1229" t="s">
        <v>309</v>
      </c>
      <c r="B234" s="1206" t="s">
        <v>325</v>
      </c>
      <c r="C234" s="1205">
        <v>37</v>
      </c>
      <c r="D234" s="1206" t="s">
        <v>343</v>
      </c>
      <c r="E234" s="494" t="s">
        <v>38</v>
      </c>
      <c r="F234" s="496" t="s">
        <v>105</v>
      </c>
      <c r="G234" s="494"/>
      <c r="H234" s="500" t="s">
        <v>41</v>
      </c>
      <c r="I234" s="1248">
        <v>45870</v>
      </c>
      <c r="J234" s="955" t="s">
        <v>41</v>
      </c>
      <c r="K234" s="959" t="s">
        <v>41</v>
      </c>
      <c r="L234" s="946" t="s">
        <v>41</v>
      </c>
      <c r="M234" s="959" t="s">
        <v>41</v>
      </c>
      <c r="N234" s="943"/>
      <c r="O234" s="944"/>
      <c r="P234" s="945" t="s">
        <v>41</v>
      </c>
      <c r="Q234" s="946" t="s">
        <v>41</v>
      </c>
      <c r="R234" s="541" t="s">
        <v>41</v>
      </c>
      <c r="S234" s="561"/>
    </row>
    <row r="235" spans="1:19" s="492" customFormat="1" ht="48.6">
      <c r="A235" s="1229" t="s">
        <v>309</v>
      </c>
      <c r="B235" s="1206" t="s">
        <v>325</v>
      </c>
      <c r="C235" s="1205">
        <v>38</v>
      </c>
      <c r="D235" s="1206" t="s">
        <v>343</v>
      </c>
      <c r="E235" s="494" t="s">
        <v>136</v>
      </c>
      <c r="F235" s="496" t="s">
        <v>105</v>
      </c>
      <c r="G235" s="494"/>
      <c r="H235" s="505">
        <f>84578725.86/10^6</f>
        <v>84.578725860000006</v>
      </c>
      <c r="I235" s="1248">
        <v>45870</v>
      </c>
      <c r="J235" s="955">
        <f>25920790.6/10^6</f>
        <v>25.9207906</v>
      </c>
      <c r="K235" s="959">
        <f>19870010.07/10^6</f>
        <v>19.870010069999999</v>
      </c>
      <c r="L235" s="946">
        <f>L186+J235</f>
        <v>68.550528209999996</v>
      </c>
      <c r="M235" s="959">
        <f>K235+M186</f>
        <v>27.271894799999998</v>
      </c>
      <c r="N235" s="943"/>
      <c r="O235" s="944"/>
      <c r="P235" s="945" t="s">
        <v>41</v>
      </c>
      <c r="Q235" s="946" t="s">
        <v>41</v>
      </c>
      <c r="R235" s="541" t="s">
        <v>41</v>
      </c>
      <c r="S235" s="561"/>
    </row>
    <row r="236" spans="1:19" s="492" customFormat="1" ht="48.6">
      <c r="A236" s="1229" t="s">
        <v>309</v>
      </c>
      <c r="B236" s="1206" t="s">
        <v>325</v>
      </c>
      <c r="C236" s="1205">
        <v>39</v>
      </c>
      <c r="D236" s="1206" t="s">
        <v>344</v>
      </c>
      <c r="E236" s="494" t="s">
        <v>136</v>
      </c>
      <c r="F236" s="496" t="s">
        <v>110</v>
      </c>
      <c r="G236" s="494" t="s">
        <v>345</v>
      </c>
      <c r="H236" s="500">
        <v>3.17</v>
      </c>
      <c r="I236" s="1248">
        <v>45870</v>
      </c>
      <c r="J236" s="977" t="s">
        <v>41</v>
      </c>
      <c r="K236" s="959"/>
      <c r="L236" s="986" t="s">
        <v>41</v>
      </c>
      <c r="M236" s="959" t="s">
        <v>41</v>
      </c>
      <c r="N236" s="943"/>
      <c r="O236" s="944"/>
      <c r="P236" s="945" t="s">
        <v>41</v>
      </c>
      <c r="Q236" s="946" t="s">
        <v>41</v>
      </c>
      <c r="R236" s="541" t="s">
        <v>41</v>
      </c>
      <c r="S236" s="561"/>
    </row>
    <row r="237" spans="1:19" s="492" customFormat="1" ht="48.6">
      <c r="A237" s="1229" t="s">
        <v>309</v>
      </c>
      <c r="B237" s="1206" t="s">
        <v>325</v>
      </c>
      <c r="C237" s="1205">
        <v>40</v>
      </c>
      <c r="D237" s="1206" t="s">
        <v>346</v>
      </c>
      <c r="E237" s="494" t="s">
        <v>136</v>
      </c>
      <c r="F237" s="496" t="s">
        <v>110</v>
      </c>
      <c r="G237" s="494" t="s">
        <v>345</v>
      </c>
      <c r="H237" s="500">
        <v>5.84</v>
      </c>
      <c r="I237" s="1248">
        <v>45870</v>
      </c>
      <c r="J237" s="977" t="s">
        <v>41</v>
      </c>
      <c r="K237" s="959"/>
      <c r="L237" s="986" t="s">
        <v>41</v>
      </c>
      <c r="M237" s="959" t="s">
        <v>41</v>
      </c>
      <c r="N237" s="943"/>
      <c r="O237" s="944"/>
      <c r="P237" s="945" t="s">
        <v>41</v>
      </c>
      <c r="Q237" s="946" t="s">
        <v>41</v>
      </c>
      <c r="R237" s="541" t="s">
        <v>41</v>
      </c>
      <c r="S237" s="561"/>
    </row>
    <row r="238" spans="1:19" s="492" customFormat="1" ht="48.6">
      <c r="A238" s="1229" t="s">
        <v>309</v>
      </c>
      <c r="B238" s="1206" t="s">
        <v>325</v>
      </c>
      <c r="C238" s="1205">
        <v>41</v>
      </c>
      <c r="D238" s="1206" t="s">
        <v>347</v>
      </c>
      <c r="E238" s="494" t="s">
        <v>38</v>
      </c>
      <c r="F238" s="496" t="s">
        <v>106</v>
      </c>
      <c r="G238" s="494" t="s">
        <v>285</v>
      </c>
      <c r="H238" s="500" t="s">
        <v>41</v>
      </c>
      <c r="I238" s="1248">
        <v>45870</v>
      </c>
      <c r="J238" s="955" t="s">
        <v>41</v>
      </c>
      <c r="K238" s="959" t="s">
        <v>41</v>
      </c>
      <c r="L238" s="962" t="s">
        <v>41</v>
      </c>
      <c r="M238" s="959" t="s">
        <v>41</v>
      </c>
      <c r="N238" s="943"/>
      <c r="O238" s="944" t="s">
        <v>387</v>
      </c>
      <c r="P238" s="945"/>
      <c r="Q238" s="946"/>
      <c r="R238" s="541"/>
      <c r="S238" s="561"/>
    </row>
    <row r="239" spans="1:19" s="492" customFormat="1" ht="48.6">
      <c r="A239" s="1229" t="s">
        <v>309</v>
      </c>
      <c r="B239" s="1206" t="s">
        <v>325</v>
      </c>
      <c r="C239" s="1205">
        <v>42</v>
      </c>
      <c r="D239" s="1206" t="s">
        <v>347</v>
      </c>
      <c r="E239" s="494" t="s">
        <v>136</v>
      </c>
      <c r="F239" s="496" t="s">
        <v>106</v>
      </c>
      <c r="G239" s="494" t="s">
        <v>285</v>
      </c>
      <c r="H239" s="506">
        <v>155.07</v>
      </c>
      <c r="I239" s="1248">
        <v>45870</v>
      </c>
      <c r="J239" s="955" t="s">
        <v>41</v>
      </c>
      <c r="K239" s="959" t="s">
        <v>41</v>
      </c>
      <c r="L239" s="962" t="s">
        <v>41</v>
      </c>
      <c r="M239" s="959" t="s">
        <v>41</v>
      </c>
      <c r="N239" s="943"/>
      <c r="O239" s="944" t="s">
        <v>387</v>
      </c>
      <c r="P239" s="945"/>
      <c r="Q239" s="946"/>
      <c r="R239" s="541"/>
      <c r="S239" s="561"/>
    </row>
    <row r="240" spans="1:19" s="492" customFormat="1" ht="48.6">
      <c r="A240" s="1229" t="s">
        <v>309</v>
      </c>
      <c r="B240" s="1206" t="s">
        <v>325</v>
      </c>
      <c r="C240" s="1205">
        <v>43</v>
      </c>
      <c r="D240" s="1206" t="s">
        <v>349</v>
      </c>
      <c r="E240" s="494" t="s">
        <v>136</v>
      </c>
      <c r="F240" s="496" t="s">
        <v>340</v>
      </c>
      <c r="G240" s="494" t="s">
        <v>134</v>
      </c>
      <c r="H240" s="500">
        <v>5.4</v>
      </c>
      <c r="I240" s="1248">
        <v>45870</v>
      </c>
      <c r="J240" s="955" t="s">
        <v>41</v>
      </c>
      <c r="K240" s="959"/>
      <c r="L240" s="946" t="s">
        <v>41</v>
      </c>
      <c r="M240" s="957"/>
      <c r="N240" s="943"/>
      <c r="O240" s="944"/>
      <c r="P240" s="945"/>
      <c r="Q240" s="946"/>
      <c r="R240" s="541"/>
      <c r="S240" s="561"/>
    </row>
    <row r="241" spans="1:19" s="492" customFormat="1" ht="48.6">
      <c r="A241" s="1229" t="s">
        <v>309</v>
      </c>
      <c r="B241" s="1206" t="s">
        <v>325</v>
      </c>
      <c r="C241" s="1205">
        <v>44</v>
      </c>
      <c r="D241" s="1206" t="s">
        <v>350</v>
      </c>
      <c r="E241" s="494" t="s">
        <v>38</v>
      </c>
      <c r="F241" s="496" t="s">
        <v>106</v>
      </c>
      <c r="G241" s="494" t="s">
        <v>134</v>
      </c>
      <c r="H241" s="500" t="s">
        <v>41</v>
      </c>
      <c r="I241" s="1248">
        <v>45870</v>
      </c>
      <c r="J241" s="955" t="s">
        <v>41</v>
      </c>
      <c r="K241" s="959" t="s">
        <v>41</v>
      </c>
      <c r="L241" s="946" t="s">
        <v>41</v>
      </c>
      <c r="M241" s="957" t="s">
        <v>41</v>
      </c>
      <c r="N241" s="943"/>
      <c r="O241" s="944" t="s">
        <v>361</v>
      </c>
      <c r="P241" s="945"/>
      <c r="Q241" s="946"/>
      <c r="R241" s="541"/>
      <c r="S241" s="561"/>
    </row>
    <row r="242" spans="1:19" s="492" customFormat="1" ht="48.6">
      <c r="A242" s="1229" t="s">
        <v>309</v>
      </c>
      <c r="B242" s="1206" t="s">
        <v>325</v>
      </c>
      <c r="C242" s="1205">
        <v>45</v>
      </c>
      <c r="D242" s="1206" t="s">
        <v>350</v>
      </c>
      <c r="E242" s="494" t="s">
        <v>136</v>
      </c>
      <c r="F242" s="496" t="s">
        <v>106</v>
      </c>
      <c r="G242" s="494" t="s">
        <v>134</v>
      </c>
      <c r="H242" s="506">
        <v>3</v>
      </c>
      <c r="I242" s="1248">
        <v>45870</v>
      </c>
      <c r="J242" s="955" t="s">
        <v>41</v>
      </c>
      <c r="K242" s="959" t="s">
        <v>41</v>
      </c>
      <c r="L242" s="946" t="s">
        <v>41</v>
      </c>
      <c r="M242" s="957" t="s">
        <v>41</v>
      </c>
      <c r="N242" s="943"/>
      <c r="O242" s="944" t="s">
        <v>361</v>
      </c>
      <c r="P242" s="945"/>
      <c r="Q242" s="946"/>
      <c r="R242" s="541"/>
      <c r="S242" s="561"/>
    </row>
    <row r="243" spans="1:19" s="492" customFormat="1" ht="48.6">
      <c r="A243" s="1229" t="s">
        <v>309</v>
      </c>
      <c r="B243" s="1221" t="s">
        <v>351</v>
      </c>
      <c r="C243" s="1205">
        <v>46</v>
      </c>
      <c r="D243" s="1227" t="s">
        <v>352</v>
      </c>
      <c r="E243" s="494" t="s">
        <v>353</v>
      </c>
      <c r="F243" s="496" t="s">
        <v>312</v>
      </c>
      <c r="G243" s="497" t="s">
        <v>40</v>
      </c>
      <c r="H243" s="500">
        <v>1.2</v>
      </c>
      <c r="I243" s="1248">
        <v>45870</v>
      </c>
      <c r="J243" s="955" t="s">
        <v>41</v>
      </c>
      <c r="K243" s="959"/>
      <c r="L243" s="962" t="s">
        <v>41</v>
      </c>
      <c r="M243" s="957"/>
      <c r="N243" s="943"/>
      <c r="O243" s="944"/>
      <c r="P243" s="945"/>
      <c r="Q243" s="946"/>
      <c r="R243" s="541"/>
      <c r="S243" s="561"/>
    </row>
    <row r="244" spans="1:19" s="492" customFormat="1" ht="48.6">
      <c r="A244" s="1229" t="s">
        <v>309</v>
      </c>
      <c r="B244" s="1221" t="s">
        <v>354</v>
      </c>
      <c r="C244" s="1205">
        <v>47</v>
      </c>
      <c r="D244" s="1221" t="s">
        <v>355</v>
      </c>
      <c r="E244" s="494" t="s">
        <v>353</v>
      </c>
      <c r="F244" s="496" t="s">
        <v>327</v>
      </c>
      <c r="G244" s="497" t="s">
        <v>40</v>
      </c>
      <c r="H244" s="501">
        <v>0</v>
      </c>
      <c r="I244" s="1248">
        <v>45870</v>
      </c>
      <c r="J244" s="958" t="s">
        <v>41</v>
      </c>
      <c r="K244" s="956" t="s">
        <v>41</v>
      </c>
      <c r="L244" s="960">
        <v>0</v>
      </c>
      <c r="M244" s="957">
        <v>4.71</v>
      </c>
      <c r="N244" s="943"/>
      <c r="O244" s="944"/>
      <c r="P244" s="945"/>
      <c r="Q244" s="946"/>
      <c r="R244" s="541"/>
      <c r="S244" s="561"/>
    </row>
    <row r="245" spans="1:19" s="492" customFormat="1" ht="48.6">
      <c r="A245" s="1229" t="s">
        <v>309</v>
      </c>
      <c r="B245" s="1221" t="s">
        <v>356</v>
      </c>
      <c r="C245" s="1205">
        <v>48</v>
      </c>
      <c r="D245" s="1221" t="s">
        <v>355</v>
      </c>
      <c r="E245" s="494" t="s">
        <v>353</v>
      </c>
      <c r="F245" s="496" t="s">
        <v>321</v>
      </c>
      <c r="G245" s="497" t="s">
        <v>40</v>
      </c>
      <c r="H245" s="501">
        <v>0</v>
      </c>
      <c r="I245" s="1248">
        <v>45870</v>
      </c>
      <c r="J245" s="955" t="s">
        <v>41</v>
      </c>
      <c r="K245" s="959">
        <v>0</v>
      </c>
      <c r="L245" s="962" t="s">
        <v>41</v>
      </c>
      <c r="M245" s="957" t="s">
        <v>41</v>
      </c>
      <c r="N245" s="943"/>
      <c r="O245" s="944"/>
      <c r="P245" s="945"/>
      <c r="Q245" s="946"/>
      <c r="R245" s="541"/>
      <c r="S245" s="561"/>
    </row>
    <row r="246" spans="1:19" s="492" customFormat="1" ht="48.6">
      <c r="A246" s="1229" t="s">
        <v>309</v>
      </c>
      <c r="B246" s="1230" t="s">
        <v>357</v>
      </c>
      <c r="C246" s="1205">
        <v>49</v>
      </c>
      <c r="D246" s="1216" t="s">
        <v>41</v>
      </c>
      <c r="E246" s="494" t="s">
        <v>38</v>
      </c>
      <c r="F246" s="496" t="s">
        <v>312</v>
      </c>
      <c r="G246" s="497" t="s">
        <v>41</v>
      </c>
      <c r="H246" s="501"/>
      <c r="I246" s="1248">
        <v>45870</v>
      </c>
      <c r="J246" s="958">
        <v>35</v>
      </c>
      <c r="K246" s="956">
        <v>32</v>
      </c>
      <c r="L246" s="960">
        <f>L197+J246</f>
        <v>126</v>
      </c>
      <c r="M246" s="972">
        <f>M197+K246</f>
        <v>106</v>
      </c>
      <c r="N246" s="943"/>
      <c r="O246" s="944"/>
      <c r="P246" s="945"/>
      <c r="Q246" s="946"/>
      <c r="R246" s="541"/>
      <c r="S246" s="561"/>
    </row>
    <row r="247" spans="1:19" s="492" customFormat="1" ht="48.6">
      <c r="A247" s="1229" t="s">
        <v>309</v>
      </c>
      <c r="B247" s="1221" t="s">
        <v>310</v>
      </c>
      <c r="C247" s="1205">
        <v>1</v>
      </c>
      <c r="D247" s="1206" t="s">
        <v>311</v>
      </c>
      <c r="E247" s="494" t="s">
        <v>38</v>
      </c>
      <c r="F247" s="496" t="s">
        <v>312</v>
      </c>
      <c r="G247" s="494" t="s">
        <v>40</v>
      </c>
      <c r="H247" s="500">
        <v>0</v>
      </c>
      <c r="I247" s="1248">
        <v>45901</v>
      </c>
      <c r="J247" s="958">
        <f>IF(H247=0,0,IF(H247="-","-",ROUND(H247/12,2)))</f>
        <v>0</v>
      </c>
      <c r="K247" s="956">
        <v>0</v>
      </c>
      <c r="L247" s="971">
        <v>0</v>
      </c>
      <c r="M247" s="957">
        <v>0</v>
      </c>
      <c r="N247" s="943"/>
      <c r="O247" s="944"/>
      <c r="P247" s="945"/>
      <c r="Q247" s="946"/>
      <c r="R247" s="541"/>
      <c r="S247" s="561"/>
    </row>
    <row r="248" spans="1:19" s="492" customFormat="1" ht="48.6">
      <c r="A248" s="1229" t="s">
        <v>309</v>
      </c>
      <c r="B248" s="1221" t="s">
        <v>310</v>
      </c>
      <c r="C248" s="1205">
        <v>2</v>
      </c>
      <c r="D248" s="1206" t="s">
        <v>313</v>
      </c>
      <c r="E248" s="494" t="s">
        <v>38</v>
      </c>
      <c r="F248" s="496" t="s">
        <v>312</v>
      </c>
      <c r="G248" s="494" t="s">
        <v>40</v>
      </c>
      <c r="H248" s="500">
        <v>9</v>
      </c>
      <c r="I248" s="1248">
        <v>45901</v>
      </c>
      <c r="J248" s="958">
        <f>IF(H248=0,0,IF(H248="-","-",ROUND(H248/12,2)))</f>
        <v>0.75</v>
      </c>
      <c r="K248" s="956">
        <v>0</v>
      </c>
      <c r="L248" s="971">
        <f>J248+L199</f>
        <v>4.5</v>
      </c>
      <c r="M248" s="972">
        <f>K248+M199</f>
        <v>0</v>
      </c>
      <c r="N248" s="943"/>
      <c r="O248" s="944"/>
      <c r="P248" s="945"/>
      <c r="Q248" s="946"/>
      <c r="R248" s="541"/>
      <c r="S248" s="561"/>
    </row>
    <row r="249" spans="1:19" s="492" customFormat="1" ht="48.6">
      <c r="A249" s="1229" t="s">
        <v>309</v>
      </c>
      <c r="B249" s="1221" t="s">
        <v>310</v>
      </c>
      <c r="C249" s="1205">
        <v>3</v>
      </c>
      <c r="D249" s="1206" t="s">
        <v>314</v>
      </c>
      <c r="E249" s="494" t="s">
        <v>38</v>
      </c>
      <c r="F249" s="496" t="s">
        <v>312</v>
      </c>
      <c r="G249" s="494" t="s">
        <v>40</v>
      </c>
      <c r="H249" s="500">
        <v>0</v>
      </c>
      <c r="I249" s="1248">
        <v>45901</v>
      </c>
      <c r="J249" s="958">
        <f>IF(H249=0,0,IF(H249="-","-",ROUND(H249/12,2)))</f>
        <v>0</v>
      </c>
      <c r="K249" s="956">
        <v>0</v>
      </c>
      <c r="L249" s="971">
        <f>J249+L200</f>
        <v>0</v>
      </c>
      <c r="M249" s="2431">
        <f>K249+M200</f>
        <v>0</v>
      </c>
      <c r="N249" s="943"/>
      <c r="O249" s="944"/>
      <c r="P249" s="945"/>
      <c r="Q249" s="946"/>
      <c r="R249" s="541"/>
      <c r="S249" s="561"/>
    </row>
    <row r="250" spans="1:19" s="492" customFormat="1" ht="48.6">
      <c r="A250" s="1229" t="s">
        <v>309</v>
      </c>
      <c r="B250" s="1221" t="s">
        <v>310</v>
      </c>
      <c r="C250" s="1205">
        <v>4</v>
      </c>
      <c r="D250" s="1206" t="s">
        <v>315</v>
      </c>
      <c r="E250" s="494" t="s">
        <v>38</v>
      </c>
      <c r="F250" s="496" t="s">
        <v>316</v>
      </c>
      <c r="G250" s="494" t="s">
        <v>40</v>
      </c>
      <c r="H250" s="500">
        <v>281</v>
      </c>
      <c r="I250" s="1248">
        <v>45901</v>
      </c>
      <c r="J250" s="958">
        <v>23</v>
      </c>
      <c r="K250" s="956">
        <v>21</v>
      </c>
      <c r="L250" s="971">
        <f t="shared" ref="L250:M250" si="17">J250+L201</f>
        <v>126</v>
      </c>
      <c r="M250" s="972">
        <f t="shared" si="17"/>
        <v>121</v>
      </c>
      <c r="N250" s="943"/>
      <c r="O250" s="944"/>
      <c r="P250" s="945"/>
      <c r="Q250" s="946"/>
      <c r="R250" s="541"/>
      <c r="S250" s="561"/>
    </row>
    <row r="251" spans="1:19" s="492" customFormat="1" ht="48.6">
      <c r="A251" s="1229" t="s">
        <v>309</v>
      </c>
      <c r="B251" s="1221" t="s">
        <v>310</v>
      </c>
      <c r="C251" s="1205">
        <v>5</v>
      </c>
      <c r="D251" s="1206" t="s">
        <v>315</v>
      </c>
      <c r="E251" s="494" t="s">
        <v>136</v>
      </c>
      <c r="F251" s="496" t="s">
        <v>316</v>
      </c>
      <c r="G251" s="494" t="s">
        <v>40</v>
      </c>
      <c r="H251" s="500">
        <v>117</v>
      </c>
      <c r="I251" s="1248">
        <v>45901</v>
      </c>
      <c r="J251" s="955">
        <v>8.9169999999999998</v>
      </c>
      <c r="K251" s="959">
        <v>6.44</v>
      </c>
      <c r="L251" s="946">
        <f t="shared" ref="L251:M251" si="18">J251+L202</f>
        <v>38.814</v>
      </c>
      <c r="M251" s="957">
        <f t="shared" si="18"/>
        <v>36.299999999999997</v>
      </c>
      <c r="N251" s="943"/>
      <c r="O251" s="944"/>
      <c r="P251" s="945"/>
      <c r="Q251" s="946"/>
      <c r="R251" s="541"/>
      <c r="S251" s="561"/>
    </row>
    <row r="252" spans="1:19" s="492" customFormat="1" ht="48.6">
      <c r="A252" s="1229" t="s">
        <v>309</v>
      </c>
      <c r="B252" s="1221" t="s">
        <v>310</v>
      </c>
      <c r="C252" s="1205">
        <v>6</v>
      </c>
      <c r="D252" s="1206" t="s">
        <v>317</v>
      </c>
      <c r="E252" s="494" t="s">
        <v>38</v>
      </c>
      <c r="F252" s="496" t="s">
        <v>316</v>
      </c>
      <c r="G252" s="494" t="s">
        <v>40</v>
      </c>
      <c r="H252" s="500">
        <v>0</v>
      </c>
      <c r="I252" s="1248">
        <v>45901</v>
      </c>
      <c r="J252" s="958">
        <f>IF(H252=0,0,IF(H252="-","-",ROUND(H252/12,2)))</f>
        <v>0</v>
      </c>
      <c r="K252" s="959">
        <v>0</v>
      </c>
      <c r="L252" s="971">
        <v>0</v>
      </c>
      <c r="M252" s="957">
        <v>0</v>
      </c>
      <c r="N252" s="943"/>
      <c r="O252" s="944" t="s">
        <v>388</v>
      </c>
      <c r="P252" s="945"/>
      <c r="Q252" s="946"/>
      <c r="R252" s="541"/>
      <c r="S252" s="561"/>
    </row>
    <row r="253" spans="1:19" s="492" customFormat="1" ht="48.6">
      <c r="A253" s="1229" t="s">
        <v>309</v>
      </c>
      <c r="B253" s="1221" t="s">
        <v>310</v>
      </c>
      <c r="C253" s="1205">
        <v>7</v>
      </c>
      <c r="D253" s="1206" t="s">
        <v>317</v>
      </c>
      <c r="E253" s="494" t="s">
        <v>136</v>
      </c>
      <c r="F253" s="496" t="s">
        <v>316</v>
      </c>
      <c r="G253" s="494" t="s">
        <v>40</v>
      </c>
      <c r="H253" s="500">
        <v>0</v>
      </c>
      <c r="I253" s="1248">
        <v>45901</v>
      </c>
      <c r="J253" s="958">
        <f>IF(H253=0,0,IF(H253="-","-",ROUND(H253/12,2)))</f>
        <v>0</v>
      </c>
      <c r="K253" s="959">
        <v>0</v>
      </c>
      <c r="L253" s="971">
        <v>0</v>
      </c>
      <c r="M253" s="957">
        <v>0</v>
      </c>
      <c r="N253" s="943"/>
      <c r="O253" s="944"/>
      <c r="P253" s="945"/>
      <c r="Q253" s="946"/>
      <c r="R253" s="541"/>
      <c r="S253" s="561"/>
    </row>
    <row r="254" spans="1:19" s="492" customFormat="1" ht="48.6">
      <c r="A254" s="1229" t="s">
        <v>309</v>
      </c>
      <c r="B254" s="1221" t="s">
        <v>310</v>
      </c>
      <c r="C254" s="1205">
        <v>8</v>
      </c>
      <c r="D254" s="1206" t="s">
        <v>318</v>
      </c>
      <c r="E254" s="494" t="s">
        <v>38</v>
      </c>
      <c r="F254" s="496" t="s">
        <v>316</v>
      </c>
      <c r="G254" s="494" t="s">
        <v>40</v>
      </c>
      <c r="H254" s="500">
        <v>195</v>
      </c>
      <c r="I254" s="1248">
        <v>45901</v>
      </c>
      <c r="J254" s="958">
        <v>25</v>
      </c>
      <c r="K254" s="956">
        <v>10</v>
      </c>
      <c r="L254" s="946">
        <f>J254+L205</f>
        <v>122</v>
      </c>
      <c r="M254" s="957">
        <f t="shared" ref="M254" si="19">K254+M205</f>
        <v>38</v>
      </c>
      <c r="N254" s="943"/>
      <c r="O254" s="944" t="s">
        <v>389</v>
      </c>
      <c r="P254" s="945"/>
      <c r="Q254" s="946"/>
      <c r="R254" s="541"/>
      <c r="S254" s="561"/>
    </row>
    <row r="255" spans="1:19" s="492" customFormat="1" ht="48.6">
      <c r="A255" s="1229" t="s">
        <v>309</v>
      </c>
      <c r="B255" s="1221" t="s">
        <v>310</v>
      </c>
      <c r="C255" s="1205">
        <v>9</v>
      </c>
      <c r="D255" s="1206" t="s">
        <v>318</v>
      </c>
      <c r="E255" s="494" t="s">
        <v>136</v>
      </c>
      <c r="F255" s="496" t="s">
        <v>316</v>
      </c>
      <c r="G255" s="494" t="s">
        <v>40</v>
      </c>
      <c r="H255" s="645">
        <v>313</v>
      </c>
      <c r="I255" s="1248">
        <v>45901</v>
      </c>
      <c r="J255" s="955">
        <v>40.231999999999999</v>
      </c>
      <c r="K255" s="959">
        <v>4.4320000000000004</v>
      </c>
      <c r="L255" s="946">
        <f t="shared" ref="L255:M255" si="20">J255+L206</f>
        <v>223.61199999999999</v>
      </c>
      <c r="M255" s="957">
        <f t="shared" si="20"/>
        <v>46.452999999999996</v>
      </c>
      <c r="N255" s="943"/>
      <c r="O255" s="944"/>
      <c r="P255" s="945"/>
      <c r="Q255" s="946"/>
      <c r="R255" s="541"/>
      <c r="S255" s="561"/>
    </row>
    <row r="256" spans="1:19" s="492" customFormat="1" ht="48.6">
      <c r="A256" s="1229" t="s">
        <v>309</v>
      </c>
      <c r="B256" s="1221" t="s">
        <v>319</v>
      </c>
      <c r="C256" s="1205">
        <v>10</v>
      </c>
      <c r="D256" s="1206" t="s">
        <v>320</v>
      </c>
      <c r="E256" s="494" t="s">
        <v>38</v>
      </c>
      <c r="F256" s="496" t="s">
        <v>321</v>
      </c>
      <c r="G256" s="494" t="s">
        <v>40</v>
      </c>
      <c r="H256" s="500">
        <v>0</v>
      </c>
      <c r="I256" s="1248">
        <v>45901</v>
      </c>
      <c r="J256" s="958">
        <v>0</v>
      </c>
      <c r="K256" s="959">
        <v>0</v>
      </c>
      <c r="L256" s="971">
        <v>0</v>
      </c>
      <c r="M256" s="957">
        <v>0</v>
      </c>
      <c r="N256" s="943"/>
      <c r="O256" s="944"/>
      <c r="P256" s="945"/>
      <c r="Q256" s="946"/>
      <c r="R256" s="541"/>
      <c r="S256" s="561"/>
    </row>
    <row r="257" spans="1:19" s="492" customFormat="1" ht="48.6">
      <c r="A257" s="1229" t="s">
        <v>309</v>
      </c>
      <c r="B257" s="1221" t="s">
        <v>319</v>
      </c>
      <c r="C257" s="1205">
        <v>11</v>
      </c>
      <c r="D257" s="1206" t="s">
        <v>322</v>
      </c>
      <c r="E257" s="494" t="s">
        <v>38</v>
      </c>
      <c r="F257" s="496" t="s">
        <v>321</v>
      </c>
      <c r="G257" s="494" t="s">
        <v>40</v>
      </c>
      <c r="H257" s="500">
        <v>0</v>
      </c>
      <c r="I257" s="1248">
        <v>45901</v>
      </c>
      <c r="J257" s="958">
        <v>0</v>
      </c>
      <c r="K257" s="959">
        <v>0</v>
      </c>
      <c r="L257" s="971">
        <v>0</v>
      </c>
      <c r="M257" s="957">
        <v>0</v>
      </c>
      <c r="N257" s="943"/>
      <c r="O257" s="944"/>
      <c r="P257" s="945"/>
      <c r="Q257" s="946"/>
      <c r="R257" s="541"/>
      <c r="S257" s="561"/>
    </row>
    <row r="258" spans="1:19" s="492" customFormat="1" ht="48.6">
      <c r="A258" s="1229" t="s">
        <v>309</v>
      </c>
      <c r="B258" s="1221" t="s">
        <v>319</v>
      </c>
      <c r="C258" s="1205">
        <v>12</v>
      </c>
      <c r="D258" s="1206" t="s">
        <v>313</v>
      </c>
      <c r="E258" s="494" t="s">
        <v>38</v>
      </c>
      <c r="F258" s="496" t="s">
        <v>321</v>
      </c>
      <c r="G258" s="494" t="s">
        <v>40</v>
      </c>
      <c r="H258" s="500">
        <v>0</v>
      </c>
      <c r="I258" s="1248">
        <v>45901</v>
      </c>
      <c r="J258" s="958">
        <v>0</v>
      </c>
      <c r="K258" s="959">
        <v>0</v>
      </c>
      <c r="L258" s="971">
        <v>0</v>
      </c>
      <c r="M258" s="957">
        <v>4</v>
      </c>
      <c r="N258" s="943"/>
      <c r="O258" s="944"/>
      <c r="P258" s="945"/>
      <c r="Q258" s="946"/>
      <c r="R258" s="541"/>
      <c r="S258" s="561"/>
    </row>
    <row r="259" spans="1:19" s="492" customFormat="1" ht="48.6">
      <c r="A259" s="1229" t="s">
        <v>309</v>
      </c>
      <c r="B259" s="1221" t="s">
        <v>319</v>
      </c>
      <c r="C259" s="1205">
        <v>13</v>
      </c>
      <c r="D259" s="1206" t="s">
        <v>323</v>
      </c>
      <c r="E259" s="494" t="s">
        <v>38</v>
      </c>
      <c r="F259" s="496" t="s">
        <v>321</v>
      </c>
      <c r="G259" s="494" t="s">
        <v>40</v>
      </c>
      <c r="H259" s="500">
        <v>5</v>
      </c>
      <c r="I259" s="1248">
        <v>45901</v>
      </c>
      <c r="J259" s="955" t="s">
        <v>41</v>
      </c>
      <c r="K259" s="959">
        <v>0</v>
      </c>
      <c r="L259" s="946">
        <f>L210</f>
        <v>2</v>
      </c>
      <c r="M259" s="957">
        <v>3</v>
      </c>
      <c r="N259" s="943"/>
      <c r="O259" s="944"/>
      <c r="P259" s="945"/>
      <c r="Q259" s="946"/>
      <c r="R259" s="541"/>
      <c r="S259" s="561"/>
    </row>
    <row r="260" spans="1:19" s="492" customFormat="1" ht="48.6">
      <c r="A260" s="1229" t="s">
        <v>309</v>
      </c>
      <c r="B260" s="1206" t="s">
        <v>324</v>
      </c>
      <c r="C260" s="1205">
        <v>14</v>
      </c>
      <c r="D260" s="1206" t="s">
        <v>311</v>
      </c>
      <c r="E260" s="494" t="s">
        <v>38</v>
      </c>
      <c r="F260" s="496" t="s">
        <v>312</v>
      </c>
      <c r="G260" s="494" t="s">
        <v>40</v>
      </c>
      <c r="H260" s="501">
        <v>0</v>
      </c>
      <c r="I260" s="1248">
        <v>45901</v>
      </c>
      <c r="J260" s="958">
        <v>0</v>
      </c>
      <c r="K260" s="956">
        <v>0</v>
      </c>
      <c r="L260" s="971">
        <v>0</v>
      </c>
      <c r="M260" s="972">
        <f>M211+K260</f>
        <v>0</v>
      </c>
      <c r="N260" s="943"/>
      <c r="O260" s="944"/>
      <c r="P260" s="945"/>
      <c r="Q260" s="946"/>
      <c r="R260" s="1255"/>
      <c r="S260" s="561"/>
    </row>
    <row r="261" spans="1:19" s="492" customFormat="1" ht="48.6">
      <c r="A261" s="1229" t="s">
        <v>309</v>
      </c>
      <c r="B261" s="1206" t="s">
        <v>324</v>
      </c>
      <c r="C261" s="1205">
        <v>15</v>
      </c>
      <c r="D261" s="1206" t="s">
        <v>313</v>
      </c>
      <c r="E261" s="494" t="s">
        <v>38</v>
      </c>
      <c r="F261" s="496" t="s">
        <v>312</v>
      </c>
      <c r="G261" s="494" t="s">
        <v>40</v>
      </c>
      <c r="H261" s="501">
        <v>30</v>
      </c>
      <c r="I261" s="1248">
        <v>45901</v>
      </c>
      <c r="J261" s="958">
        <f>IF(H261=0,0,IF(H261="-","-",ROUND(H261/12,2)))</f>
        <v>2.5</v>
      </c>
      <c r="K261" s="956">
        <v>1</v>
      </c>
      <c r="L261" s="971">
        <f>J261+L212</f>
        <v>12.5</v>
      </c>
      <c r="M261" s="972">
        <f>M212+K261</f>
        <v>18</v>
      </c>
      <c r="N261" s="943"/>
      <c r="O261" s="944"/>
      <c r="P261" s="945"/>
      <c r="Q261" s="946"/>
      <c r="R261" s="1255"/>
      <c r="S261" s="561"/>
    </row>
    <row r="262" spans="1:19" s="492" customFormat="1" ht="48.6">
      <c r="A262" s="1229" t="s">
        <v>309</v>
      </c>
      <c r="B262" s="1206" t="s">
        <v>324</v>
      </c>
      <c r="C262" s="1205">
        <v>16</v>
      </c>
      <c r="D262" s="1206" t="s">
        <v>314</v>
      </c>
      <c r="E262" s="494" t="s">
        <v>38</v>
      </c>
      <c r="F262" s="496" t="s">
        <v>312</v>
      </c>
      <c r="G262" s="494" t="s">
        <v>40</v>
      </c>
      <c r="H262" s="501">
        <v>0</v>
      </c>
      <c r="I262" s="1248">
        <v>45901</v>
      </c>
      <c r="J262" s="958">
        <f>IF(H262=0,0,IF(H262="-","-",ROUND(H262/12,2)))</f>
        <v>0</v>
      </c>
      <c r="K262" s="956">
        <v>1</v>
      </c>
      <c r="L262" s="971">
        <f>J262+L213</f>
        <v>0</v>
      </c>
      <c r="M262" s="972">
        <f>M213+K262</f>
        <v>1</v>
      </c>
      <c r="N262" s="943"/>
      <c r="O262" s="944" t="s">
        <v>397</v>
      </c>
      <c r="P262" s="945" t="s">
        <v>398</v>
      </c>
      <c r="Q262" s="946"/>
      <c r="R262" s="1255"/>
      <c r="S262" s="561"/>
    </row>
    <row r="263" spans="1:19" s="492" customFormat="1" ht="48.6">
      <c r="A263" s="1229" t="s">
        <v>309</v>
      </c>
      <c r="B263" s="1206" t="s">
        <v>325</v>
      </c>
      <c r="C263" s="1205">
        <v>17</v>
      </c>
      <c r="D263" s="1206" t="s">
        <v>326</v>
      </c>
      <c r="E263" s="494" t="s">
        <v>38</v>
      </c>
      <c r="F263" s="496" t="s">
        <v>327</v>
      </c>
      <c r="G263" s="494" t="s">
        <v>40</v>
      </c>
      <c r="H263" s="501">
        <v>0</v>
      </c>
      <c r="I263" s="1248">
        <v>45901</v>
      </c>
      <c r="J263" s="958" t="s">
        <v>41</v>
      </c>
      <c r="K263" s="956" t="s">
        <v>41</v>
      </c>
      <c r="L263" s="960" t="s">
        <v>41</v>
      </c>
      <c r="M263" s="956" t="s">
        <v>41</v>
      </c>
      <c r="N263" s="943"/>
      <c r="O263" s="944"/>
      <c r="P263" s="945"/>
      <c r="Q263" s="946"/>
      <c r="R263" s="541"/>
      <c r="S263" s="561"/>
    </row>
    <row r="264" spans="1:19" s="492" customFormat="1" ht="48.6">
      <c r="A264" s="1229" t="s">
        <v>309</v>
      </c>
      <c r="B264" s="1206" t="s">
        <v>325</v>
      </c>
      <c r="C264" s="1205">
        <v>18</v>
      </c>
      <c r="D264" s="1206" t="s">
        <v>326</v>
      </c>
      <c r="E264" s="494" t="s">
        <v>136</v>
      </c>
      <c r="F264" s="496" t="s">
        <v>327</v>
      </c>
      <c r="G264" s="494" t="s">
        <v>40</v>
      </c>
      <c r="H264" s="501">
        <v>0</v>
      </c>
      <c r="I264" s="1248">
        <v>45901</v>
      </c>
      <c r="J264" s="958" t="s">
        <v>41</v>
      </c>
      <c r="K264" s="956" t="s">
        <v>41</v>
      </c>
      <c r="L264" s="960" t="s">
        <v>41</v>
      </c>
      <c r="M264" s="956" t="s">
        <v>41</v>
      </c>
      <c r="N264" s="943"/>
      <c r="O264" s="944"/>
      <c r="P264" s="945"/>
      <c r="Q264" s="946"/>
      <c r="R264" s="541"/>
      <c r="S264" s="561"/>
    </row>
    <row r="265" spans="1:19" s="492" customFormat="1" ht="48.6">
      <c r="A265" s="1229" t="s">
        <v>309</v>
      </c>
      <c r="B265" s="1206" t="s">
        <v>325</v>
      </c>
      <c r="C265" s="1205">
        <v>19</v>
      </c>
      <c r="D265" s="1206" t="s">
        <v>328</v>
      </c>
      <c r="E265" s="494" t="s">
        <v>38</v>
      </c>
      <c r="F265" s="496" t="s">
        <v>327</v>
      </c>
      <c r="G265" s="494" t="s">
        <v>40</v>
      </c>
      <c r="H265" s="501" t="s">
        <v>41</v>
      </c>
      <c r="I265" s="1248">
        <v>45901</v>
      </c>
      <c r="J265" s="955" t="str">
        <f t="shared" ref="J265:J270" si="21">IF(H265=0,0,IF(H265="-","-",ROUND(H265/12,2)))</f>
        <v>-</v>
      </c>
      <c r="K265" s="959">
        <v>0</v>
      </c>
      <c r="L265" s="946">
        <v>0</v>
      </c>
      <c r="M265" s="957">
        <v>38</v>
      </c>
      <c r="N265" s="943"/>
      <c r="O265" s="944"/>
      <c r="P265" s="945"/>
      <c r="Q265" s="946"/>
      <c r="R265" s="541"/>
      <c r="S265" s="561"/>
    </row>
    <row r="266" spans="1:19" s="492" customFormat="1" ht="48.6">
      <c r="A266" s="1229" t="s">
        <v>309</v>
      </c>
      <c r="B266" s="1206" t="s">
        <v>325</v>
      </c>
      <c r="C266" s="1205">
        <v>20</v>
      </c>
      <c r="D266" s="1206" t="s">
        <v>328</v>
      </c>
      <c r="E266" s="494" t="s">
        <v>136</v>
      </c>
      <c r="F266" s="496" t="s">
        <v>327</v>
      </c>
      <c r="G266" s="494" t="s">
        <v>40</v>
      </c>
      <c r="H266" s="501" t="s">
        <v>41</v>
      </c>
      <c r="I266" s="1248">
        <v>45901</v>
      </c>
      <c r="J266" s="955" t="str">
        <f t="shared" si="21"/>
        <v>-</v>
      </c>
      <c r="K266" s="959">
        <v>0</v>
      </c>
      <c r="L266" s="946">
        <v>0</v>
      </c>
      <c r="M266" s="957">
        <v>121.13</v>
      </c>
      <c r="N266" s="943"/>
      <c r="O266" s="944"/>
      <c r="P266" s="945"/>
      <c r="Q266" s="946"/>
      <c r="R266" s="541"/>
      <c r="S266" s="561"/>
    </row>
    <row r="267" spans="1:19" s="492" customFormat="1" ht="48.6">
      <c r="A267" s="1229" t="s">
        <v>309</v>
      </c>
      <c r="B267" s="1206" t="s">
        <v>325</v>
      </c>
      <c r="C267" s="1205">
        <v>21</v>
      </c>
      <c r="D267" s="1206" t="s">
        <v>329</v>
      </c>
      <c r="E267" s="494" t="s">
        <v>38</v>
      </c>
      <c r="F267" s="496" t="s">
        <v>327</v>
      </c>
      <c r="G267" s="494" t="s">
        <v>40</v>
      </c>
      <c r="H267" s="501" t="s">
        <v>41</v>
      </c>
      <c r="I267" s="1248">
        <v>45901</v>
      </c>
      <c r="J267" s="955" t="str">
        <f t="shared" si="21"/>
        <v>-</v>
      </c>
      <c r="K267" s="957" t="s">
        <v>41</v>
      </c>
      <c r="L267" s="946" t="s">
        <v>41</v>
      </c>
      <c r="M267" s="957">
        <v>159</v>
      </c>
      <c r="N267" s="943"/>
      <c r="O267" s="961" t="s">
        <v>399</v>
      </c>
      <c r="P267" s="945"/>
      <c r="Q267" s="946"/>
      <c r="R267" s="541"/>
      <c r="S267" s="561"/>
    </row>
    <row r="268" spans="1:19" s="492" customFormat="1" ht="48.6">
      <c r="A268" s="1229" t="s">
        <v>309</v>
      </c>
      <c r="B268" s="1206" t="s">
        <v>325</v>
      </c>
      <c r="C268" s="1205">
        <v>22</v>
      </c>
      <c r="D268" s="1206" t="s">
        <v>329</v>
      </c>
      <c r="E268" s="494" t="s">
        <v>136</v>
      </c>
      <c r="F268" s="496" t="s">
        <v>327</v>
      </c>
      <c r="G268" s="494" t="s">
        <v>40</v>
      </c>
      <c r="H268" s="501" t="s">
        <v>41</v>
      </c>
      <c r="I268" s="1248">
        <v>45901</v>
      </c>
      <c r="J268" s="955" t="str">
        <f t="shared" si="21"/>
        <v>-</v>
      </c>
      <c r="K268" s="957" t="s">
        <v>41</v>
      </c>
      <c r="L268" s="946" t="s">
        <v>41</v>
      </c>
      <c r="M268" s="957">
        <f>139746749/1000000</f>
        <v>139.74674899999999</v>
      </c>
      <c r="N268" s="943"/>
      <c r="O268" s="944"/>
      <c r="P268" s="945"/>
      <c r="Q268" s="946"/>
      <c r="R268" s="541"/>
      <c r="S268" s="561"/>
    </row>
    <row r="269" spans="1:19" s="492" customFormat="1" ht="48.6">
      <c r="A269" s="1229" t="s">
        <v>309</v>
      </c>
      <c r="B269" s="1206" t="s">
        <v>325</v>
      </c>
      <c r="C269" s="1205">
        <v>23</v>
      </c>
      <c r="D269" s="1206" t="s">
        <v>330</v>
      </c>
      <c r="E269" s="494" t="s">
        <v>38</v>
      </c>
      <c r="F269" s="496" t="s">
        <v>327</v>
      </c>
      <c r="G269" s="494" t="s">
        <v>40</v>
      </c>
      <c r="H269" s="501" t="s">
        <v>41</v>
      </c>
      <c r="I269" s="1248">
        <v>45901</v>
      </c>
      <c r="J269" s="955" t="str">
        <f t="shared" si="21"/>
        <v>-</v>
      </c>
      <c r="K269" s="957" t="s">
        <v>41</v>
      </c>
      <c r="L269" s="946" t="s">
        <v>41</v>
      </c>
      <c r="M269" s="957">
        <v>155</v>
      </c>
      <c r="N269" s="943"/>
      <c r="O269" s="961" t="s">
        <v>400</v>
      </c>
      <c r="P269" s="945"/>
      <c r="Q269" s="946"/>
      <c r="R269" s="541"/>
      <c r="S269" s="561"/>
    </row>
    <row r="270" spans="1:19" s="492" customFormat="1" ht="48.6">
      <c r="A270" s="1229" t="s">
        <v>309</v>
      </c>
      <c r="B270" s="1206" t="s">
        <v>325</v>
      </c>
      <c r="C270" s="1205">
        <v>24</v>
      </c>
      <c r="D270" s="1206" t="s">
        <v>330</v>
      </c>
      <c r="E270" s="494" t="s">
        <v>136</v>
      </c>
      <c r="F270" s="496" t="s">
        <v>327</v>
      </c>
      <c r="G270" s="494" t="s">
        <v>40</v>
      </c>
      <c r="H270" s="501" t="s">
        <v>41</v>
      </c>
      <c r="I270" s="1248">
        <v>45901</v>
      </c>
      <c r="J270" s="955" t="str">
        <f t="shared" si="21"/>
        <v>-</v>
      </c>
      <c r="K270" s="957" t="s">
        <v>41</v>
      </c>
      <c r="L270" s="946" t="s">
        <v>41</v>
      </c>
      <c r="M270" s="957">
        <f>95530858/1000000</f>
        <v>95.530857999999995</v>
      </c>
      <c r="N270" s="943"/>
      <c r="O270" s="944"/>
      <c r="P270" s="945"/>
      <c r="Q270" s="946"/>
      <c r="R270" s="541"/>
      <c r="S270" s="561"/>
    </row>
    <row r="271" spans="1:19" s="492" customFormat="1" ht="48.6">
      <c r="A271" s="1229" t="s">
        <v>309</v>
      </c>
      <c r="B271" s="1206" t="s">
        <v>325</v>
      </c>
      <c r="C271" s="1205">
        <v>25</v>
      </c>
      <c r="D271" s="1206" t="s">
        <v>331</v>
      </c>
      <c r="E271" s="494" t="s">
        <v>38</v>
      </c>
      <c r="F271" s="496" t="s">
        <v>327</v>
      </c>
      <c r="G271" s="494" t="s">
        <v>285</v>
      </c>
      <c r="H271" s="501">
        <v>0</v>
      </c>
      <c r="I271" s="1248">
        <v>45901</v>
      </c>
      <c r="J271" s="958">
        <v>0</v>
      </c>
      <c r="K271" s="959">
        <v>0</v>
      </c>
      <c r="L271" s="971">
        <v>16</v>
      </c>
      <c r="M271" s="972">
        <v>3</v>
      </c>
      <c r="N271" s="987">
        <v>13</v>
      </c>
      <c r="O271" s="961" t="s">
        <v>401</v>
      </c>
      <c r="P271" s="945"/>
      <c r="Q271" s="946"/>
      <c r="R271" s="541"/>
      <c r="S271" s="561"/>
    </row>
    <row r="272" spans="1:19" s="492" customFormat="1" ht="48.6">
      <c r="A272" s="1229" t="s">
        <v>309</v>
      </c>
      <c r="B272" s="1206" t="s">
        <v>325</v>
      </c>
      <c r="C272" s="1205">
        <v>26</v>
      </c>
      <c r="D272" s="1216" t="s">
        <v>331</v>
      </c>
      <c r="E272" s="494" t="s">
        <v>136</v>
      </c>
      <c r="F272" s="496" t="s">
        <v>327</v>
      </c>
      <c r="G272" s="494" t="s">
        <v>285</v>
      </c>
      <c r="H272" s="501">
        <v>0</v>
      </c>
      <c r="I272" s="1248">
        <v>45901</v>
      </c>
      <c r="J272" s="988">
        <v>0</v>
      </c>
      <c r="K272" s="959">
        <v>0</v>
      </c>
      <c r="L272" s="946">
        <f>J321+J370+J419+J468+J517+J565</f>
        <v>36.33</v>
      </c>
      <c r="M272" s="989">
        <v>13.18</v>
      </c>
      <c r="N272" s="943"/>
      <c r="O272" s="944"/>
      <c r="P272" s="945"/>
      <c r="Q272" s="946"/>
      <c r="R272" s="541"/>
      <c r="S272" s="561"/>
    </row>
    <row r="273" spans="1:22" s="492" customFormat="1" ht="48.6">
      <c r="A273" s="1229" t="s">
        <v>309</v>
      </c>
      <c r="B273" s="1206" t="s">
        <v>325</v>
      </c>
      <c r="C273" s="1205">
        <v>27</v>
      </c>
      <c r="D273" s="1216" t="s">
        <v>334</v>
      </c>
      <c r="E273" s="494" t="s">
        <v>38</v>
      </c>
      <c r="F273" s="496" t="s">
        <v>327</v>
      </c>
      <c r="G273" s="494" t="s">
        <v>392</v>
      </c>
      <c r="H273" s="501">
        <v>0</v>
      </c>
      <c r="I273" s="1248">
        <v>45901</v>
      </c>
      <c r="J273" s="958">
        <v>0</v>
      </c>
      <c r="K273" s="959">
        <v>0</v>
      </c>
      <c r="L273" s="971">
        <f>J322+J371+J420+J469+J518+J566</f>
        <v>6</v>
      </c>
      <c r="M273" s="972">
        <v>15</v>
      </c>
      <c r="N273" s="943"/>
      <c r="O273" s="961" t="s">
        <v>402</v>
      </c>
      <c r="P273" s="945"/>
      <c r="Q273" s="946"/>
      <c r="R273" s="541"/>
      <c r="S273" s="561"/>
      <c r="T273" s="492" t="s">
        <v>63</v>
      </c>
      <c r="U273" s="492" t="s">
        <v>403</v>
      </c>
      <c r="V273" s="492" t="s">
        <v>404</v>
      </c>
    </row>
    <row r="274" spans="1:22" s="492" customFormat="1" ht="48.6">
      <c r="A274" s="1229" t="s">
        <v>309</v>
      </c>
      <c r="B274" s="1206" t="s">
        <v>325</v>
      </c>
      <c r="C274" s="1205">
        <v>28</v>
      </c>
      <c r="D274" s="1216" t="s">
        <v>334</v>
      </c>
      <c r="E274" s="494" t="s">
        <v>136</v>
      </c>
      <c r="F274" s="496" t="s">
        <v>327</v>
      </c>
      <c r="G274" s="494" t="s">
        <v>392</v>
      </c>
      <c r="H274" s="501">
        <v>0</v>
      </c>
      <c r="I274" s="1248">
        <v>45901</v>
      </c>
      <c r="J274" s="958">
        <v>0</v>
      </c>
      <c r="K274" s="959">
        <v>0</v>
      </c>
      <c r="L274" s="946">
        <f>J323+J372+J421+J470+J519+J567</f>
        <v>3.120000000000001</v>
      </c>
      <c r="M274" s="989">
        <v>11.65</v>
      </c>
      <c r="N274" s="943"/>
      <c r="O274" s="944"/>
      <c r="P274" s="945"/>
      <c r="Q274" s="946"/>
      <c r="R274" s="541"/>
      <c r="S274" s="561"/>
    </row>
    <row r="275" spans="1:22" s="492" customFormat="1" ht="48.6">
      <c r="A275" s="1229" t="s">
        <v>309</v>
      </c>
      <c r="B275" s="1206" t="s">
        <v>325</v>
      </c>
      <c r="C275" s="1205">
        <v>29</v>
      </c>
      <c r="D275" s="1206" t="s">
        <v>336</v>
      </c>
      <c r="E275" s="494" t="s">
        <v>38</v>
      </c>
      <c r="F275" s="496" t="s">
        <v>316</v>
      </c>
      <c r="G275" s="494" t="s">
        <v>40</v>
      </c>
      <c r="H275" s="501">
        <v>0</v>
      </c>
      <c r="I275" s="1248">
        <v>45901</v>
      </c>
      <c r="J275" s="958">
        <f>IF(H275=0,0,IF(H275="-","-",ROUND(H275/12,2)))</f>
        <v>0</v>
      </c>
      <c r="K275" s="959"/>
      <c r="L275" s="971">
        <v>0</v>
      </c>
      <c r="M275" s="957"/>
      <c r="N275" s="943"/>
      <c r="O275" s="944" t="s">
        <v>370</v>
      </c>
      <c r="P275" s="945"/>
      <c r="Q275" s="946"/>
      <c r="R275" s="541"/>
      <c r="S275" s="561"/>
    </row>
    <row r="276" spans="1:22" s="492" customFormat="1" ht="48.6">
      <c r="A276" s="1229" t="s">
        <v>309</v>
      </c>
      <c r="B276" s="1206" t="s">
        <v>325</v>
      </c>
      <c r="C276" s="1205">
        <v>30</v>
      </c>
      <c r="D276" s="1206" t="s">
        <v>336</v>
      </c>
      <c r="E276" s="494" t="s">
        <v>136</v>
      </c>
      <c r="F276" s="496" t="s">
        <v>316</v>
      </c>
      <c r="G276" s="494" t="s">
        <v>40</v>
      </c>
      <c r="H276" s="501">
        <v>0</v>
      </c>
      <c r="I276" s="1248">
        <v>45901</v>
      </c>
      <c r="J276" s="958">
        <f>IF(H276=0,0,IF(H276="-","-",ROUND(H276/12,2)))</f>
        <v>0</v>
      </c>
      <c r="K276" s="959"/>
      <c r="L276" s="971">
        <v>0</v>
      </c>
      <c r="M276" s="957"/>
      <c r="N276" s="943"/>
      <c r="O276" s="944"/>
      <c r="P276" s="945"/>
      <c r="Q276" s="946"/>
      <c r="R276" s="541"/>
      <c r="S276" s="561"/>
    </row>
    <row r="277" spans="1:22" s="492" customFormat="1" ht="48.6">
      <c r="A277" s="1229" t="s">
        <v>309</v>
      </c>
      <c r="B277" s="1206" t="s">
        <v>325</v>
      </c>
      <c r="C277" s="1205">
        <v>31</v>
      </c>
      <c r="D277" s="1206" t="s">
        <v>338</v>
      </c>
      <c r="E277" s="494" t="s">
        <v>38</v>
      </c>
      <c r="F277" s="496" t="s">
        <v>316</v>
      </c>
      <c r="G277" s="494" t="s">
        <v>40</v>
      </c>
      <c r="H277" s="501">
        <v>0</v>
      </c>
      <c r="I277" s="1248">
        <v>45901</v>
      </c>
      <c r="J277" s="958">
        <f>IF(H277=0,0,IF(H277="-","-",ROUND(H277/12,2)))</f>
        <v>0</v>
      </c>
      <c r="K277" s="959"/>
      <c r="L277" s="971">
        <v>0</v>
      </c>
      <c r="M277" s="957"/>
      <c r="N277" s="943"/>
      <c r="O277" s="944" t="s">
        <v>396</v>
      </c>
      <c r="P277" s="945"/>
      <c r="Q277" s="946"/>
      <c r="R277" s="541"/>
      <c r="S277" s="561"/>
    </row>
    <row r="278" spans="1:22" s="492" customFormat="1" ht="48.6">
      <c r="A278" s="1229" t="s">
        <v>309</v>
      </c>
      <c r="B278" s="1206" t="s">
        <v>325</v>
      </c>
      <c r="C278" s="1205">
        <v>32</v>
      </c>
      <c r="D278" s="1206" t="s">
        <v>338</v>
      </c>
      <c r="E278" s="494" t="s">
        <v>136</v>
      </c>
      <c r="F278" s="496" t="s">
        <v>316</v>
      </c>
      <c r="G278" s="494" t="s">
        <v>40</v>
      </c>
      <c r="H278" s="501">
        <v>0</v>
      </c>
      <c r="I278" s="1248">
        <v>45901</v>
      </c>
      <c r="J278" s="958">
        <f>IF(H278=0,0,IF(H278="-","-",ROUND(H278/12,2)))</f>
        <v>0</v>
      </c>
      <c r="K278" s="959"/>
      <c r="L278" s="971">
        <v>0</v>
      </c>
      <c r="M278" s="957"/>
      <c r="N278" s="943"/>
      <c r="O278" s="944" t="s">
        <v>396</v>
      </c>
      <c r="P278" s="945"/>
      <c r="Q278" s="946"/>
      <c r="R278" s="541"/>
      <c r="S278" s="561"/>
    </row>
    <row r="279" spans="1:22" s="492" customFormat="1" ht="48.6">
      <c r="A279" s="1229" t="s">
        <v>309</v>
      </c>
      <c r="B279" s="1206" t="s">
        <v>325</v>
      </c>
      <c r="C279" s="1205">
        <v>33</v>
      </c>
      <c r="D279" s="1206" t="s">
        <v>339</v>
      </c>
      <c r="E279" s="494" t="s">
        <v>133</v>
      </c>
      <c r="F279" s="496" t="s">
        <v>340</v>
      </c>
      <c r="G279" s="494" t="s">
        <v>341</v>
      </c>
      <c r="H279" s="502">
        <v>5.0000000000000001E-3</v>
      </c>
      <c r="I279" s="1248">
        <v>45901</v>
      </c>
      <c r="J279" s="990" t="s">
        <v>41</v>
      </c>
      <c r="K279" s="991" t="s">
        <v>41</v>
      </c>
      <c r="L279" s="992">
        <v>-5.0000000000000001E-3</v>
      </c>
      <c r="M279" s="975">
        <v>-5.7400000000000003E-3</v>
      </c>
      <c r="N279" s="943"/>
      <c r="O279" s="944"/>
      <c r="P279" s="945"/>
      <c r="Q279" s="946"/>
      <c r="R279" s="541"/>
      <c r="S279" s="561"/>
    </row>
    <row r="280" spans="1:22" s="492" customFormat="1" ht="48.6">
      <c r="A280" s="1229" t="s">
        <v>309</v>
      </c>
      <c r="B280" s="1206" t="s">
        <v>325</v>
      </c>
      <c r="C280" s="1205">
        <v>34</v>
      </c>
      <c r="D280" s="1206" t="s">
        <v>339</v>
      </c>
      <c r="E280" s="494" t="s">
        <v>136</v>
      </c>
      <c r="F280" s="496" t="s">
        <v>340</v>
      </c>
      <c r="G280" s="494" t="s">
        <v>341</v>
      </c>
      <c r="H280" s="503" t="s">
        <v>41</v>
      </c>
      <c r="I280" s="1248">
        <v>45901</v>
      </c>
      <c r="J280" s="955" t="str">
        <f>IF(H280=0,0,IF(H280="-","-",ROUND(H280/12,2)))</f>
        <v>-</v>
      </c>
      <c r="K280" s="991" t="s">
        <v>41</v>
      </c>
      <c r="L280" s="962" t="s">
        <v>41</v>
      </c>
      <c r="M280" s="978">
        <v>-9.1999999999999993</v>
      </c>
      <c r="N280" s="943"/>
      <c r="O280" s="944"/>
      <c r="P280" s="945"/>
      <c r="Q280" s="946"/>
      <c r="R280" s="541"/>
      <c r="S280" s="561"/>
    </row>
    <row r="281" spans="1:22" s="492" customFormat="1" ht="48.6">
      <c r="A281" s="1229" t="s">
        <v>309</v>
      </c>
      <c r="B281" s="1206" t="s">
        <v>325</v>
      </c>
      <c r="C281" s="1205">
        <v>35</v>
      </c>
      <c r="D281" s="1206" t="s">
        <v>342</v>
      </c>
      <c r="E281" s="494" t="s">
        <v>133</v>
      </c>
      <c r="F281" s="496" t="s">
        <v>106</v>
      </c>
      <c r="G281" s="494" t="s">
        <v>285</v>
      </c>
      <c r="H281" s="504">
        <v>3.5000000000000003E-2</v>
      </c>
      <c r="I281" s="1248">
        <v>45901</v>
      </c>
      <c r="J281" s="974">
        <v>3.56E-2</v>
      </c>
      <c r="K281" s="975">
        <v>3.1199999999999999E-2</v>
      </c>
      <c r="L281" s="993">
        <f>J281</f>
        <v>3.56E-2</v>
      </c>
      <c r="M281" s="994">
        <f>K281</f>
        <v>3.1199999999999999E-2</v>
      </c>
      <c r="N281" s="943"/>
      <c r="O281" s="944"/>
      <c r="P281" s="945"/>
      <c r="Q281" s="946"/>
      <c r="R281" s="541"/>
      <c r="S281" s="561"/>
    </row>
    <row r="282" spans="1:22" s="492" customFormat="1" ht="48.6">
      <c r="A282" s="1229" t="s">
        <v>309</v>
      </c>
      <c r="B282" s="1206" t="s">
        <v>325</v>
      </c>
      <c r="C282" s="1205">
        <v>36</v>
      </c>
      <c r="D282" s="1206" t="s">
        <v>342</v>
      </c>
      <c r="E282" s="494" t="s">
        <v>136</v>
      </c>
      <c r="F282" s="496" t="s">
        <v>106</v>
      </c>
      <c r="G282" s="494" t="s">
        <v>285</v>
      </c>
      <c r="H282" s="506">
        <v>642.05999999999995</v>
      </c>
      <c r="I282" s="1248">
        <v>45901</v>
      </c>
      <c r="J282" s="955">
        <v>653.14500000000021</v>
      </c>
      <c r="K282" s="959">
        <v>590</v>
      </c>
      <c r="L282" s="946">
        <f>J282</f>
        <v>653.14500000000021</v>
      </c>
      <c r="M282" s="957">
        <f>K282</f>
        <v>590</v>
      </c>
      <c r="N282" s="943"/>
      <c r="O282" s="944"/>
      <c r="P282" s="945"/>
      <c r="Q282" s="946"/>
      <c r="R282" s="541"/>
      <c r="S282" s="561"/>
    </row>
    <row r="283" spans="1:22" s="492" customFormat="1" ht="48.6">
      <c r="A283" s="1229" t="s">
        <v>309</v>
      </c>
      <c r="B283" s="1206" t="s">
        <v>325</v>
      </c>
      <c r="C283" s="1205">
        <v>37</v>
      </c>
      <c r="D283" s="1206" t="s">
        <v>343</v>
      </c>
      <c r="E283" s="494" t="s">
        <v>38</v>
      </c>
      <c r="F283" s="496" t="s">
        <v>105</v>
      </c>
      <c r="G283" s="494"/>
      <c r="H283" s="500" t="s">
        <v>41</v>
      </c>
      <c r="I283" s="1248">
        <v>45901</v>
      </c>
      <c r="J283" s="955" t="s">
        <v>41</v>
      </c>
      <c r="K283" s="959" t="s">
        <v>41</v>
      </c>
      <c r="L283" s="962" t="s">
        <v>41</v>
      </c>
      <c r="M283" s="959" t="s">
        <v>41</v>
      </c>
      <c r="N283" s="995" t="s">
        <v>41</v>
      </c>
      <c r="O283" s="961" t="s">
        <v>41</v>
      </c>
      <c r="P283" s="973" t="s">
        <v>41</v>
      </c>
      <c r="Q283" s="946"/>
      <c r="R283" s="541"/>
      <c r="S283" s="561"/>
    </row>
    <row r="284" spans="1:22" s="492" customFormat="1" ht="48.6">
      <c r="A284" s="1229" t="s">
        <v>309</v>
      </c>
      <c r="B284" s="1206" t="s">
        <v>325</v>
      </c>
      <c r="C284" s="1205">
        <v>38</v>
      </c>
      <c r="D284" s="1206" t="s">
        <v>343</v>
      </c>
      <c r="E284" s="494" t="s">
        <v>136</v>
      </c>
      <c r="F284" s="496" t="s">
        <v>105</v>
      </c>
      <c r="G284" s="494"/>
      <c r="H284" s="505">
        <f>84578725.86/10^6</f>
        <v>84.578725860000006</v>
      </c>
      <c r="I284" s="1248">
        <v>45901</v>
      </c>
      <c r="J284" s="955">
        <f>2272914.6/10^6</f>
        <v>2.2729146</v>
      </c>
      <c r="K284" s="959">
        <f>9429528.44/10^6</f>
        <v>9.4295284400000003</v>
      </c>
      <c r="L284" s="946">
        <f>L235+J284</f>
        <v>70.823442809999989</v>
      </c>
      <c r="M284" s="959">
        <f>K284+M235</f>
        <v>36.701423239999997</v>
      </c>
      <c r="N284" s="943"/>
      <c r="O284" s="961" t="s">
        <v>405</v>
      </c>
      <c r="P284" s="945" t="s">
        <v>41</v>
      </c>
      <c r="Q284" s="946" t="s">
        <v>41</v>
      </c>
      <c r="R284" s="541" t="s">
        <v>41</v>
      </c>
      <c r="S284" s="561"/>
    </row>
    <row r="285" spans="1:22" s="492" customFormat="1" ht="48.6">
      <c r="A285" s="1229" t="s">
        <v>309</v>
      </c>
      <c r="B285" s="1206" t="s">
        <v>325</v>
      </c>
      <c r="C285" s="1205">
        <v>39</v>
      </c>
      <c r="D285" s="1206" t="s">
        <v>344</v>
      </c>
      <c r="E285" s="494" t="s">
        <v>136</v>
      </c>
      <c r="F285" s="496" t="s">
        <v>110</v>
      </c>
      <c r="G285" s="494" t="s">
        <v>345</v>
      </c>
      <c r="H285" s="500">
        <v>3.17</v>
      </c>
      <c r="I285" s="1248">
        <v>45901</v>
      </c>
      <c r="J285" s="955" t="s">
        <v>41</v>
      </c>
      <c r="K285" s="959" t="s">
        <v>41</v>
      </c>
      <c r="L285" s="962">
        <v>3.17</v>
      </c>
      <c r="M285" s="996">
        <f>697071.09/1000000</f>
        <v>0.69707109</v>
      </c>
      <c r="N285" s="943"/>
      <c r="O285" s="944"/>
      <c r="P285" s="945"/>
      <c r="Q285" s="946"/>
      <c r="R285" s="541"/>
      <c r="S285" s="561"/>
    </row>
    <row r="286" spans="1:22" s="492" customFormat="1" ht="48.6">
      <c r="A286" s="1229" t="s">
        <v>309</v>
      </c>
      <c r="B286" s="1206" t="s">
        <v>325</v>
      </c>
      <c r="C286" s="1205">
        <v>40</v>
      </c>
      <c r="D286" s="1206" t="s">
        <v>346</v>
      </c>
      <c r="E286" s="494" t="s">
        <v>136</v>
      </c>
      <c r="F286" s="496" t="s">
        <v>110</v>
      </c>
      <c r="G286" s="494" t="s">
        <v>345</v>
      </c>
      <c r="H286" s="500">
        <v>5.84</v>
      </c>
      <c r="I286" s="1248">
        <v>45901</v>
      </c>
      <c r="J286" s="955" t="s">
        <v>41</v>
      </c>
      <c r="K286" s="959" t="s">
        <v>41</v>
      </c>
      <c r="L286" s="962">
        <v>5.84</v>
      </c>
      <c r="M286" s="996">
        <f>5520679.76/1000000</f>
        <v>5.5206797600000002</v>
      </c>
      <c r="N286" s="943"/>
      <c r="O286" s="944"/>
      <c r="P286" s="945"/>
      <c r="Q286" s="946"/>
      <c r="R286" s="541"/>
      <c r="S286" s="561"/>
    </row>
    <row r="287" spans="1:22" s="492" customFormat="1" ht="48.6">
      <c r="A287" s="1229" t="s">
        <v>309</v>
      </c>
      <c r="B287" s="1206" t="s">
        <v>325</v>
      </c>
      <c r="C287" s="1205">
        <v>41</v>
      </c>
      <c r="D287" s="1206" t="s">
        <v>347</v>
      </c>
      <c r="E287" s="494" t="s">
        <v>38</v>
      </c>
      <c r="F287" s="496" t="s">
        <v>106</v>
      </c>
      <c r="G287" s="494" t="s">
        <v>285</v>
      </c>
      <c r="H287" s="500" t="s">
        <v>41</v>
      </c>
      <c r="I287" s="1248">
        <v>45901</v>
      </c>
      <c r="J287" s="955" t="s">
        <v>41</v>
      </c>
      <c r="K287" s="959" t="s">
        <v>41</v>
      </c>
      <c r="L287" s="962" t="s">
        <v>41</v>
      </c>
      <c r="M287" s="959" t="s">
        <v>41</v>
      </c>
      <c r="N287" s="943"/>
      <c r="O287" s="944" t="s">
        <v>387</v>
      </c>
      <c r="P287" s="945"/>
      <c r="Q287" s="946"/>
      <c r="R287" s="541"/>
      <c r="S287" s="561"/>
    </row>
    <row r="288" spans="1:22" s="492" customFormat="1" ht="48.6">
      <c r="A288" s="1229" t="s">
        <v>309</v>
      </c>
      <c r="B288" s="1206" t="s">
        <v>325</v>
      </c>
      <c r="C288" s="1205">
        <v>42</v>
      </c>
      <c r="D288" s="1206" t="s">
        <v>347</v>
      </c>
      <c r="E288" s="494" t="s">
        <v>136</v>
      </c>
      <c r="F288" s="496" t="s">
        <v>106</v>
      </c>
      <c r="G288" s="494" t="s">
        <v>285</v>
      </c>
      <c r="H288" s="506">
        <v>155.07</v>
      </c>
      <c r="I288" s="1248">
        <v>45901</v>
      </c>
      <c r="J288" s="955">
        <v>166.15500000000003</v>
      </c>
      <c r="K288" s="959">
        <v>165.98</v>
      </c>
      <c r="L288" s="946">
        <f>J288</f>
        <v>166.15500000000003</v>
      </c>
      <c r="M288" s="957">
        <f>K288</f>
        <v>165.98</v>
      </c>
      <c r="N288" s="943"/>
      <c r="O288" s="944" t="s">
        <v>387</v>
      </c>
      <c r="P288" s="945"/>
      <c r="Q288" s="946"/>
      <c r="R288" s="541"/>
      <c r="S288" s="561"/>
    </row>
    <row r="289" spans="1:19" s="492" customFormat="1" ht="48.6">
      <c r="A289" s="1229" t="s">
        <v>309</v>
      </c>
      <c r="B289" s="1206" t="s">
        <v>325</v>
      </c>
      <c r="C289" s="1205">
        <v>43</v>
      </c>
      <c r="D289" s="1206" t="s">
        <v>349</v>
      </c>
      <c r="E289" s="494" t="s">
        <v>136</v>
      </c>
      <c r="F289" s="496" t="s">
        <v>340</v>
      </c>
      <c r="G289" s="494" t="s">
        <v>134</v>
      </c>
      <c r="H289" s="500">
        <v>5.4</v>
      </c>
      <c r="I289" s="1248">
        <v>45901</v>
      </c>
      <c r="J289" s="955" t="s">
        <v>41</v>
      </c>
      <c r="K289" s="959" t="s">
        <v>41</v>
      </c>
      <c r="L289" s="962" t="s">
        <v>41</v>
      </c>
      <c r="M289" s="959" t="s">
        <v>41</v>
      </c>
      <c r="N289" s="943"/>
      <c r="O289" s="944"/>
      <c r="P289" s="945"/>
      <c r="Q289" s="946"/>
      <c r="R289" s="541"/>
      <c r="S289" s="561"/>
    </row>
    <row r="290" spans="1:19" s="492" customFormat="1" ht="48.6">
      <c r="A290" s="1229" t="s">
        <v>309</v>
      </c>
      <c r="B290" s="1206" t="s">
        <v>325</v>
      </c>
      <c r="C290" s="1205">
        <v>44</v>
      </c>
      <c r="D290" s="1206" t="s">
        <v>350</v>
      </c>
      <c r="E290" s="494" t="s">
        <v>38</v>
      </c>
      <c r="F290" s="496" t="s">
        <v>106</v>
      </c>
      <c r="G290" s="494" t="s">
        <v>134</v>
      </c>
      <c r="H290" s="500" t="s">
        <v>41</v>
      </c>
      <c r="I290" s="1248">
        <v>45901</v>
      </c>
      <c r="J290" s="955" t="s">
        <v>41</v>
      </c>
      <c r="K290" s="959" t="s">
        <v>41</v>
      </c>
      <c r="L290" s="962" t="s">
        <v>41</v>
      </c>
      <c r="M290" s="959" t="s">
        <v>41</v>
      </c>
      <c r="N290" s="943"/>
      <c r="O290" s="944" t="s">
        <v>361</v>
      </c>
      <c r="P290" s="945"/>
      <c r="Q290" s="946"/>
      <c r="R290" s="541"/>
      <c r="S290" s="561"/>
    </row>
    <row r="291" spans="1:19" s="492" customFormat="1" ht="48.6">
      <c r="A291" s="1229" t="s">
        <v>309</v>
      </c>
      <c r="B291" s="1206" t="s">
        <v>325</v>
      </c>
      <c r="C291" s="1205">
        <v>45</v>
      </c>
      <c r="D291" s="1206" t="s">
        <v>350</v>
      </c>
      <c r="E291" s="494" t="s">
        <v>136</v>
      </c>
      <c r="F291" s="496" t="s">
        <v>106</v>
      </c>
      <c r="G291" s="494" t="s">
        <v>134</v>
      </c>
      <c r="H291" s="506">
        <v>3</v>
      </c>
      <c r="I291" s="1248">
        <v>45901</v>
      </c>
      <c r="J291" s="955" t="s">
        <v>41</v>
      </c>
      <c r="K291" s="959" t="s">
        <v>41</v>
      </c>
      <c r="L291" s="962" t="s">
        <v>41</v>
      </c>
      <c r="M291" s="959" t="s">
        <v>41</v>
      </c>
      <c r="N291" s="943"/>
      <c r="O291" s="944" t="s">
        <v>361</v>
      </c>
      <c r="P291" s="945"/>
      <c r="Q291" s="946"/>
      <c r="R291" s="541"/>
      <c r="S291" s="561"/>
    </row>
    <row r="292" spans="1:19" s="492" customFormat="1" ht="48.6">
      <c r="A292" s="1229" t="s">
        <v>309</v>
      </c>
      <c r="B292" s="1221" t="s">
        <v>351</v>
      </c>
      <c r="C292" s="1205">
        <v>46</v>
      </c>
      <c r="D292" s="1227" t="s">
        <v>352</v>
      </c>
      <c r="E292" s="494" t="s">
        <v>353</v>
      </c>
      <c r="F292" s="496" t="s">
        <v>312</v>
      </c>
      <c r="G292" s="497" t="s">
        <v>40</v>
      </c>
      <c r="H292" s="500">
        <v>1.2</v>
      </c>
      <c r="I292" s="1248">
        <v>45901</v>
      </c>
      <c r="J292" s="955" t="s">
        <v>41</v>
      </c>
      <c r="K292" s="959" t="s">
        <v>41</v>
      </c>
      <c r="L292" s="962" t="s">
        <v>41</v>
      </c>
      <c r="M292" s="957"/>
      <c r="N292" s="943"/>
      <c r="O292" s="944"/>
      <c r="P292" s="945"/>
      <c r="Q292" s="946"/>
      <c r="R292" s="541"/>
      <c r="S292" s="561"/>
    </row>
    <row r="293" spans="1:19" s="492" customFormat="1" ht="48.6">
      <c r="A293" s="1229" t="s">
        <v>309</v>
      </c>
      <c r="B293" s="1221" t="s">
        <v>354</v>
      </c>
      <c r="C293" s="1205">
        <v>47</v>
      </c>
      <c r="D293" s="1221" t="s">
        <v>355</v>
      </c>
      <c r="E293" s="494" t="s">
        <v>353</v>
      </c>
      <c r="F293" s="496" t="s">
        <v>327</v>
      </c>
      <c r="G293" s="497" t="s">
        <v>40</v>
      </c>
      <c r="H293" s="501">
        <v>0</v>
      </c>
      <c r="I293" s="1248">
        <v>45901</v>
      </c>
      <c r="J293" s="955" t="s">
        <v>41</v>
      </c>
      <c r="K293" s="959" t="s">
        <v>41</v>
      </c>
      <c r="L293" s="960">
        <v>0</v>
      </c>
      <c r="M293" s="957">
        <v>4.71</v>
      </c>
      <c r="N293" s="995" t="s">
        <v>41</v>
      </c>
      <c r="O293" s="944"/>
      <c r="P293" s="945"/>
      <c r="Q293" s="946"/>
      <c r="R293" s="541"/>
      <c r="S293" s="561"/>
    </row>
    <row r="294" spans="1:19" s="492" customFormat="1" ht="48.6">
      <c r="A294" s="1229" t="s">
        <v>309</v>
      </c>
      <c r="B294" s="1221" t="s">
        <v>356</v>
      </c>
      <c r="C294" s="1205">
        <v>48</v>
      </c>
      <c r="D294" s="1221" t="s">
        <v>355</v>
      </c>
      <c r="E294" s="494" t="s">
        <v>353</v>
      </c>
      <c r="F294" s="496" t="s">
        <v>321</v>
      </c>
      <c r="G294" s="497" t="s">
        <v>40</v>
      </c>
      <c r="H294" s="501">
        <v>0</v>
      </c>
      <c r="I294" s="1248">
        <v>45901</v>
      </c>
      <c r="J294" s="955">
        <v>0</v>
      </c>
      <c r="K294" s="959">
        <v>0</v>
      </c>
      <c r="L294" s="962">
        <v>0</v>
      </c>
      <c r="M294" s="957">
        <v>0</v>
      </c>
      <c r="N294" s="943"/>
      <c r="O294" s="944"/>
      <c r="P294" s="945"/>
      <c r="Q294" s="946"/>
      <c r="R294" s="541"/>
      <c r="S294" s="561"/>
    </row>
    <row r="295" spans="1:19" s="492" customFormat="1" ht="48.6">
      <c r="A295" s="1229" t="s">
        <v>309</v>
      </c>
      <c r="B295" s="1230" t="s">
        <v>357</v>
      </c>
      <c r="C295" s="1205">
        <v>49</v>
      </c>
      <c r="D295" s="1216" t="s">
        <v>41</v>
      </c>
      <c r="E295" s="494" t="s">
        <v>38</v>
      </c>
      <c r="F295" s="496" t="s">
        <v>312</v>
      </c>
      <c r="G295" s="497" t="s">
        <v>41</v>
      </c>
      <c r="H295" s="501"/>
      <c r="I295" s="1248">
        <v>45901</v>
      </c>
      <c r="J295" s="958">
        <v>17</v>
      </c>
      <c r="K295" s="956">
        <v>16</v>
      </c>
      <c r="L295" s="960">
        <f>L246+J295</f>
        <v>143</v>
      </c>
      <c r="M295" s="972">
        <f>M246+K295</f>
        <v>122</v>
      </c>
      <c r="N295" s="943"/>
      <c r="O295" s="944"/>
      <c r="P295" s="945"/>
      <c r="Q295" s="946"/>
      <c r="R295" s="541"/>
      <c r="S295" s="561"/>
    </row>
    <row r="296" spans="1:19" s="492" customFormat="1" ht="48.6">
      <c r="A296" s="1229" t="s">
        <v>309</v>
      </c>
      <c r="B296" s="1221" t="s">
        <v>310</v>
      </c>
      <c r="C296" s="1205">
        <v>1</v>
      </c>
      <c r="D296" s="1206" t="s">
        <v>311</v>
      </c>
      <c r="E296" s="494" t="s">
        <v>38</v>
      </c>
      <c r="F296" s="496" t="s">
        <v>312</v>
      </c>
      <c r="G296" s="494" t="s">
        <v>40</v>
      </c>
      <c r="H296" s="500">
        <v>0</v>
      </c>
      <c r="I296" s="1248">
        <v>45931</v>
      </c>
      <c r="J296" s="958">
        <f>IF(H296=0,0,IF(H296="-","-",ROUND(H296/12,2)))</f>
        <v>0</v>
      </c>
      <c r="K296" s="959">
        <v>0</v>
      </c>
      <c r="L296" s="971">
        <v>0</v>
      </c>
      <c r="M296" s="957">
        <v>0</v>
      </c>
      <c r="N296" s="943"/>
      <c r="O296" s="944"/>
      <c r="P296" s="945"/>
      <c r="Q296" s="946"/>
      <c r="R296" s="541"/>
      <c r="S296" s="561"/>
    </row>
    <row r="297" spans="1:19" s="492" customFormat="1" ht="48.6">
      <c r="A297" s="1229" t="s">
        <v>309</v>
      </c>
      <c r="B297" s="1221" t="s">
        <v>310</v>
      </c>
      <c r="C297" s="1205">
        <v>2</v>
      </c>
      <c r="D297" s="1206" t="s">
        <v>313</v>
      </c>
      <c r="E297" s="494" t="s">
        <v>38</v>
      </c>
      <c r="F297" s="496" t="s">
        <v>312</v>
      </c>
      <c r="G297" s="494" t="s">
        <v>40</v>
      </c>
      <c r="H297" s="500">
        <v>9</v>
      </c>
      <c r="I297" s="1248">
        <v>45931</v>
      </c>
      <c r="J297" s="958">
        <f>IF(H297=0,0,IF(H297="-","-",ROUND(H297/12,2)))</f>
        <v>0.75</v>
      </c>
      <c r="K297" s="956">
        <v>0</v>
      </c>
      <c r="L297" s="971">
        <f>J297+L248</f>
        <v>5.25</v>
      </c>
      <c r="M297" s="972">
        <f>K297+M248</f>
        <v>0</v>
      </c>
      <c r="N297" s="943"/>
      <c r="O297" s="944"/>
      <c r="P297" s="945"/>
      <c r="Q297" s="946"/>
      <c r="R297" s="541"/>
      <c r="S297" s="561"/>
    </row>
    <row r="298" spans="1:19" s="492" customFormat="1" ht="48.6">
      <c r="A298" s="1229" t="s">
        <v>309</v>
      </c>
      <c r="B298" s="1221" t="s">
        <v>310</v>
      </c>
      <c r="C298" s="1205">
        <v>3</v>
      </c>
      <c r="D298" s="1206" t="s">
        <v>314</v>
      </c>
      <c r="E298" s="494" t="s">
        <v>38</v>
      </c>
      <c r="F298" s="496" t="s">
        <v>312</v>
      </c>
      <c r="G298" s="494" t="s">
        <v>40</v>
      </c>
      <c r="H298" s="500">
        <v>0</v>
      </c>
      <c r="I298" s="1248">
        <v>45931</v>
      </c>
      <c r="J298" s="958">
        <f>IF(H298=0,0,IF(H298="-","-",ROUND(H298/12,2)))</f>
        <v>0</v>
      </c>
      <c r="K298" s="956">
        <v>0</v>
      </c>
      <c r="L298" s="971">
        <f>J298+L249</f>
        <v>0</v>
      </c>
      <c r="M298" s="2431">
        <f>K298+M249</f>
        <v>0</v>
      </c>
      <c r="N298" s="943"/>
      <c r="O298" s="944"/>
      <c r="P298" s="945"/>
      <c r="Q298" s="946"/>
      <c r="R298" s="541"/>
      <c r="S298" s="561"/>
    </row>
    <row r="299" spans="1:19" s="492" customFormat="1" ht="48.6">
      <c r="A299" s="1229" t="s">
        <v>309</v>
      </c>
      <c r="B299" s="1221" t="s">
        <v>310</v>
      </c>
      <c r="C299" s="1205">
        <v>4</v>
      </c>
      <c r="D299" s="1206" t="s">
        <v>315</v>
      </c>
      <c r="E299" s="494" t="s">
        <v>38</v>
      </c>
      <c r="F299" s="496" t="s">
        <v>316</v>
      </c>
      <c r="G299" s="494" t="s">
        <v>40</v>
      </c>
      <c r="H299" s="500">
        <v>281</v>
      </c>
      <c r="I299" s="1248">
        <v>45931</v>
      </c>
      <c r="J299" s="958">
        <v>33</v>
      </c>
      <c r="K299" s="956">
        <v>22</v>
      </c>
      <c r="L299" s="971">
        <f t="shared" ref="L299:M299" si="22">J299+L250</f>
        <v>159</v>
      </c>
      <c r="M299" s="972">
        <f t="shared" si="22"/>
        <v>143</v>
      </c>
      <c r="N299" s="943"/>
      <c r="O299" s="944"/>
      <c r="P299" s="945"/>
      <c r="Q299" s="946"/>
      <c r="R299" s="541"/>
      <c r="S299" s="561"/>
    </row>
    <row r="300" spans="1:19" s="492" customFormat="1" ht="48.6">
      <c r="A300" s="1229" t="s">
        <v>309</v>
      </c>
      <c r="B300" s="1221" t="s">
        <v>310</v>
      </c>
      <c r="C300" s="1205">
        <v>5</v>
      </c>
      <c r="D300" s="1206" t="s">
        <v>315</v>
      </c>
      <c r="E300" s="494" t="s">
        <v>136</v>
      </c>
      <c r="F300" s="496" t="s">
        <v>316</v>
      </c>
      <c r="G300" s="494" t="s">
        <v>40</v>
      </c>
      <c r="H300" s="500">
        <v>117</v>
      </c>
      <c r="I300" s="1248">
        <v>45931</v>
      </c>
      <c r="J300" s="955">
        <v>19.100000000000001</v>
      </c>
      <c r="K300" s="959">
        <v>8.36</v>
      </c>
      <c r="L300" s="946">
        <f t="shared" ref="L300:M300" si="23">J300+L251</f>
        <v>57.914000000000001</v>
      </c>
      <c r="M300" s="957">
        <f t="shared" si="23"/>
        <v>44.66</v>
      </c>
      <c r="N300" s="943"/>
      <c r="O300" s="944"/>
      <c r="P300" s="945"/>
      <c r="Q300" s="946"/>
      <c r="R300" s="541"/>
      <c r="S300" s="561"/>
    </row>
    <row r="301" spans="1:19" s="492" customFormat="1" ht="48.6">
      <c r="A301" s="1229" t="s">
        <v>309</v>
      </c>
      <c r="B301" s="1221" t="s">
        <v>310</v>
      </c>
      <c r="C301" s="1205">
        <v>6</v>
      </c>
      <c r="D301" s="1206" t="s">
        <v>317</v>
      </c>
      <c r="E301" s="494" t="s">
        <v>38</v>
      </c>
      <c r="F301" s="496" t="s">
        <v>316</v>
      </c>
      <c r="G301" s="494" t="s">
        <v>40</v>
      </c>
      <c r="H301" s="500">
        <v>0</v>
      </c>
      <c r="I301" s="1248">
        <v>45931</v>
      </c>
      <c r="J301" s="958">
        <f>IF(H301=0,0,IF(H301="-","-",ROUND(H301/12,2)))</f>
        <v>0</v>
      </c>
      <c r="K301" s="959">
        <v>0</v>
      </c>
      <c r="L301" s="971">
        <v>0</v>
      </c>
      <c r="M301" s="957">
        <v>0</v>
      </c>
      <c r="N301" s="943"/>
      <c r="O301" s="944"/>
      <c r="P301" s="945"/>
      <c r="Q301" s="946"/>
      <c r="R301" s="541"/>
      <c r="S301" s="561"/>
    </row>
    <row r="302" spans="1:19" s="492" customFormat="1" ht="48.6">
      <c r="A302" s="1229" t="s">
        <v>309</v>
      </c>
      <c r="B302" s="1221" t="s">
        <v>310</v>
      </c>
      <c r="C302" s="1205">
        <v>7</v>
      </c>
      <c r="D302" s="1206" t="s">
        <v>317</v>
      </c>
      <c r="E302" s="494" t="s">
        <v>136</v>
      </c>
      <c r="F302" s="496" t="s">
        <v>316</v>
      </c>
      <c r="G302" s="494" t="s">
        <v>40</v>
      </c>
      <c r="H302" s="500">
        <v>0</v>
      </c>
      <c r="I302" s="1248">
        <v>45931</v>
      </c>
      <c r="J302" s="958">
        <f>IF(H302=0,0,IF(H302="-","-",ROUND(H302/12,2)))</f>
        <v>0</v>
      </c>
      <c r="K302" s="959">
        <v>0</v>
      </c>
      <c r="L302" s="971">
        <v>0</v>
      </c>
      <c r="M302" s="957">
        <v>0</v>
      </c>
      <c r="N302" s="943"/>
      <c r="O302" s="944"/>
      <c r="P302" s="945"/>
      <c r="Q302" s="946"/>
      <c r="R302" s="541"/>
      <c r="S302" s="561"/>
    </row>
    <row r="303" spans="1:19" s="492" customFormat="1" ht="48.6">
      <c r="A303" s="1229" t="s">
        <v>309</v>
      </c>
      <c r="B303" s="1221" t="s">
        <v>310</v>
      </c>
      <c r="C303" s="1205">
        <v>8</v>
      </c>
      <c r="D303" s="1206" t="s">
        <v>318</v>
      </c>
      <c r="E303" s="494" t="s">
        <v>38</v>
      </c>
      <c r="F303" s="496" t="s">
        <v>316</v>
      </c>
      <c r="G303" s="494" t="s">
        <v>40</v>
      </c>
      <c r="H303" s="500">
        <v>195</v>
      </c>
      <c r="I303" s="1248">
        <v>45931</v>
      </c>
      <c r="J303" s="958">
        <v>10</v>
      </c>
      <c r="K303" s="956">
        <v>15</v>
      </c>
      <c r="L303" s="946">
        <f t="shared" ref="L303:M303" si="24">J303+L254</f>
        <v>132</v>
      </c>
      <c r="M303" s="957">
        <f t="shared" si="24"/>
        <v>53</v>
      </c>
      <c r="N303" s="943"/>
      <c r="O303" s="944"/>
      <c r="P303" s="945"/>
      <c r="Q303" s="946"/>
      <c r="R303" s="541"/>
      <c r="S303" s="561"/>
    </row>
    <row r="304" spans="1:19" s="492" customFormat="1" ht="48.6">
      <c r="A304" s="1229" t="s">
        <v>309</v>
      </c>
      <c r="B304" s="1221" t="s">
        <v>310</v>
      </c>
      <c r="C304" s="1205">
        <v>9</v>
      </c>
      <c r="D304" s="1206" t="s">
        <v>318</v>
      </c>
      <c r="E304" s="494" t="s">
        <v>136</v>
      </c>
      <c r="F304" s="496" t="s">
        <v>316</v>
      </c>
      <c r="G304" s="494" t="s">
        <v>40</v>
      </c>
      <c r="H304" s="645">
        <v>313</v>
      </c>
      <c r="I304" s="1248">
        <v>45931</v>
      </c>
      <c r="J304" s="955">
        <v>23.393999999999998</v>
      </c>
      <c r="K304" s="959">
        <v>12.2</v>
      </c>
      <c r="L304" s="946">
        <f t="shared" ref="L304:M304" si="25">J304+L255</f>
        <v>247.006</v>
      </c>
      <c r="M304" s="957">
        <f t="shared" si="25"/>
        <v>58.652999999999992</v>
      </c>
      <c r="N304" s="943"/>
      <c r="O304" s="944"/>
      <c r="P304" s="945"/>
      <c r="Q304" s="946"/>
      <c r="R304" s="541"/>
      <c r="S304" s="561"/>
    </row>
    <row r="305" spans="1:19" s="492" customFormat="1" ht="48.6">
      <c r="A305" s="1229" t="s">
        <v>309</v>
      </c>
      <c r="B305" s="1221" t="s">
        <v>319</v>
      </c>
      <c r="C305" s="1205">
        <v>10</v>
      </c>
      <c r="D305" s="1206" t="s">
        <v>320</v>
      </c>
      <c r="E305" s="494" t="s">
        <v>38</v>
      </c>
      <c r="F305" s="496" t="s">
        <v>321</v>
      </c>
      <c r="G305" s="494" t="s">
        <v>40</v>
      </c>
      <c r="H305" s="500">
        <v>0</v>
      </c>
      <c r="I305" s="1248">
        <v>45931</v>
      </c>
      <c r="J305" s="958">
        <v>0</v>
      </c>
      <c r="K305" s="959">
        <v>0</v>
      </c>
      <c r="L305" s="971">
        <v>0</v>
      </c>
      <c r="M305" s="957">
        <v>0</v>
      </c>
      <c r="N305" s="943"/>
      <c r="O305" s="944"/>
      <c r="P305" s="945"/>
      <c r="Q305" s="946"/>
      <c r="R305" s="541"/>
      <c r="S305" s="561"/>
    </row>
    <row r="306" spans="1:19" s="492" customFormat="1" ht="48.6">
      <c r="A306" s="1229" t="s">
        <v>309</v>
      </c>
      <c r="B306" s="1221" t="s">
        <v>319</v>
      </c>
      <c r="C306" s="1205">
        <v>11</v>
      </c>
      <c r="D306" s="1206" t="s">
        <v>322</v>
      </c>
      <c r="E306" s="494" t="s">
        <v>38</v>
      </c>
      <c r="F306" s="496" t="s">
        <v>321</v>
      </c>
      <c r="G306" s="494" t="s">
        <v>40</v>
      </c>
      <c r="H306" s="500">
        <v>0</v>
      </c>
      <c r="I306" s="1248">
        <v>45931</v>
      </c>
      <c r="J306" s="958">
        <v>0</v>
      </c>
      <c r="K306" s="959">
        <v>0</v>
      </c>
      <c r="L306" s="971">
        <v>0</v>
      </c>
      <c r="M306" s="957">
        <v>0</v>
      </c>
      <c r="N306" s="943"/>
      <c r="O306" s="944"/>
      <c r="P306" s="945"/>
      <c r="Q306" s="946"/>
      <c r="R306" s="541"/>
      <c r="S306" s="561"/>
    </row>
    <row r="307" spans="1:19" s="492" customFormat="1" ht="48.6">
      <c r="A307" s="1229" t="s">
        <v>309</v>
      </c>
      <c r="B307" s="1221" t="s">
        <v>319</v>
      </c>
      <c r="C307" s="1205">
        <v>12</v>
      </c>
      <c r="D307" s="1206" t="s">
        <v>313</v>
      </c>
      <c r="E307" s="494" t="s">
        <v>38</v>
      </c>
      <c r="F307" s="496" t="s">
        <v>321</v>
      </c>
      <c r="G307" s="494" t="s">
        <v>40</v>
      </c>
      <c r="H307" s="500">
        <v>0</v>
      </c>
      <c r="I307" s="1248">
        <v>45931</v>
      </c>
      <c r="J307" s="958">
        <v>0</v>
      </c>
      <c r="K307" s="959">
        <v>0</v>
      </c>
      <c r="L307" s="971">
        <v>0</v>
      </c>
      <c r="M307" s="957">
        <v>4</v>
      </c>
      <c r="N307" s="943"/>
      <c r="O307" s="944"/>
      <c r="P307" s="945"/>
      <c r="Q307" s="946"/>
      <c r="R307" s="541"/>
      <c r="S307" s="561"/>
    </row>
    <row r="308" spans="1:19" s="492" customFormat="1" ht="48.6">
      <c r="A308" s="1229" t="s">
        <v>309</v>
      </c>
      <c r="B308" s="1221" t="s">
        <v>319</v>
      </c>
      <c r="C308" s="1205">
        <v>13</v>
      </c>
      <c r="D308" s="1206" t="s">
        <v>323</v>
      </c>
      <c r="E308" s="494" t="s">
        <v>38</v>
      </c>
      <c r="F308" s="496" t="s">
        <v>321</v>
      </c>
      <c r="G308" s="494" t="s">
        <v>40</v>
      </c>
      <c r="H308" s="500">
        <v>5</v>
      </c>
      <c r="I308" s="1248">
        <v>45931</v>
      </c>
      <c r="J308" s="955" t="s">
        <v>41</v>
      </c>
      <c r="K308" s="959">
        <v>0</v>
      </c>
      <c r="L308" s="946">
        <f>L259</f>
        <v>2</v>
      </c>
      <c r="M308" s="957">
        <v>3</v>
      </c>
      <c r="N308" s="943"/>
      <c r="O308" s="944"/>
      <c r="P308" s="945"/>
      <c r="Q308" s="946"/>
      <c r="R308" s="541"/>
      <c r="S308" s="561"/>
    </row>
    <row r="309" spans="1:19" s="492" customFormat="1" ht="48.6">
      <c r="A309" s="1229" t="s">
        <v>309</v>
      </c>
      <c r="B309" s="1206" t="s">
        <v>324</v>
      </c>
      <c r="C309" s="1205">
        <v>14</v>
      </c>
      <c r="D309" s="1206" t="s">
        <v>311</v>
      </c>
      <c r="E309" s="494" t="s">
        <v>38</v>
      </c>
      <c r="F309" s="496" t="s">
        <v>312</v>
      </c>
      <c r="G309" s="494" t="s">
        <v>40</v>
      </c>
      <c r="H309" s="501">
        <v>0</v>
      </c>
      <c r="I309" s="1248">
        <v>45931</v>
      </c>
      <c r="J309" s="958">
        <v>0</v>
      </c>
      <c r="K309" s="956">
        <v>0</v>
      </c>
      <c r="L309" s="971">
        <v>0</v>
      </c>
      <c r="M309" s="972">
        <f>M260+K309</f>
        <v>0</v>
      </c>
      <c r="N309" s="943"/>
      <c r="O309" s="944"/>
      <c r="P309" s="945"/>
      <c r="Q309" s="946"/>
      <c r="R309" s="1255"/>
      <c r="S309" s="561"/>
    </row>
    <row r="310" spans="1:19" s="492" customFormat="1" ht="48.6">
      <c r="A310" s="1229" t="s">
        <v>309</v>
      </c>
      <c r="B310" s="1206" t="s">
        <v>324</v>
      </c>
      <c r="C310" s="1205">
        <v>15</v>
      </c>
      <c r="D310" s="1206" t="s">
        <v>313</v>
      </c>
      <c r="E310" s="494" t="s">
        <v>38</v>
      </c>
      <c r="F310" s="496" t="s">
        <v>312</v>
      </c>
      <c r="G310" s="494" t="s">
        <v>40</v>
      </c>
      <c r="H310" s="501">
        <v>30</v>
      </c>
      <c r="I310" s="1248">
        <v>45931</v>
      </c>
      <c r="J310" s="958">
        <f t="shared" ref="J310:J319" si="26">IF(H310=0,0,IF(H310="-","-",ROUND(H310/12,2)))</f>
        <v>2.5</v>
      </c>
      <c r="K310" s="956">
        <v>1</v>
      </c>
      <c r="L310" s="971">
        <f>J310+L261</f>
        <v>15</v>
      </c>
      <c r="M310" s="972">
        <f>M261+K310</f>
        <v>19</v>
      </c>
      <c r="N310" s="943"/>
      <c r="O310" s="944"/>
      <c r="P310" s="945"/>
      <c r="Q310" s="946"/>
      <c r="R310" s="1255"/>
      <c r="S310" s="561"/>
    </row>
    <row r="311" spans="1:19" s="492" customFormat="1" ht="48.6">
      <c r="A311" s="1229" t="s">
        <v>309</v>
      </c>
      <c r="B311" s="1206" t="s">
        <v>324</v>
      </c>
      <c r="C311" s="1205">
        <v>16</v>
      </c>
      <c r="D311" s="1206" t="s">
        <v>314</v>
      </c>
      <c r="E311" s="494" t="s">
        <v>38</v>
      </c>
      <c r="F311" s="496" t="s">
        <v>312</v>
      </c>
      <c r="G311" s="494" t="s">
        <v>40</v>
      </c>
      <c r="H311" s="501">
        <v>0</v>
      </c>
      <c r="I311" s="1248">
        <v>45931</v>
      </c>
      <c r="J311" s="958">
        <f t="shared" si="26"/>
        <v>0</v>
      </c>
      <c r="K311" s="956">
        <v>0</v>
      </c>
      <c r="L311" s="971">
        <f>J311+L262</f>
        <v>0</v>
      </c>
      <c r="M311" s="972">
        <f>M262+K311</f>
        <v>1</v>
      </c>
      <c r="N311" s="943"/>
      <c r="O311" s="944"/>
      <c r="P311" s="945"/>
      <c r="Q311" s="946"/>
      <c r="R311" s="1255"/>
      <c r="S311" s="561"/>
    </row>
    <row r="312" spans="1:19" s="492" customFormat="1" ht="48.6">
      <c r="A312" s="1229" t="s">
        <v>309</v>
      </c>
      <c r="B312" s="1206" t="s">
        <v>325</v>
      </c>
      <c r="C312" s="1205">
        <v>17</v>
      </c>
      <c r="D312" s="1206" t="s">
        <v>326</v>
      </c>
      <c r="E312" s="494" t="s">
        <v>38</v>
      </c>
      <c r="F312" s="496" t="s">
        <v>327</v>
      </c>
      <c r="G312" s="494" t="s">
        <v>40</v>
      </c>
      <c r="H312" s="501">
        <v>0</v>
      </c>
      <c r="I312" s="1248">
        <v>45931</v>
      </c>
      <c r="J312" s="958">
        <f t="shared" si="26"/>
        <v>0</v>
      </c>
      <c r="K312" s="959"/>
      <c r="L312" s="971">
        <v>0</v>
      </c>
      <c r="M312" s="957"/>
      <c r="N312" s="943"/>
      <c r="O312" s="944"/>
      <c r="P312" s="945"/>
      <c r="Q312" s="946"/>
      <c r="R312" s="541"/>
      <c r="S312" s="561"/>
    </row>
    <row r="313" spans="1:19" s="492" customFormat="1" ht="48.6">
      <c r="A313" s="1229" t="s">
        <v>309</v>
      </c>
      <c r="B313" s="1206" t="s">
        <v>325</v>
      </c>
      <c r="C313" s="1205">
        <v>18</v>
      </c>
      <c r="D313" s="1206" t="s">
        <v>326</v>
      </c>
      <c r="E313" s="494" t="s">
        <v>136</v>
      </c>
      <c r="F313" s="496" t="s">
        <v>327</v>
      </c>
      <c r="G313" s="494" t="s">
        <v>40</v>
      </c>
      <c r="H313" s="501">
        <v>0</v>
      </c>
      <c r="I313" s="1248">
        <v>45931</v>
      </c>
      <c r="J313" s="958">
        <f t="shared" si="26"/>
        <v>0</v>
      </c>
      <c r="K313" s="959"/>
      <c r="L313" s="971">
        <v>0</v>
      </c>
      <c r="M313" s="957"/>
      <c r="N313" s="943"/>
      <c r="O313" s="944"/>
      <c r="P313" s="945"/>
      <c r="Q313" s="946"/>
      <c r="R313" s="541"/>
      <c r="S313" s="561"/>
    </row>
    <row r="314" spans="1:19" s="492" customFormat="1" ht="48.6">
      <c r="A314" s="1229" t="s">
        <v>309</v>
      </c>
      <c r="B314" s="1206" t="s">
        <v>325</v>
      </c>
      <c r="C314" s="1205">
        <v>19</v>
      </c>
      <c r="D314" s="1206" t="s">
        <v>328</v>
      </c>
      <c r="E314" s="494" t="s">
        <v>38</v>
      </c>
      <c r="F314" s="496" t="s">
        <v>327</v>
      </c>
      <c r="G314" s="494" t="s">
        <v>40</v>
      </c>
      <c r="H314" s="501" t="s">
        <v>41</v>
      </c>
      <c r="I314" s="1248">
        <v>45931</v>
      </c>
      <c r="J314" s="955" t="str">
        <f t="shared" si="26"/>
        <v>-</v>
      </c>
      <c r="K314" s="959"/>
      <c r="L314" s="946"/>
      <c r="M314" s="957">
        <v>38</v>
      </c>
      <c r="N314" s="943"/>
      <c r="O314" s="944"/>
      <c r="P314" s="945"/>
      <c r="Q314" s="946"/>
      <c r="R314" s="541"/>
      <c r="S314" s="561"/>
    </row>
    <row r="315" spans="1:19" s="492" customFormat="1" ht="48.6">
      <c r="A315" s="1229" t="s">
        <v>309</v>
      </c>
      <c r="B315" s="1206" t="s">
        <v>325</v>
      </c>
      <c r="C315" s="1205">
        <v>20</v>
      </c>
      <c r="D315" s="1206" t="s">
        <v>328</v>
      </c>
      <c r="E315" s="494" t="s">
        <v>136</v>
      </c>
      <c r="F315" s="496" t="s">
        <v>327</v>
      </c>
      <c r="G315" s="494" t="s">
        <v>40</v>
      </c>
      <c r="H315" s="501" t="s">
        <v>41</v>
      </c>
      <c r="I315" s="1248">
        <v>45931</v>
      </c>
      <c r="J315" s="955" t="str">
        <f t="shared" si="26"/>
        <v>-</v>
      </c>
      <c r="K315" s="959"/>
      <c r="L315" s="946"/>
      <c r="M315" s="957">
        <v>121.13</v>
      </c>
      <c r="N315" s="943"/>
      <c r="O315" s="944"/>
      <c r="P315" s="945"/>
      <c r="Q315" s="946"/>
      <c r="R315" s="541"/>
      <c r="S315" s="561"/>
    </row>
    <row r="316" spans="1:19" s="492" customFormat="1" ht="48.6">
      <c r="A316" s="1229" t="s">
        <v>309</v>
      </c>
      <c r="B316" s="1206" t="s">
        <v>325</v>
      </c>
      <c r="C316" s="1205">
        <v>21</v>
      </c>
      <c r="D316" s="1206" t="s">
        <v>329</v>
      </c>
      <c r="E316" s="494" t="s">
        <v>38</v>
      </c>
      <c r="F316" s="496" t="s">
        <v>327</v>
      </c>
      <c r="G316" s="494" t="s">
        <v>40</v>
      </c>
      <c r="H316" s="501" t="s">
        <v>41</v>
      </c>
      <c r="I316" s="1248">
        <v>45931</v>
      </c>
      <c r="J316" s="955" t="str">
        <f t="shared" si="26"/>
        <v>-</v>
      </c>
      <c r="K316" s="957" t="s">
        <v>41</v>
      </c>
      <c r="L316" s="946"/>
      <c r="M316" s="957">
        <v>172</v>
      </c>
      <c r="N316" s="943"/>
      <c r="O316" s="961" t="s">
        <v>406</v>
      </c>
      <c r="P316" s="945"/>
      <c r="Q316" s="946"/>
      <c r="R316" s="541"/>
      <c r="S316" s="561"/>
    </row>
    <row r="317" spans="1:19" s="492" customFormat="1" ht="48.6">
      <c r="A317" s="1229" t="s">
        <v>309</v>
      </c>
      <c r="B317" s="1206" t="s">
        <v>325</v>
      </c>
      <c r="C317" s="1205">
        <v>22</v>
      </c>
      <c r="D317" s="1206" t="s">
        <v>329</v>
      </c>
      <c r="E317" s="494" t="s">
        <v>136</v>
      </c>
      <c r="F317" s="496" t="s">
        <v>327</v>
      </c>
      <c r="G317" s="494" t="s">
        <v>40</v>
      </c>
      <c r="H317" s="501" t="s">
        <v>41</v>
      </c>
      <c r="I317" s="1248">
        <v>45931</v>
      </c>
      <c r="J317" s="955" t="str">
        <f t="shared" si="26"/>
        <v>-</v>
      </c>
      <c r="K317" s="957" t="s">
        <v>41</v>
      </c>
      <c r="L317" s="946"/>
      <c r="M317" s="957">
        <v>124.6</v>
      </c>
      <c r="N317" s="943"/>
      <c r="O317" s="961"/>
      <c r="P317" s="945"/>
      <c r="Q317" s="946"/>
      <c r="R317" s="541"/>
      <c r="S317" s="561"/>
    </row>
    <row r="318" spans="1:19" s="492" customFormat="1" ht="48.6">
      <c r="A318" s="1229" t="s">
        <v>309</v>
      </c>
      <c r="B318" s="1206" t="s">
        <v>325</v>
      </c>
      <c r="C318" s="1205">
        <v>23</v>
      </c>
      <c r="D318" s="1206" t="s">
        <v>330</v>
      </c>
      <c r="E318" s="494" t="s">
        <v>38</v>
      </c>
      <c r="F318" s="496" t="s">
        <v>327</v>
      </c>
      <c r="G318" s="494" t="s">
        <v>40</v>
      </c>
      <c r="H318" s="501" t="s">
        <v>41</v>
      </c>
      <c r="I318" s="1248">
        <v>45931</v>
      </c>
      <c r="J318" s="955" t="str">
        <f t="shared" si="26"/>
        <v>-</v>
      </c>
      <c r="K318" s="957" t="s">
        <v>41</v>
      </c>
      <c r="L318" s="946"/>
      <c r="M318" s="957">
        <v>162</v>
      </c>
      <c r="N318" s="943"/>
      <c r="O318" s="961" t="s">
        <v>407</v>
      </c>
      <c r="P318" s="945"/>
      <c r="Q318" s="946"/>
      <c r="R318" s="541"/>
      <c r="S318" s="561"/>
    </row>
    <row r="319" spans="1:19" s="492" customFormat="1" ht="48.6">
      <c r="A319" s="1229" t="s">
        <v>309</v>
      </c>
      <c r="B319" s="1206" t="s">
        <v>325</v>
      </c>
      <c r="C319" s="1205">
        <v>24</v>
      </c>
      <c r="D319" s="1206" t="s">
        <v>330</v>
      </c>
      <c r="E319" s="494" t="s">
        <v>136</v>
      </c>
      <c r="F319" s="496" t="s">
        <v>327</v>
      </c>
      <c r="G319" s="494" t="s">
        <v>40</v>
      </c>
      <c r="H319" s="501" t="s">
        <v>41</v>
      </c>
      <c r="I319" s="1248">
        <v>45931</v>
      </c>
      <c r="J319" s="955" t="str">
        <f t="shared" si="26"/>
        <v>-</v>
      </c>
      <c r="K319" s="957" t="s">
        <v>41</v>
      </c>
      <c r="L319" s="946"/>
      <c r="M319" s="957">
        <v>100.4</v>
      </c>
      <c r="N319" s="943"/>
      <c r="O319" s="944"/>
      <c r="P319" s="945"/>
      <c r="Q319" s="946"/>
      <c r="R319" s="541"/>
      <c r="S319" s="561"/>
    </row>
    <row r="320" spans="1:19" s="492" customFormat="1" ht="243">
      <c r="A320" s="1229" t="s">
        <v>309</v>
      </c>
      <c r="B320" s="1206" t="s">
        <v>325</v>
      </c>
      <c r="C320" s="1205">
        <v>25</v>
      </c>
      <c r="D320" s="1206" t="s">
        <v>331</v>
      </c>
      <c r="E320" s="494" t="s">
        <v>38</v>
      </c>
      <c r="F320" s="496" t="s">
        <v>327</v>
      </c>
      <c r="G320" s="494" t="s">
        <v>285</v>
      </c>
      <c r="H320" s="501">
        <v>0</v>
      </c>
      <c r="I320" s="1248">
        <v>45931</v>
      </c>
      <c r="J320" s="958">
        <v>0</v>
      </c>
      <c r="K320" s="959">
        <v>0</v>
      </c>
      <c r="L320" s="971">
        <f>L271-J320</f>
        <v>16</v>
      </c>
      <c r="M320" s="957">
        <v>16</v>
      </c>
      <c r="N320" s="987">
        <v>20</v>
      </c>
      <c r="O320" s="961" t="s">
        <v>408</v>
      </c>
      <c r="P320" s="973"/>
      <c r="Q320" s="946"/>
      <c r="R320" s="541"/>
      <c r="S320" s="561"/>
    </row>
    <row r="321" spans="1:19" s="492" customFormat="1" ht="48.6">
      <c r="A321" s="1229" t="s">
        <v>309</v>
      </c>
      <c r="B321" s="1206" t="s">
        <v>325</v>
      </c>
      <c r="C321" s="1205">
        <v>26</v>
      </c>
      <c r="D321" s="1216" t="s">
        <v>331</v>
      </c>
      <c r="E321" s="494" t="s">
        <v>136</v>
      </c>
      <c r="F321" s="496" t="s">
        <v>327</v>
      </c>
      <c r="G321" s="494" t="s">
        <v>332</v>
      </c>
      <c r="H321" s="501">
        <v>0</v>
      </c>
      <c r="I321" s="1248">
        <v>45931</v>
      </c>
      <c r="J321" s="997">
        <v>0</v>
      </c>
      <c r="K321" s="959">
        <v>0</v>
      </c>
      <c r="L321" s="946">
        <f>L272-J321</f>
        <v>36.33</v>
      </c>
      <c r="M321" s="957">
        <v>13.19</v>
      </c>
      <c r="N321" s="943">
        <v>25.41</v>
      </c>
      <c r="O321" s="944"/>
      <c r="P321" s="945"/>
      <c r="Q321" s="946"/>
      <c r="R321" s="541"/>
      <c r="S321" s="561"/>
    </row>
    <row r="322" spans="1:19" s="492" customFormat="1" ht="48.6">
      <c r="A322" s="1229" t="s">
        <v>309</v>
      </c>
      <c r="B322" s="1206" t="s">
        <v>325</v>
      </c>
      <c r="C322" s="1205">
        <v>27</v>
      </c>
      <c r="D322" s="1216" t="s">
        <v>334</v>
      </c>
      <c r="E322" s="494" t="s">
        <v>38</v>
      </c>
      <c r="F322" s="496" t="s">
        <v>327</v>
      </c>
      <c r="G322" s="494" t="s">
        <v>392</v>
      </c>
      <c r="H322" s="501">
        <v>0</v>
      </c>
      <c r="I322" s="1248">
        <v>45931</v>
      </c>
      <c r="J322" s="958">
        <v>0</v>
      </c>
      <c r="K322" s="959">
        <v>0</v>
      </c>
      <c r="L322" s="971">
        <f>($J$371+$J$420+$J$469+$J$518+$J$566)</f>
        <v>6</v>
      </c>
      <c r="M322" s="957">
        <f>M273-K322</f>
        <v>15</v>
      </c>
      <c r="N322" s="943"/>
      <c r="O322" s="961" t="s">
        <v>402</v>
      </c>
      <c r="P322" s="945"/>
      <c r="Q322" s="946"/>
      <c r="R322" s="541"/>
      <c r="S322" s="561"/>
    </row>
    <row r="323" spans="1:19" s="492" customFormat="1" ht="48.6">
      <c r="A323" s="1229" t="s">
        <v>309</v>
      </c>
      <c r="B323" s="1206" t="s">
        <v>325</v>
      </c>
      <c r="C323" s="1205">
        <v>28</v>
      </c>
      <c r="D323" s="1216" t="s">
        <v>334</v>
      </c>
      <c r="E323" s="494" t="s">
        <v>136</v>
      </c>
      <c r="F323" s="496" t="s">
        <v>327</v>
      </c>
      <c r="G323" s="494" t="s">
        <v>392</v>
      </c>
      <c r="H323" s="501">
        <v>0</v>
      </c>
      <c r="I323" s="1248">
        <v>45931</v>
      </c>
      <c r="J323" s="997">
        <v>0</v>
      </c>
      <c r="K323" s="959">
        <v>0</v>
      </c>
      <c r="L323" s="946">
        <f>L274-J323</f>
        <v>3.120000000000001</v>
      </c>
      <c r="M323" s="957">
        <f>M274-K323</f>
        <v>11.65</v>
      </c>
      <c r="N323" s="943"/>
      <c r="O323" s="944"/>
      <c r="P323" s="945"/>
      <c r="Q323" s="946"/>
      <c r="R323" s="541"/>
      <c r="S323" s="561"/>
    </row>
    <row r="324" spans="1:19" s="492" customFormat="1" ht="48.6">
      <c r="A324" s="1229" t="s">
        <v>309</v>
      </c>
      <c r="B324" s="1206" t="s">
        <v>325</v>
      </c>
      <c r="C324" s="1205">
        <v>29</v>
      </c>
      <c r="D324" s="1206" t="s">
        <v>336</v>
      </c>
      <c r="E324" s="494" t="s">
        <v>38</v>
      </c>
      <c r="F324" s="496" t="s">
        <v>316</v>
      </c>
      <c r="G324" s="494" t="s">
        <v>40</v>
      </c>
      <c r="H324" s="501">
        <v>0</v>
      </c>
      <c r="I324" s="1248">
        <v>45931</v>
      </c>
      <c r="J324" s="958">
        <f>IF(H324=0,0,IF(H324="-","-",ROUND(H324/12,2)))</f>
        <v>0</v>
      </c>
      <c r="K324" s="959">
        <v>0</v>
      </c>
      <c r="L324" s="971">
        <v>0</v>
      </c>
      <c r="M324" s="972">
        <v>0</v>
      </c>
      <c r="N324" s="943"/>
      <c r="O324" s="944" t="s">
        <v>370</v>
      </c>
      <c r="P324" s="945"/>
      <c r="Q324" s="946"/>
      <c r="R324" s="541"/>
      <c r="S324" s="561"/>
    </row>
    <row r="325" spans="1:19" s="492" customFormat="1" ht="48.6">
      <c r="A325" s="1229" t="s">
        <v>309</v>
      </c>
      <c r="B325" s="1206" t="s">
        <v>325</v>
      </c>
      <c r="C325" s="1205">
        <v>30</v>
      </c>
      <c r="D325" s="1206" t="s">
        <v>336</v>
      </c>
      <c r="E325" s="494" t="s">
        <v>136</v>
      </c>
      <c r="F325" s="496" t="s">
        <v>316</v>
      </c>
      <c r="G325" s="494" t="s">
        <v>40</v>
      </c>
      <c r="H325" s="501">
        <v>0</v>
      </c>
      <c r="I325" s="1248">
        <v>45931</v>
      </c>
      <c r="J325" s="958">
        <f>IF(H325=0,0,IF(H325="-","-",ROUND(H325/12,2)))</f>
        <v>0</v>
      </c>
      <c r="K325" s="959">
        <v>0</v>
      </c>
      <c r="L325" s="971">
        <v>0</v>
      </c>
      <c r="M325" s="957">
        <v>0</v>
      </c>
      <c r="N325" s="943"/>
      <c r="O325" s="944"/>
      <c r="P325" s="945"/>
      <c r="Q325" s="946"/>
      <c r="R325" s="541"/>
      <c r="S325" s="561"/>
    </row>
    <row r="326" spans="1:19" s="492" customFormat="1" ht="48.6">
      <c r="A326" s="1229" t="s">
        <v>309</v>
      </c>
      <c r="B326" s="1206" t="s">
        <v>325</v>
      </c>
      <c r="C326" s="1205">
        <v>31</v>
      </c>
      <c r="D326" s="1206" t="s">
        <v>338</v>
      </c>
      <c r="E326" s="494" t="s">
        <v>38</v>
      </c>
      <c r="F326" s="496" t="s">
        <v>316</v>
      </c>
      <c r="G326" s="494" t="s">
        <v>40</v>
      </c>
      <c r="H326" s="501">
        <v>0</v>
      </c>
      <c r="I326" s="1248">
        <v>45931</v>
      </c>
      <c r="J326" s="958">
        <f>IF(H326=0,0,IF(H326="-","-",ROUND(H326/12,2)))</f>
        <v>0</v>
      </c>
      <c r="K326" s="959">
        <v>0</v>
      </c>
      <c r="L326" s="971">
        <v>0</v>
      </c>
      <c r="M326" s="957">
        <v>0</v>
      </c>
      <c r="N326" s="943"/>
      <c r="O326" s="944" t="s">
        <v>396</v>
      </c>
      <c r="P326" s="945"/>
      <c r="Q326" s="946"/>
      <c r="R326" s="541"/>
      <c r="S326" s="561"/>
    </row>
    <row r="327" spans="1:19" s="492" customFormat="1" ht="48.6">
      <c r="A327" s="1229" t="s">
        <v>309</v>
      </c>
      <c r="B327" s="1206" t="s">
        <v>325</v>
      </c>
      <c r="C327" s="1205">
        <v>32</v>
      </c>
      <c r="D327" s="1206" t="s">
        <v>338</v>
      </c>
      <c r="E327" s="494" t="s">
        <v>136</v>
      </c>
      <c r="F327" s="496" t="s">
        <v>316</v>
      </c>
      <c r="G327" s="494" t="s">
        <v>40</v>
      </c>
      <c r="H327" s="501">
        <v>0</v>
      </c>
      <c r="I327" s="1248">
        <v>45931</v>
      </c>
      <c r="J327" s="958">
        <f>IF(H327=0,0,IF(H327="-","-",ROUND(H327/12,2)))</f>
        <v>0</v>
      </c>
      <c r="K327" s="959">
        <v>0</v>
      </c>
      <c r="L327" s="971">
        <v>0</v>
      </c>
      <c r="M327" s="957">
        <v>0</v>
      </c>
      <c r="N327" s="943"/>
      <c r="O327" s="944" t="s">
        <v>396</v>
      </c>
      <c r="P327" s="945"/>
      <c r="Q327" s="946"/>
      <c r="R327" s="541"/>
      <c r="S327" s="561"/>
    </row>
    <row r="328" spans="1:19" s="492" customFormat="1" ht="48.6">
      <c r="A328" s="1229" t="s">
        <v>309</v>
      </c>
      <c r="B328" s="1206" t="s">
        <v>325</v>
      </c>
      <c r="C328" s="1205">
        <v>33</v>
      </c>
      <c r="D328" s="1206" t="s">
        <v>339</v>
      </c>
      <c r="E328" s="494" t="s">
        <v>133</v>
      </c>
      <c r="F328" s="496" t="s">
        <v>340</v>
      </c>
      <c r="G328" s="494" t="s">
        <v>341</v>
      </c>
      <c r="H328" s="502">
        <v>5.0000000000000001E-3</v>
      </c>
      <c r="I328" s="1248">
        <v>45931</v>
      </c>
      <c r="J328" s="958" t="s">
        <v>41</v>
      </c>
      <c r="K328" s="956" t="s">
        <v>41</v>
      </c>
      <c r="L328" s="993">
        <v>-5.0000000000000001E-3</v>
      </c>
      <c r="M328" s="975">
        <v>-5.7400000000000003E-3</v>
      </c>
      <c r="N328" s="943"/>
      <c r="O328" s="944"/>
      <c r="P328" s="945"/>
      <c r="Q328" s="946"/>
      <c r="R328" s="541"/>
      <c r="S328" s="561"/>
    </row>
    <row r="329" spans="1:19" s="492" customFormat="1" ht="48.6">
      <c r="A329" s="1229" t="s">
        <v>309</v>
      </c>
      <c r="B329" s="1206" t="s">
        <v>325</v>
      </c>
      <c r="C329" s="1205">
        <v>34</v>
      </c>
      <c r="D329" s="1206" t="s">
        <v>339</v>
      </c>
      <c r="E329" s="494" t="s">
        <v>136</v>
      </c>
      <c r="F329" s="496" t="s">
        <v>340</v>
      </c>
      <c r="G329" s="494" t="s">
        <v>341</v>
      </c>
      <c r="H329" s="503" t="s">
        <v>41</v>
      </c>
      <c r="I329" s="1248">
        <v>45931</v>
      </c>
      <c r="J329" s="955" t="str">
        <f>IF(H329=0,0,IF(H329="-","-",ROUND(H329/12,2)))</f>
        <v>-</v>
      </c>
      <c r="K329" s="956" t="s">
        <v>41</v>
      </c>
      <c r="L329" s="962" t="s">
        <v>41</v>
      </c>
      <c r="M329" s="959">
        <v>-9.1999999999999993</v>
      </c>
      <c r="N329" s="943"/>
      <c r="O329" s="944"/>
      <c r="P329" s="998"/>
      <c r="Q329" s="946"/>
      <c r="R329" s="541"/>
      <c r="S329" s="561"/>
    </row>
    <row r="330" spans="1:19" s="492" customFormat="1" ht="48.6">
      <c r="A330" s="1229" t="s">
        <v>309</v>
      </c>
      <c r="B330" s="1206" t="s">
        <v>325</v>
      </c>
      <c r="C330" s="1205">
        <v>35</v>
      </c>
      <c r="D330" s="1206" t="s">
        <v>342</v>
      </c>
      <c r="E330" s="494" t="s">
        <v>133</v>
      </c>
      <c r="F330" s="496" t="s">
        <v>106</v>
      </c>
      <c r="G330" s="494" t="s">
        <v>285</v>
      </c>
      <c r="H330" s="504">
        <v>3.5000000000000003E-2</v>
      </c>
      <c r="I330" s="1248">
        <v>45931</v>
      </c>
      <c r="J330" s="999">
        <v>3.5499999999999997E-2</v>
      </c>
      <c r="K330" s="1000">
        <v>3.0599999999999999E-2</v>
      </c>
      <c r="L330" s="1001">
        <f>J330</f>
        <v>3.5499999999999997E-2</v>
      </c>
      <c r="M330" s="1000">
        <v>3.0599999999999999E-2</v>
      </c>
      <c r="N330" s="943"/>
      <c r="O330" s="944"/>
      <c r="P330" s="945"/>
      <c r="Q330" s="946"/>
      <c r="R330" s="541"/>
      <c r="S330" s="561"/>
    </row>
    <row r="331" spans="1:19" s="492" customFormat="1" ht="48.6">
      <c r="A331" s="1229" t="s">
        <v>309</v>
      </c>
      <c r="B331" s="1206" t="s">
        <v>325</v>
      </c>
      <c r="C331" s="1205">
        <v>36</v>
      </c>
      <c r="D331" s="1206" t="s">
        <v>342</v>
      </c>
      <c r="E331" s="494" t="s">
        <v>136</v>
      </c>
      <c r="F331" s="496" t="s">
        <v>106</v>
      </c>
      <c r="G331" s="494" t="s">
        <v>285</v>
      </c>
      <c r="H331" s="506">
        <v>642.05999999999995</v>
      </c>
      <c r="I331" s="1248">
        <v>45931</v>
      </c>
      <c r="J331" s="1002">
        <v>651.29999999999995</v>
      </c>
      <c r="K331" s="1003">
        <v>580.29999999999995</v>
      </c>
      <c r="L331" s="1004">
        <f>J331</f>
        <v>651.29999999999995</v>
      </c>
      <c r="M331" s="1003">
        <v>580.29999999999995</v>
      </c>
      <c r="N331" s="943"/>
      <c r="O331" s="944"/>
      <c r="P331" s="945"/>
      <c r="Q331" s="946"/>
      <c r="R331" s="541"/>
      <c r="S331" s="561"/>
    </row>
    <row r="332" spans="1:19" s="492" customFormat="1" ht="48.6">
      <c r="A332" s="1229" t="s">
        <v>309</v>
      </c>
      <c r="B332" s="1206" t="s">
        <v>325</v>
      </c>
      <c r="C332" s="1205">
        <v>37</v>
      </c>
      <c r="D332" s="1206" t="s">
        <v>343</v>
      </c>
      <c r="E332" s="494" t="s">
        <v>38</v>
      </c>
      <c r="F332" s="496" t="s">
        <v>105</v>
      </c>
      <c r="G332" s="494"/>
      <c r="H332" s="500" t="s">
        <v>41</v>
      </c>
      <c r="I332" s="1248">
        <v>45931</v>
      </c>
      <c r="J332" s="955" t="s">
        <v>41</v>
      </c>
      <c r="K332" s="959" t="s">
        <v>41</v>
      </c>
      <c r="L332" s="962" t="s">
        <v>41</v>
      </c>
      <c r="M332" s="959" t="s">
        <v>41</v>
      </c>
      <c r="N332" s="995" t="s">
        <v>41</v>
      </c>
      <c r="O332" s="944"/>
      <c r="P332" s="945"/>
      <c r="Q332" s="946"/>
      <c r="R332" s="541"/>
      <c r="S332" s="561"/>
    </row>
    <row r="333" spans="1:19" s="492" customFormat="1" ht="64.8">
      <c r="A333" s="1229" t="s">
        <v>309</v>
      </c>
      <c r="B333" s="1206" t="s">
        <v>325</v>
      </c>
      <c r="C333" s="1205">
        <v>38</v>
      </c>
      <c r="D333" s="1206" t="s">
        <v>343</v>
      </c>
      <c r="E333" s="494" t="s">
        <v>136</v>
      </c>
      <c r="F333" s="496" t="s">
        <v>105</v>
      </c>
      <c r="G333" s="494"/>
      <c r="H333" s="505">
        <f>84578725.86/10^6</f>
        <v>84.578725860000006</v>
      </c>
      <c r="I333" s="1248">
        <v>45931</v>
      </c>
      <c r="J333" s="955">
        <f>2272914.6/10^6</f>
        <v>2.2729146</v>
      </c>
      <c r="K333" s="959">
        <f>6184421.05/10^6</f>
        <v>6.1844210500000001</v>
      </c>
      <c r="L333" s="946">
        <f>L284+J333</f>
        <v>73.096357409999996</v>
      </c>
      <c r="M333" s="959">
        <f>K333+M284</f>
        <v>42.885844289999994</v>
      </c>
      <c r="N333" s="943"/>
      <c r="O333" s="961" t="s">
        <v>409</v>
      </c>
      <c r="P333" s="945" t="s">
        <v>41</v>
      </c>
      <c r="Q333" s="946" t="s">
        <v>41</v>
      </c>
      <c r="R333" s="541" t="s">
        <v>41</v>
      </c>
      <c r="S333" s="561"/>
    </row>
    <row r="334" spans="1:19" s="492" customFormat="1" ht="48.6">
      <c r="A334" s="1229" t="s">
        <v>309</v>
      </c>
      <c r="B334" s="1206" t="s">
        <v>325</v>
      </c>
      <c r="C334" s="1205">
        <v>39</v>
      </c>
      <c r="D334" s="1206" t="s">
        <v>344</v>
      </c>
      <c r="E334" s="494" t="s">
        <v>136</v>
      </c>
      <c r="F334" s="496" t="s">
        <v>110</v>
      </c>
      <c r="G334" s="494" t="s">
        <v>345</v>
      </c>
      <c r="H334" s="500">
        <v>3.17</v>
      </c>
      <c r="I334" s="1248">
        <v>45931</v>
      </c>
      <c r="J334" s="977" t="s">
        <v>41</v>
      </c>
      <c r="K334" s="959"/>
      <c r="L334" s="985">
        <v>3.17</v>
      </c>
      <c r="M334" s="996">
        <v>0.69707109</v>
      </c>
      <c r="N334" s="943"/>
      <c r="O334" s="944"/>
      <c r="P334" s="945"/>
      <c r="Q334" s="946"/>
      <c r="R334" s="541"/>
      <c r="S334" s="561"/>
    </row>
    <row r="335" spans="1:19" s="492" customFormat="1" ht="48.6">
      <c r="A335" s="1229" t="s">
        <v>309</v>
      </c>
      <c r="B335" s="1206" t="s">
        <v>325</v>
      </c>
      <c r="C335" s="1205">
        <v>40</v>
      </c>
      <c r="D335" s="1206" t="s">
        <v>346</v>
      </c>
      <c r="E335" s="494" t="s">
        <v>136</v>
      </c>
      <c r="F335" s="496" t="s">
        <v>110</v>
      </c>
      <c r="G335" s="494" t="s">
        <v>345</v>
      </c>
      <c r="H335" s="500">
        <v>5.84</v>
      </c>
      <c r="I335" s="1248">
        <v>45931</v>
      </c>
      <c r="J335" s="977" t="s">
        <v>41</v>
      </c>
      <c r="K335" s="959"/>
      <c r="L335" s="985">
        <v>5.84</v>
      </c>
      <c r="M335" s="996">
        <v>5.5206797600000002</v>
      </c>
      <c r="N335" s="943"/>
      <c r="O335" s="944"/>
      <c r="P335" s="945"/>
      <c r="Q335" s="946"/>
      <c r="R335" s="541"/>
      <c r="S335" s="561"/>
    </row>
    <row r="336" spans="1:19" s="492" customFormat="1" ht="48.6">
      <c r="A336" s="1229" t="s">
        <v>309</v>
      </c>
      <c r="B336" s="1206" t="s">
        <v>325</v>
      </c>
      <c r="C336" s="1205">
        <v>41</v>
      </c>
      <c r="D336" s="1206" t="s">
        <v>347</v>
      </c>
      <c r="E336" s="494" t="s">
        <v>38</v>
      </c>
      <c r="F336" s="496" t="s">
        <v>106</v>
      </c>
      <c r="G336" s="494" t="s">
        <v>285</v>
      </c>
      <c r="H336" s="500" t="s">
        <v>41</v>
      </c>
      <c r="I336" s="1248">
        <v>45931</v>
      </c>
      <c r="J336" s="955" t="s">
        <v>41</v>
      </c>
      <c r="K336" s="959" t="s">
        <v>41</v>
      </c>
      <c r="L336" s="962" t="s">
        <v>41</v>
      </c>
      <c r="M336" s="959" t="s">
        <v>41</v>
      </c>
      <c r="N336" s="943"/>
      <c r="O336" s="944" t="s">
        <v>387</v>
      </c>
      <c r="P336" s="945"/>
      <c r="Q336" s="946"/>
      <c r="R336" s="541"/>
      <c r="S336" s="561"/>
    </row>
    <row r="337" spans="1:19" s="492" customFormat="1" ht="48.6">
      <c r="A337" s="1229" t="s">
        <v>309</v>
      </c>
      <c r="B337" s="1206" t="s">
        <v>325</v>
      </c>
      <c r="C337" s="1205">
        <v>42</v>
      </c>
      <c r="D337" s="1206" t="s">
        <v>347</v>
      </c>
      <c r="E337" s="494" t="s">
        <v>136</v>
      </c>
      <c r="F337" s="496" t="s">
        <v>106</v>
      </c>
      <c r="G337" s="494" t="s">
        <v>285</v>
      </c>
      <c r="H337" s="506">
        <v>155.07</v>
      </c>
      <c r="I337" s="1248">
        <v>45931</v>
      </c>
      <c r="J337" s="955" t="s">
        <v>41</v>
      </c>
      <c r="K337" s="959" t="s">
        <v>41</v>
      </c>
      <c r="L337" s="946">
        <v>166.15500000000003</v>
      </c>
      <c r="M337" s="957">
        <v>165.98</v>
      </c>
      <c r="N337" s="943"/>
      <c r="O337" s="944" t="s">
        <v>387</v>
      </c>
      <c r="P337" s="945"/>
      <c r="Q337" s="946"/>
      <c r="R337" s="541"/>
      <c r="S337" s="561"/>
    </row>
    <row r="338" spans="1:19" s="492" customFormat="1" ht="48.6">
      <c r="A338" s="1229" t="s">
        <v>309</v>
      </c>
      <c r="B338" s="1206" t="s">
        <v>325</v>
      </c>
      <c r="C338" s="1205">
        <v>43</v>
      </c>
      <c r="D338" s="1206" t="s">
        <v>349</v>
      </c>
      <c r="E338" s="494" t="s">
        <v>136</v>
      </c>
      <c r="F338" s="496" t="s">
        <v>340</v>
      </c>
      <c r="G338" s="494" t="s">
        <v>134</v>
      </c>
      <c r="H338" s="500">
        <v>5.4</v>
      </c>
      <c r="I338" s="1248">
        <v>45931</v>
      </c>
      <c r="J338" s="955" t="s">
        <v>41</v>
      </c>
      <c r="K338" s="959" t="s">
        <v>41</v>
      </c>
      <c r="L338" s="962" t="s">
        <v>41</v>
      </c>
      <c r="M338" s="957" t="s">
        <v>41</v>
      </c>
      <c r="N338" s="943"/>
      <c r="O338" s="944"/>
      <c r="P338" s="945"/>
      <c r="Q338" s="946"/>
      <c r="R338" s="541"/>
      <c r="S338" s="561"/>
    </row>
    <row r="339" spans="1:19" s="492" customFormat="1" ht="48.6">
      <c r="A339" s="1229" t="s">
        <v>309</v>
      </c>
      <c r="B339" s="1206" t="s">
        <v>325</v>
      </c>
      <c r="C339" s="1205">
        <v>44</v>
      </c>
      <c r="D339" s="1206" t="s">
        <v>350</v>
      </c>
      <c r="E339" s="494" t="s">
        <v>38</v>
      </c>
      <c r="F339" s="496" t="s">
        <v>106</v>
      </c>
      <c r="G339" s="494" t="s">
        <v>134</v>
      </c>
      <c r="H339" s="500" t="s">
        <v>41</v>
      </c>
      <c r="I339" s="1248">
        <v>45931</v>
      </c>
      <c r="J339" s="955" t="s">
        <v>41</v>
      </c>
      <c r="K339" s="959" t="s">
        <v>41</v>
      </c>
      <c r="L339" s="962" t="s">
        <v>41</v>
      </c>
      <c r="M339" s="957" t="s">
        <v>41</v>
      </c>
      <c r="N339" s="943"/>
      <c r="O339" s="944" t="s">
        <v>361</v>
      </c>
      <c r="P339" s="945"/>
      <c r="Q339" s="946"/>
      <c r="R339" s="541"/>
      <c r="S339" s="561"/>
    </row>
    <row r="340" spans="1:19" s="492" customFormat="1" ht="48.6">
      <c r="A340" s="1229" t="s">
        <v>309</v>
      </c>
      <c r="B340" s="1206" t="s">
        <v>325</v>
      </c>
      <c r="C340" s="1205">
        <v>45</v>
      </c>
      <c r="D340" s="1206" t="s">
        <v>350</v>
      </c>
      <c r="E340" s="494" t="s">
        <v>136</v>
      </c>
      <c r="F340" s="496" t="s">
        <v>106</v>
      </c>
      <c r="G340" s="494" t="s">
        <v>134</v>
      </c>
      <c r="H340" s="506">
        <v>3</v>
      </c>
      <c r="I340" s="1248">
        <v>45931</v>
      </c>
      <c r="J340" s="955" t="s">
        <v>41</v>
      </c>
      <c r="K340" s="959" t="s">
        <v>41</v>
      </c>
      <c r="L340" s="962" t="s">
        <v>41</v>
      </c>
      <c r="M340" s="957" t="s">
        <v>41</v>
      </c>
      <c r="N340" s="943"/>
      <c r="O340" s="944" t="s">
        <v>361</v>
      </c>
      <c r="P340" s="945"/>
      <c r="Q340" s="946"/>
      <c r="R340" s="541"/>
      <c r="S340" s="561"/>
    </row>
    <row r="341" spans="1:19" s="492" customFormat="1" ht="48.6">
      <c r="A341" s="1229" t="s">
        <v>309</v>
      </c>
      <c r="B341" s="1221" t="s">
        <v>351</v>
      </c>
      <c r="C341" s="1205">
        <v>46</v>
      </c>
      <c r="D341" s="1227" t="s">
        <v>352</v>
      </c>
      <c r="E341" s="494" t="s">
        <v>353</v>
      </c>
      <c r="F341" s="496" t="s">
        <v>312</v>
      </c>
      <c r="G341" s="497" t="s">
        <v>40</v>
      </c>
      <c r="H341" s="500">
        <v>1.2</v>
      </c>
      <c r="I341" s="1248">
        <v>45931</v>
      </c>
      <c r="J341" s="955" t="s">
        <v>41</v>
      </c>
      <c r="K341" s="959" t="s">
        <v>41</v>
      </c>
      <c r="L341" s="962" t="s">
        <v>41</v>
      </c>
      <c r="M341" s="957" t="s">
        <v>41</v>
      </c>
      <c r="N341" s="943"/>
      <c r="O341" s="944"/>
      <c r="P341" s="945"/>
      <c r="Q341" s="946"/>
      <c r="R341" s="541"/>
      <c r="S341" s="561"/>
    </row>
    <row r="342" spans="1:19" s="492" customFormat="1" ht="48.6">
      <c r="A342" s="1229" t="s">
        <v>309</v>
      </c>
      <c r="B342" s="1221" t="s">
        <v>354</v>
      </c>
      <c r="C342" s="1205">
        <v>47</v>
      </c>
      <c r="D342" s="1221" t="s">
        <v>355</v>
      </c>
      <c r="E342" s="494" t="s">
        <v>353</v>
      </c>
      <c r="F342" s="496" t="s">
        <v>327</v>
      </c>
      <c r="G342" s="497" t="s">
        <v>40</v>
      </c>
      <c r="H342" s="501">
        <v>0</v>
      </c>
      <c r="I342" s="1248">
        <v>45931</v>
      </c>
      <c r="J342" s="955" t="s">
        <v>41</v>
      </c>
      <c r="K342" s="959" t="s">
        <v>41</v>
      </c>
      <c r="L342" s="960">
        <v>0</v>
      </c>
      <c r="M342" s="957">
        <v>4.71</v>
      </c>
      <c r="N342" s="943"/>
      <c r="O342" s="944"/>
      <c r="P342" s="945"/>
      <c r="Q342" s="946"/>
      <c r="R342" s="541"/>
      <c r="S342" s="561"/>
    </row>
    <row r="343" spans="1:19" s="492" customFormat="1" ht="48.6">
      <c r="A343" s="1229" t="s">
        <v>309</v>
      </c>
      <c r="B343" s="1221" t="s">
        <v>356</v>
      </c>
      <c r="C343" s="1205">
        <v>48</v>
      </c>
      <c r="D343" s="1221" t="s">
        <v>355</v>
      </c>
      <c r="E343" s="494" t="s">
        <v>353</v>
      </c>
      <c r="F343" s="496" t="s">
        <v>321</v>
      </c>
      <c r="G343" s="497" t="s">
        <v>40</v>
      </c>
      <c r="H343" s="501">
        <v>0</v>
      </c>
      <c r="I343" s="1248">
        <v>45931</v>
      </c>
      <c r="J343" s="955" t="s">
        <v>41</v>
      </c>
      <c r="K343" s="959" t="s">
        <v>41</v>
      </c>
      <c r="L343" s="960">
        <v>0</v>
      </c>
      <c r="M343" s="957">
        <v>0</v>
      </c>
      <c r="N343" s="943"/>
      <c r="O343" s="944"/>
      <c r="P343" s="945"/>
      <c r="Q343" s="946"/>
      <c r="R343" s="541"/>
      <c r="S343" s="561"/>
    </row>
    <row r="344" spans="1:19" s="492" customFormat="1" ht="48.6">
      <c r="A344" s="1229" t="s">
        <v>309</v>
      </c>
      <c r="B344" s="1230" t="s">
        <v>357</v>
      </c>
      <c r="C344" s="1205">
        <v>49</v>
      </c>
      <c r="D344" s="1216" t="s">
        <v>41</v>
      </c>
      <c r="E344" s="494" t="s">
        <v>38</v>
      </c>
      <c r="F344" s="496" t="s">
        <v>312</v>
      </c>
      <c r="G344" s="497" t="s">
        <v>41</v>
      </c>
      <c r="H344" s="501"/>
      <c r="I344" s="1248">
        <v>45931</v>
      </c>
      <c r="J344" s="958">
        <v>21</v>
      </c>
      <c r="K344" s="956">
        <v>17</v>
      </c>
      <c r="L344" s="960">
        <f>J344+L295</f>
        <v>164</v>
      </c>
      <c r="M344" s="972">
        <f>K344+M295</f>
        <v>139</v>
      </c>
      <c r="N344" s="943"/>
      <c r="O344" s="944"/>
      <c r="P344" s="945"/>
      <c r="Q344" s="946"/>
      <c r="R344" s="541"/>
      <c r="S344" s="561"/>
    </row>
    <row r="345" spans="1:19" s="492" customFormat="1" ht="48.6">
      <c r="A345" s="1229" t="s">
        <v>309</v>
      </c>
      <c r="B345" s="1221" t="s">
        <v>310</v>
      </c>
      <c r="C345" s="1205">
        <v>1</v>
      </c>
      <c r="D345" s="1206" t="s">
        <v>311</v>
      </c>
      <c r="E345" s="494" t="s">
        <v>38</v>
      </c>
      <c r="F345" s="496" t="s">
        <v>312</v>
      </c>
      <c r="G345" s="494" t="s">
        <v>40</v>
      </c>
      <c r="H345" s="500">
        <v>0</v>
      </c>
      <c r="I345" s="1248">
        <v>45962</v>
      </c>
      <c r="J345" s="958">
        <f>IF(H345=0,0,IF(H345="-","-",ROUND(H345/12,2)))</f>
        <v>0</v>
      </c>
      <c r="K345" s="959">
        <v>0</v>
      </c>
      <c r="L345" s="971">
        <v>0</v>
      </c>
      <c r="M345" s="957">
        <v>0</v>
      </c>
      <c r="N345" s="943"/>
      <c r="O345" s="944"/>
      <c r="P345" s="945"/>
      <c r="Q345" s="946"/>
      <c r="R345" s="541"/>
      <c r="S345" s="561"/>
    </row>
    <row r="346" spans="1:19" s="492" customFormat="1" ht="48.6">
      <c r="A346" s="1229" t="s">
        <v>309</v>
      </c>
      <c r="B346" s="1221" t="s">
        <v>310</v>
      </c>
      <c r="C346" s="1205">
        <v>2</v>
      </c>
      <c r="D346" s="1206" t="s">
        <v>313</v>
      </c>
      <c r="E346" s="494" t="s">
        <v>38</v>
      </c>
      <c r="F346" s="496" t="s">
        <v>312</v>
      </c>
      <c r="G346" s="494" t="s">
        <v>40</v>
      </c>
      <c r="H346" s="500">
        <v>9</v>
      </c>
      <c r="I346" s="1248">
        <v>45962</v>
      </c>
      <c r="J346" s="958">
        <f>IF(H346=0,0,IF(H346="-","-",ROUND(H346/12,2)))</f>
        <v>0.75</v>
      </c>
      <c r="K346" s="956">
        <v>0</v>
      </c>
      <c r="L346" s="971">
        <f>J346+L297</f>
        <v>6</v>
      </c>
      <c r="M346" s="972">
        <f>K346+M297</f>
        <v>0</v>
      </c>
      <c r="N346" s="943"/>
      <c r="O346" s="944"/>
      <c r="P346" s="945"/>
      <c r="Q346" s="946"/>
      <c r="R346" s="541"/>
      <c r="S346" s="561"/>
    </row>
    <row r="347" spans="1:19" s="492" customFormat="1" ht="48.6">
      <c r="A347" s="1229" t="s">
        <v>309</v>
      </c>
      <c r="B347" s="1221" t="s">
        <v>310</v>
      </c>
      <c r="C347" s="1205">
        <v>3</v>
      </c>
      <c r="D347" s="1206" t="s">
        <v>314</v>
      </c>
      <c r="E347" s="494" t="s">
        <v>38</v>
      </c>
      <c r="F347" s="496" t="s">
        <v>312</v>
      </c>
      <c r="G347" s="494" t="s">
        <v>40</v>
      </c>
      <c r="H347" s="500">
        <v>0</v>
      </c>
      <c r="I347" s="1248">
        <v>45962</v>
      </c>
      <c r="J347" s="958">
        <f>IF(H347=0,0,IF(H347="-","-",ROUND(H347/12,2)))</f>
        <v>0</v>
      </c>
      <c r="K347" s="956">
        <v>1</v>
      </c>
      <c r="L347" s="971">
        <f>J347+L298</f>
        <v>0</v>
      </c>
      <c r="M347" s="2431">
        <f>K347+M298</f>
        <v>1</v>
      </c>
      <c r="N347" s="943"/>
      <c r="O347" s="944" t="s">
        <v>410</v>
      </c>
      <c r="P347" s="945" t="s">
        <v>411</v>
      </c>
      <c r="Q347" s="946"/>
      <c r="R347" s="541"/>
      <c r="S347" s="561"/>
    </row>
    <row r="348" spans="1:19" s="492" customFormat="1" ht="48.6">
      <c r="A348" s="1229" t="s">
        <v>309</v>
      </c>
      <c r="B348" s="1221" t="s">
        <v>310</v>
      </c>
      <c r="C348" s="1205">
        <v>4</v>
      </c>
      <c r="D348" s="1206" t="s">
        <v>315</v>
      </c>
      <c r="E348" s="494" t="s">
        <v>38</v>
      </c>
      <c r="F348" s="496" t="s">
        <v>316</v>
      </c>
      <c r="G348" s="494" t="s">
        <v>40</v>
      </c>
      <c r="H348" s="500">
        <v>281</v>
      </c>
      <c r="I348" s="1248">
        <v>45962</v>
      </c>
      <c r="J348" s="958">
        <v>19</v>
      </c>
      <c r="K348" s="1200">
        <v>12</v>
      </c>
      <c r="L348" s="971">
        <f t="shared" ref="L348:L356" si="27">L299+J348</f>
        <v>178</v>
      </c>
      <c r="M348" s="972">
        <f t="shared" ref="M348:M356" si="28">M299+K348</f>
        <v>155</v>
      </c>
      <c r="N348" s="943"/>
      <c r="O348" s="944"/>
      <c r="P348" s="945"/>
      <c r="Q348" s="946"/>
      <c r="R348" s="541"/>
      <c r="S348" s="561"/>
    </row>
    <row r="349" spans="1:19" s="492" customFormat="1" ht="48.6">
      <c r="A349" s="1229" t="s">
        <v>309</v>
      </c>
      <c r="B349" s="1221" t="s">
        <v>310</v>
      </c>
      <c r="C349" s="1205">
        <v>5</v>
      </c>
      <c r="D349" s="1206" t="s">
        <v>315</v>
      </c>
      <c r="E349" s="494" t="s">
        <v>136</v>
      </c>
      <c r="F349" s="496" t="s">
        <v>316</v>
      </c>
      <c r="G349" s="494" t="s">
        <v>40</v>
      </c>
      <c r="H349" s="500">
        <v>117</v>
      </c>
      <c r="I349" s="1248">
        <v>45962</v>
      </c>
      <c r="J349" s="955">
        <v>13.734999999999999</v>
      </c>
      <c r="K349" s="959">
        <v>1.99</v>
      </c>
      <c r="L349" s="946">
        <f t="shared" si="27"/>
        <v>71.649000000000001</v>
      </c>
      <c r="M349" s="957">
        <f t="shared" si="28"/>
        <v>46.65</v>
      </c>
      <c r="N349" s="943"/>
      <c r="O349" s="944"/>
      <c r="P349" s="945"/>
      <c r="Q349" s="946"/>
      <c r="R349" s="541"/>
      <c r="S349" s="561"/>
    </row>
    <row r="350" spans="1:19" s="492" customFormat="1" ht="48.6">
      <c r="A350" s="1229" t="s">
        <v>309</v>
      </c>
      <c r="B350" s="1221" t="s">
        <v>310</v>
      </c>
      <c r="C350" s="1205">
        <v>6</v>
      </c>
      <c r="D350" s="1206" t="s">
        <v>317</v>
      </c>
      <c r="E350" s="494" t="s">
        <v>38</v>
      </c>
      <c r="F350" s="496" t="s">
        <v>316</v>
      </c>
      <c r="G350" s="494" t="s">
        <v>40</v>
      </c>
      <c r="H350" s="500">
        <v>0</v>
      </c>
      <c r="I350" s="1248">
        <v>45962</v>
      </c>
      <c r="J350" s="958">
        <f>IF(H350=0,0,IF(H350="-","-",ROUND(H350/12,2)))</f>
        <v>0</v>
      </c>
      <c r="K350" s="959">
        <v>0</v>
      </c>
      <c r="L350" s="971">
        <f t="shared" si="27"/>
        <v>0</v>
      </c>
      <c r="M350" s="957">
        <f t="shared" si="28"/>
        <v>0</v>
      </c>
      <c r="N350" s="943"/>
      <c r="O350" s="944" t="s">
        <v>388</v>
      </c>
      <c r="P350" s="945"/>
      <c r="Q350" s="946"/>
      <c r="R350" s="541"/>
      <c r="S350" s="561"/>
    </row>
    <row r="351" spans="1:19" s="492" customFormat="1" ht="48.6">
      <c r="A351" s="1229" t="s">
        <v>309</v>
      </c>
      <c r="B351" s="1221" t="s">
        <v>310</v>
      </c>
      <c r="C351" s="1205">
        <v>7</v>
      </c>
      <c r="D351" s="1206" t="s">
        <v>317</v>
      </c>
      <c r="E351" s="494" t="s">
        <v>136</v>
      </c>
      <c r="F351" s="496" t="s">
        <v>316</v>
      </c>
      <c r="G351" s="494" t="s">
        <v>40</v>
      </c>
      <c r="H351" s="500">
        <v>0</v>
      </c>
      <c r="I351" s="1248">
        <v>45962</v>
      </c>
      <c r="J351" s="958">
        <f>IF(H351=0,0,IF(H351="-","-",ROUND(H351/12,2)))</f>
        <v>0</v>
      </c>
      <c r="K351" s="959">
        <v>0</v>
      </c>
      <c r="L351" s="971">
        <f t="shared" si="27"/>
        <v>0</v>
      </c>
      <c r="M351" s="957">
        <f t="shared" si="28"/>
        <v>0</v>
      </c>
      <c r="N351" s="943"/>
      <c r="O351" s="944"/>
      <c r="P351" s="945"/>
      <c r="Q351" s="946"/>
      <c r="R351" s="541"/>
      <c r="S351" s="561"/>
    </row>
    <row r="352" spans="1:19" s="492" customFormat="1" ht="48.6">
      <c r="A352" s="1229" t="s">
        <v>309</v>
      </c>
      <c r="B352" s="1221" t="s">
        <v>310</v>
      </c>
      <c r="C352" s="1205">
        <v>8</v>
      </c>
      <c r="D352" s="1206" t="s">
        <v>318</v>
      </c>
      <c r="E352" s="494" t="s">
        <v>38</v>
      </c>
      <c r="F352" s="496" t="s">
        <v>316</v>
      </c>
      <c r="G352" s="494" t="s">
        <v>40</v>
      </c>
      <c r="H352" s="500">
        <v>195</v>
      </c>
      <c r="I352" s="1248">
        <v>45962</v>
      </c>
      <c r="J352" s="958">
        <v>8</v>
      </c>
      <c r="K352" s="956">
        <v>4</v>
      </c>
      <c r="L352" s="946">
        <f t="shared" si="27"/>
        <v>140</v>
      </c>
      <c r="M352" s="957">
        <f t="shared" si="28"/>
        <v>57</v>
      </c>
      <c r="N352" s="943"/>
      <c r="O352" s="944" t="s">
        <v>389</v>
      </c>
      <c r="P352" s="945"/>
      <c r="Q352" s="946"/>
      <c r="R352" s="541"/>
      <c r="S352" s="561"/>
    </row>
    <row r="353" spans="1:19" s="492" customFormat="1" ht="48.6">
      <c r="A353" s="1229" t="s">
        <v>309</v>
      </c>
      <c r="B353" s="1221" t="s">
        <v>310</v>
      </c>
      <c r="C353" s="1205">
        <v>9</v>
      </c>
      <c r="D353" s="1206" t="s">
        <v>318</v>
      </c>
      <c r="E353" s="494" t="s">
        <v>136</v>
      </c>
      <c r="F353" s="496" t="s">
        <v>316</v>
      </c>
      <c r="G353" s="494" t="s">
        <v>40</v>
      </c>
      <c r="H353" s="645">
        <v>313</v>
      </c>
      <c r="I353" s="1248">
        <v>45962</v>
      </c>
      <c r="J353" s="955">
        <v>4.883</v>
      </c>
      <c r="K353" s="959">
        <v>0.53879999999999995</v>
      </c>
      <c r="L353" s="946">
        <f t="shared" si="27"/>
        <v>251.88900000000001</v>
      </c>
      <c r="M353" s="957">
        <f t="shared" si="28"/>
        <v>59.191799999999994</v>
      </c>
      <c r="N353" s="943"/>
      <c r="O353" s="944"/>
      <c r="P353" s="945"/>
      <c r="Q353" s="946"/>
      <c r="R353" s="541"/>
      <c r="S353" s="561"/>
    </row>
    <row r="354" spans="1:19" s="492" customFormat="1" ht="48.6">
      <c r="A354" s="1229" t="s">
        <v>309</v>
      </c>
      <c r="B354" s="1221" t="s">
        <v>319</v>
      </c>
      <c r="C354" s="1205">
        <v>10</v>
      </c>
      <c r="D354" s="1206" t="s">
        <v>320</v>
      </c>
      <c r="E354" s="494" t="s">
        <v>38</v>
      </c>
      <c r="F354" s="496" t="s">
        <v>321</v>
      </c>
      <c r="G354" s="494" t="s">
        <v>40</v>
      </c>
      <c r="H354" s="500">
        <v>0</v>
      </c>
      <c r="I354" s="1248">
        <v>45962</v>
      </c>
      <c r="J354" s="958">
        <v>0</v>
      </c>
      <c r="K354" s="959">
        <v>0</v>
      </c>
      <c r="L354" s="971">
        <f t="shared" si="27"/>
        <v>0</v>
      </c>
      <c r="M354" s="957">
        <f t="shared" si="28"/>
        <v>0</v>
      </c>
      <c r="N354" s="943"/>
      <c r="O354" s="944"/>
      <c r="P354" s="945"/>
      <c r="Q354" s="946"/>
      <c r="R354" s="541"/>
      <c r="S354" s="561"/>
    </row>
    <row r="355" spans="1:19" s="492" customFormat="1" ht="48.6">
      <c r="A355" s="1229" t="s">
        <v>309</v>
      </c>
      <c r="B355" s="1221" t="s">
        <v>319</v>
      </c>
      <c r="C355" s="1205">
        <v>11</v>
      </c>
      <c r="D355" s="1206" t="s">
        <v>322</v>
      </c>
      <c r="E355" s="494" t="s">
        <v>38</v>
      </c>
      <c r="F355" s="496" t="s">
        <v>321</v>
      </c>
      <c r="G355" s="494" t="s">
        <v>40</v>
      </c>
      <c r="H355" s="500">
        <v>0</v>
      </c>
      <c r="I355" s="1248">
        <v>45962</v>
      </c>
      <c r="J355" s="958">
        <v>0</v>
      </c>
      <c r="K355" s="959">
        <v>0</v>
      </c>
      <c r="L355" s="971">
        <f t="shared" si="27"/>
        <v>0</v>
      </c>
      <c r="M355" s="957">
        <f t="shared" si="28"/>
        <v>0</v>
      </c>
      <c r="N355" s="943"/>
      <c r="O355" s="944"/>
      <c r="P355" s="945"/>
      <c r="Q355" s="946"/>
      <c r="R355" s="541"/>
      <c r="S355" s="561"/>
    </row>
    <row r="356" spans="1:19" s="492" customFormat="1" ht="291.60000000000002">
      <c r="A356" s="1229" t="s">
        <v>309</v>
      </c>
      <c r="B356" s="1221" t="s">
        <v>319</v>
      </c>
      <c r="C356" s="1205">
        <v>12</v>
      </c>
      <c r="D356" s="1206" t="s">
        <v>313</v>
      </c>
      <c r="E356" s="494" t="s">
        <v>38</v>
      </c>
      <c r="F356" s="496" t="s">
        <v>321</v>
      </c>
      <c r="G356" s="494" t="s">
        <v>40</v>
      </c>
      <c r="H356" s="500">
        <v>0</v>
      </c>
      <c r="I356" s="1248">
        <v>45962</v>
      </c>
      <c r="J356" s="958">
        <v>0</v>
      </c>
      <c r="K356" s="959">
        <v>1</v>
      </c>
      <c r="L356" s="971">
        <f t="shared" si="27"/>
        <v>0</v>
      </c>
      <c r="M356" s="957">
        <f t="shared" si="28"/>
        <v>5</v>
      </c>
      <c r="N356" s="943"/>
      <c r="O356" s="961" t="s">
        <v>412</v>
      </c>
      <c r="P356" s="973" t="s">
        <v>413</v>
      </c>
      <c r="Q356" s="946"/>
      <c r="R356" s="541"/>
      <c r="S356" s="561"/>
    </row>
    <row r="357" spans="1:19" s="492" customFormat="1" ht="48.6">
      <c r="A357" s="1229" t="s">
        <v>309</v>
      </c>
      <c r="B357" s="1221" t="s">
        <v>319</v>
      </c>
      <c r="C357" s="1205">
        <v>13</v>
      </c>
      <c r="D357" s="1206" t="s">
        <v>323</v>
      </c>
      <c r="E357" s="494" t="s">
        <v>38</v>
      </c>
      <c r="F357" s="496" t="s">
        <v>321</v>
      </c>
      <c r="G357" s="494" t="s">
        <v>40</v>
      </c>
      <c r="H357" s="500">
        <v>5</v>
      </c>
      <c r="I357" s="1248">
        <v>45962</v>
      </c>
      <c r="J357" s="955" t="s">
        <v>41</v>
      </c>
      <c r="K357" s="959">
        <v>0</v>
      </c>
      <c r="L357" s="946">
        <f>L308</f>
        <v>2</v>
      </c>
      <c r="M357" s="957">
        <f>M308+K357</f>
        <v>3</v>
      </c>
      <c r="N357" s="943"/>
      <c r="O357" s="944"/>
      <c r="P357" s="945"/>
      <c r="Q357" s="946"/>
      <c r="R357" s="541"/>
      <c r="S357" s="561"/>
    </row>
    <row r="358" spans="1:19" s="492" customFormat="1" ht="48.6">
      <c r="A358" s="1229" t="s">
        <v>309</v>
      </c>
      <c r="B358" s="1206" t="s">
        <v>324</v>
      </c>
      <c r="C358" s="1205">
        <v>14</v>
      </c>
      <c r="D358" s="1206" t="s">
        <v>311</v>
      </c>
      <c r="E358" s="494" t="s">
        <v>38</v>
      </c>
      <c r="F358" s="496" t="s">
        <v>312</v>
      </c>
      <c r="G358" s="494" t="s">
        <v>40</v>
      </c>
      <c r="H358" s="501">
        <v>0</v>
      </c>
      <c r="I358" s="1248">
        <v>45962</v>
      </c>
      <c r="J358" s="958">
        <f t="shared" ref="J358:J368" si="29">IF(H358=0,0,IF(H358="-","-",ROUND(H358/12,2)))</f>
        <v>0</v>
      </c>
      <c r="K358" s="959">
        <v>0</v>
      </c>
      <c r="L358" s="971">
        <v>0</v>
      </c>
      <c r="M358" s="972">
        <f>M309+K358</f>
        <v>0</v>
      </c>
      <c r="N358" s="943"/>
      <c r="O358" s="944"/>
      <c r="P358" s="945"/>
      <c r="Q358" s="946"/>
      <c r="R358" s="1255"/>
      <c r="S358" s="561"/>
    </row>
    <row r="359" spans="1:19" s="492" customFormat="1" ht="48.6">
      <c r="A359" s="1229" t="s">
        <v>309</v>
      </c>
      <c r="B359" s="1206" t="s">
        <v>324</v>
      </c>
      <c r="C359" s="1205">
        <v>15</v>
      </c>
      <c r="D359" s="1206" t="s">
        <v>313</v>
      </c>
      <c r="E359" s="494" t="s">
        <v>38</v>
      </c>
      <c r="F359" s="496" t="s">
        <v>312</v>
      </c>
      <c r="G359" s="494" t="s">
        <v>40</v>
      </c>
      <c r="H359" s="501">
        <v>30</v>
      </c>
      <c r="I359" s="1248">
        <v>45962</v>
      </c>
      <c r="J359" s="958">
        <f t="shared" si="29"/>
        <v>2.5</v>
      </c>
      <c r="K359" s="956">
        <v>0</v>
      </c>
      <c r="L359" s="971">
        <f>J359+L310</f>
        <v>17.5</v>
      </c>
      <c r="M359" s="972">
        <f>M310+K359</f>
        <v>19</v>
      </c>
      <c r="N359" s="943"/>
      <c r="O359" s="944"/>
      <c r="P359" s="945"/>
      <c r="Q359" s="946"/>
      <c r="R359" s="1255"/>
      <c r="S359" s="561"/>
    </row>
    <row r="360" spans="1:19" s="492" customFormat="1" ht="48.6">
      <c r="A360" s="1229" t="s">
        <v>309</v>
      </c>
      <c r="B360" s="1206" t="s">
        <v>324</v>
      </c>
      <c r="C360" s="1205">
        <v>16</v>
      </c>
      <c r="D360" s="1206" t="s">
        <v>314</v>
      </c>
      <c r="E360" s="494" t="s">
        <v>38</v>
      </c>
      <c r="F360" s="496" t="s">
        <v>312</v>
      </c>
      <c r="G360" s="494" t="s">
        <v>40</v>
      </c>
      <c r="H360" s="501">
        <v>0</v>
      </c>
      <c r="I360" s="1248">
        <v>45962</v>
      </c>
      <c r="J360" s="958">
        <f t="shared" si="29"/>
        <v>0</v>
      </c>
      <c r="K360" s="956">
        <v>0</v>
      </c>
      <c r="L360" s="971">
        <f>J360+L311</f>
        <v>0</v>
      </c>
      <c r="M360" s="972">
        <f>M311+K360</f>
        <v>1</v>
      </c>
      <c r="N360" s="943"/>
      <c r="O360" s="944"/>
      <c r="P360" s="945"/>
      <c r="Q360" s="946"/>
      <c r="R360" s="1255"/>
      <c r="S360" s="561"/>
    </row>
    <row r="361" spans="1:19" s="492" customFormat="1" ht="48.6">
      <c r="A361" s="1229" t="s">
        <v>309</v>
      </c>
      <c r="B361" s="1206" t="s">
        <v>325</v>
      </c>
      <c r="C361" s="1205">
        <v>17</v>
      </c>
      <c r="D361" s="1206" t="s">
        <v>326</v>
      </c>
      <c r="E361" s="494" t="s">
        <v>38</v>
      </c>
      <c r="F361" s="496" t="s">
        <v>327</v>
      </c>
      <c r="G361" s="494" t="s">
        <v>40</v>
      </c>
      <c r="H361" s="501">
        <v>0</v>
      </c>
      <c r="I361" s="1248">
        <v>45962</v>
      </c>
      <c r="J361" s="1005">
        <f t="shared" si="29"/>
        <v>0</v>
      </c>
      <c r="K361" s="1006">
        <v>1</v>
      </c>
      <c r="L361" s="1007">
        <v>0</v>
      </c>
      <c r="M361" s="1008">
        <v>1</v>
      </c>
      <c r="N361" s="1009"/>
      <c r="O361" s="944"/>
      <c r="P361" s="945"/>
      <c r="Q361" s="946"/>
      <c r="R361" s="541"/>
      <c r="S361" s="561"/>
    </row>
    <row r="362" spans="1:19" s="492" customFormat="1" ht="48.6">
      <c r="A362" s="1229" t="s">
        <v>309</v>
      </c>
      <c r="B362" s="1206" t="s">
        <v>325</v>
      </c>
      <c r="C362" s="1205">
        <v>18</v>
      </c>
      <c r="D362" s="1206" t="s">
        <v>326</v>
      </c>
      <c r="E362" s="494" t="s">
        <v>136</v>
      </c>
      <c r="F362" s="496" t="s">
        <v>327</v>
      </c>
      <c r="G362" s="494" t="s">
        <v>40</v>
      </c>
      <c r="H362" s="501">
        <v>0</v>
      </c>
      <c r="I362" s="1248">
        <v>45962</v>
      </c>
      <c r="J362" s="1005">
        <f t="shared" si="29"/>
        <v>0</v>
      </c>
      <c r="K362" s="1006">
        <v>1</v>
      </c>
      <c r="L362" s="1007">
        <v>0</v>
      </c>
      <c r="M362" s="1008">
        <v>1</v>
      </c>
      <c r="N362" s="1009"/>
      <c r="O362" s="944"/>
      <c r="P362" s="945"/>
      <c r="Q362" s="946"/>
      <c r="R362" s="541"/>
      <c r="S362" s="561"/>
    </row>
    <row r="363" spans="1:19" s="492" customFormat="1" ht="48.6">
      <c r="A363" s="1229" t="s">
        <v>309</v>
      </c>
      <c r="B363" s="1206" t="s">
        <v>325</v>
      </c>
      <c r="C363" s="1205">
        <v>19</v>
      </c>
      <c r="D363" s="1206" t="s">
        <v>328</v>
      </c>
      <c r="E363" s="494" t="s">
        <v>38</v>
      </c>
      <c r="F363" s="496" t="s">
        <v>327</v>
      </c>
      <c r="G363" s="494" t="s">
        <v>40</v>
      </c>
      <c r="H363" s="501" t="s">
        <v>41</v>
      </c>
      <c r="I363" s="1248">
        <v>45962</v>
      </c>
      <c r="J363" s="955" t="str">
        <f t="shared" si="29"/>
        <v>-</v>
      </c>
      <c r="K363" s="959"/>
      <c r="L363" s="946"/>
      <c r="M363" s="957">
        <v>38</v>
      </c>
      <c r="N363" s="943"/>
      <c r="O363" s="944"/>
      <c r="P363" s="945"/>
      <c r="Q363" s="946"/>
      <c r="R363" s="541"/>
      <c r="S363" s="561"/>
    </row>
    <row r="364" spans="1:19" s="492" customFormat="1" ht="48.6">
      <c r="A364" s="1229" t="s">
        <v>309</v>
      </c>
      <c r="B364" s="1206" t="s">
        <v>325</v>
      </c>
      <c r="C364" s="1205">
        <v>20</v>
      </c>
      <c r="D364" s="1206" t="s">
        <v>328</v>
      </c>
      <c r="E364" s="494" t="s">
        <v>136</v>
      </c>
      <c r="F364" s="496" t="s">
        <v>327</v>
      </c>
      <c r="G364" s="494" t="s">
        <v>40</v>
      </c>
      <c r="H364" s="501" t="s">
        <v>41</v>
      </c>
      <c r="I364" s="1248">
        <v>45962</v>
      </c>
      <c r="J364" s="955" t="str">
        <f t="shared" si="29"/>
        <v>-</v>
      </c>
      <c r="K364" s="959"/>
      <c r="L364" s="946"/>
      <c r="M364" s="957">
        <v>121.13</v>
      </c>
      <c r="N364" s="943"/>
      <c r="O364" s="944"/>
      <c r="P364" s="945"/>
      <c r="Q364" s="946"/>
      <c r="R364" s="541"/>
      <c r="S364" s="561"/>
    </row>
    <row r="365" spans="1:19" s="492" customFormat="1" ht="48.6">
      <c r="A365" s="1229" t="s">
        <v>309</v>
      </c>
      <c r="B365" s="1206" t="s">
        <v>325</v>
      </c>
      <c r="C365" s="1205">
        <v>21</v>
      </c>
      <c r="D365" s="1206" t="s">
        <v>329</v>
      </c>
      <c r="E365" s="494" t="s">
        <v>38</v>
      </c>
      <c r="F365" s="496" t="s">
        <v>327</v>
      </c>
      <c r="G365" s="494" t="s">
        <v>40</v>
      </c>
      <c r="H365" s="501" t="s">
        <v>41</v>
      </c>
      <c r="I365" s="1248">
        <v>45962</v>
      </c>
      <c r="J365" s="955" t="str">
        <f t="shared" si="29"/>
        <v>-</v>
      </c>
      <c r="K365" s="959"/>
      <c r="L365" s="946"/>
      <c r="M365" s="957">
        <v>122</v>
      </c>
      <c r="N365" s="943"/>
      <c r="O365" s="961" t="s">
        <v>414</v>
      </c>
      <c r="P365" s="945"/>
      <c r="Q365" s="946"/>
      <c r="R365" s="541"/>
      <c r="S365" s="561"/>
    </row>
    <row r="366" spans="1:19" s="492" customFormat="1" ht="48.6">
      <c r="A366" s="1229" t="s">
        <v>309</v>
      </c>
      <c r="B366" s="1206" t="s">
        <v>325</v>
      </c>
      <c r="C366" s="1205">
        <v>22</v>
      </c>
      <c r="D366" s="1206" t="s">
        <v>329</v>
      </c>
      <c r="E366" s="494" t="s">
        <v>136</v>
      </c>
      <c r="F366" s="496" t="s">
        <v>327</v>
      </c>
      <c r="G366" s="494" t="s">
        <v>40</v>
      </c>
      <c r="H366" s="501" t="s">
        <v>41</v>
      </c>
      <c r="I366" s="1248">
        <v>45962</v>
      </c>
      <c r="J366" s="955" t="str">
        <f t="shared" si="29"/>
        <v>-</v>
      </c>
      <c r="K366" s="959"/>
      <c r="L366" s="946"/>
      <c r="M366" s="957">
        <v>87.1</v>
      </c>
      <c r="N366" s="943"/>
      <c r="O366" s="944"/>
      <c r="P366" s="945"/>
      <c r="Q366" s="946"/>
      <c r="R366" s="541"/>
      <c r="S366" s="561"/>
    </row>
    <row r="367" spans="1:19" s="492" customFormat="1" ht="48.6">
      <c r="A367" s="1229" t="s">
        <v>309</v>
      </c>
      <c r="B367" s="1206" t="s">
        <v>325</v>
      </c>
      <c r="C367" s="1205">
        <v>23</v>
      </c>
      <c r="D367" s="1206" t="s">
        <v>330</v>
      </c>
      <c r="E367" s="494" t="s">
        <v>38</v>
      </c>
      <c r="F367" s="496" t="s">
        <v>327</v>
      </c>
      <c r="G367" s="494" t="s">
        <v>40</v>
      </c>
      <c r="H367" s="501" t="s">
        <v>41</v>
      </c>
      <c r="I367" s="1248">
        <v>45962</v>
      </c>
      <c r="J367" s="955" t="str">
        <f t="shared" si="29"/>
        <v>-</v>
      </c>
      <c r="K367" s="959"/>
      <c r="L367" s="946"/>
      <c r="M367" s="957">
        <v>120</v>
      </c>
      <c r="N367" s="943"/>
      <c r="O367" s="961" t="s">
        <v>415</v>
      </c>
      <c r="P367" s="945"/>
      <c r="Q367" s="946"/>
      <c r="R367" s="541"/>
      <c r="S367" s="561"/>
    </row>
    <row r="368" spans="1:19" s="492" customFormat="1" ht="48.6">
      <c r="A368" s="1229" t="s">
        <v>309</v>
      </c>
      <c r="B368" s="1206" t="s">
        <v>325</v>
      </c>
      <c r="C368" s="1205">
        <v>24</v>
      </c>
      <c r="D368" s="1206" t="s">
        <v>330</v>
      </c>
      <c r="E368" s="494" t="s">
        <v>136</v>
      </c>
      <c r="F368" s="496" t="s">
        <v>327</v>
      </c>
      <c r="G368" s="494" t="s">
        <v>40</v>
      </c>
      <c r="H368" s="501" t="s">
        <v>41</v>
      </c>
      <c r="I368" s="1248">
        <v>45962</v>
      </c>
      <c r="J368" s="955" t="str">
        <f t="shared" si="29"/>
        <v>-</v>
      </c>
      <c r="K368" s="959"/>
      <c r="L368" s="946"/>
      <c r="M368" s="957">
        <v>65</v>
      </c>
      <c r="N368" s="943"/>
      <c r="O368" s="944"/>
      <c r="P368" s="945"/>
      <c r="Q368" s="946"/>
      <c r="R368" s="541"/>
      <c r="S368" s="561"/>
    </row>
    <row r="369" spans="1:22" s="492" customFormat="1" ht="64.8">
      <c r="A369" s="1229" t="s">
        <v>309</v>
      </c>
      <c r="B369" s="1206" t="s">
        <v>325</v>
      </c>
      <c r="C369" s="1205">
        <v>25</v>
      </c>
      <c r="D369" s="1206" t="s">
        <v>331</v>
      </c>
      <c r="E369" s="494" t="s">
        <v>38</v>
      </c>
      <c r="F369" s="496" t="s">
        <v>327</v>
      </c>
      <c r="G369" s="494" t="s">
        <v>332</v>
      </c>
      <c r="H369" s="501">
        <v>0</v>
      </c>
      <c r="I369" s="1248">
        <v>45962</v>
      </c>
      <c r="J369" s="958">
        <v>0</v>
      </c>
      <c r="K369" s="959">
        <v>3</v>
      </c>
      <c r="L369" s="946">
        <f>34-3</f>
        <v>31</v>
      </c>
      <c r="M369" s="972">
        <v>31</v>
      </c>
      <c r="N369" s="943"/>
      <c r="O369" s="961" t="s">
        <v>416</v>
      </c>
      <c r="P369" s="945"/>
      <c r="Q369" s="946"/>
      <c r="R369" s="541"/>
      <c r="S369" s="561"/>
    </row>
    <row r="370" spans="1:22" s="492" customFormat="1" ht="48.6">
      <c r="A370" s="1229" t="s">
        <v>309</v>
      </c>
      <c r="B370" s="1206" t="s">
        <v>325</v>
      </c>
      <c r="C370" s="1205">
        <v>26</v>
      </c>
      <c r="D370" s="1216" t="s">
        <v>331</v>
      </c>
      <c r="E370" s="494" t="s">
        <v>136</v>
      </c>
      <c r="F370" s="496" t="s">
        <v>327</v>
      </c>
      <c r="G370" s="494" t="s">
        <v>332</v>
      </c>
      <c r="H370" s="501">
        <v>0</v>
      </c>
      <c r="I370" s="1248">
        <v>45962</v>
      </c>
      <c r="J370" s="1010">
        <v>0</v>
      </c>
      <c r="K370" s="959">
        <v>1.61</v>
      </c>
      <c r="L370" s="946">
        <f>(J419+J468+J517+J565)</f>
        <v>36.33</v>
      </c>
      <c r="M370" s="957">
        <v>36.82</v>
      </c>
      <c r="N370" s="943"/>
      <c r="O370" s="961" t="s">
        <v>401</v>
      </c>
      <c r="P370" s="945"/>
      <c r="Q370" s="946"/>
      <c r="R370" s="541"/>
      <c r="S370" s="561"/>
      <c r="T370" s="492" t="s">
        <v>63</v>
      </c>
      <c r="U370" s="493">
        <v>45931</v>
      </c>
      <c r="V370" s="492" t="s">
        <v>404</v>
      </c>
    </row>
    <row r="371" spans="1:22" s="492" customFormat="1" ht="48.6">
      <c r="A371" s="1229" t="s">
        <v>309</v>
      </c>
      <c r="B371" s="1206" t="s">
        <v>325</v>
      </c>
      <c r="C371" s="1205">
        <v>27</v>
      </c>
      <c r="D371" s="1216" t="s">
        <v>334</v>
      </c>
      <c r="E371" s="494" t="s">
        <v>38</v>
      </c>
      <c r="F371" s="496" t="s">
        <v>327</v>
      </c>
      <c r="G371" s="494" t="s">
        <v>332</v>
      </c>
      <c r="H371" s="501">
        <v>0</v>
      </c>
      <c r="I371" s="1248">
        <v>45962</v>
      </c>
      <c r="J371" s="958">
        <v>1</v>
      </c>
      <c r="K371" s="959">
        <f>1+5</f>
        <v>6</v>
      </c>
      <c r="L371" s="971">
        <f>+J420+J469+J518+J566</f>
        <v>5</v>
      </c>
      <c r="M371" s="972">
        <v>9</v>
      </c>
      <c r="N371" s="943"/>
      <c r="O371" s="961" t="s">
        <v>417</v>
      </c>
      <c r="P371" s="945"/>
      <c r="Q371" s="946"/>
      <c r="R371" s="541"/>
      <c r="S371" s="561"/>
      <c r="T371" s="492">
        <v>1</v>
      </c>
    </row>
    <row r="372" spans="1:22" s="492" customFormat="1" ht="48.6">
      <c r="A372" s="1229" t="s">
        <v>309</v>
      </c>
      <c r="B372" s="1206" t="s">
        <v>325</v>
      </c>
      <c r="C372" s="1205">
        <v>28</v>
      </c>
      <c r="D372" s="1216" t="s">
        <v>334</v>
      </c>
      <c r="E372" s="494" t="s">
        <v>136</v>
      </c>
      <c r="F372" s="496" t="s">
        <v>327</v>
      </c>
      <c r="G372" s="494" t="s">
        <v>332</v>
      </c>
      <c r="H372" s="501">
        <v>0</v>
      </c>
      <c r="I372" s="1248">
        <v>45962</v>
      </c>
      <c r="J372" s="997">
        <v>0.39</v>
      </c>
      <c r="K372" s="959">
        <f>0.39+1.1</f>
        <v>1.4900000000000002</v>
      </c>
      <c r="L372" s="946">
        <f>L323-J372</f>
        <v>2.7300000000000009</v>
      </c>
      <c r="M372" s="957">
        <v>10.09</v>
      </c>
      <c r="N372" s="943"/>
      <c r="O372" s="961" t="s">
        <v>402</v>
      </c>
      <c r="P372" s="945"/>
      <c r="Q372" s="946"/>
      <c r="R372" s="541"/>
      <c r="S372" s="561"/>
      <c r="T372" s="492">
        <v>0.39</v>
      </c>
    </row>
    <row r="373" spans="1:22" s="492" customFormat="1" ht="48.6">
      <c r="A373" s="1229" t="s">
        <v>309</v>
      </c>
      <c r="B373" s="1206" t="s">
        <v>325</v>
      </c>
      <c r="C373" s="1205">
        <v>29</v>
      </c>
      <c r="D373" s="1206" t="s">
        <v>336</v>
      </c>
      <c r="E373" s="494" t="s">
        <v>38</v>
      </c>
      <c r="F373" s="496" t="s">
        <v>316</v>
      </c>
      <c r="G373" s="494" t="s">
        <v>40</v>
      </c>
      <c r="H373" s="501">
        <v>0</v>
      </c>
      <c r="I373" s="1248">
        <v>45962</v>
      </c>
      <c r="J373" s="958">
        <f>IF(H373=0,0,IF(H373="-","-",ROUND(H373/12,2)))</f>
        <v>0</v>
      </c>
      <c r="K373" s="959">
        <v>0</v>
      </c>
      <c r="L373" s="971">
        <v>0</v>
      </c>
      <c r="M373" s="972">
        <v>0</v>
      </c>
      <c r="N373" s="943"/>
      <c r="O373" s="961"/>
      <c r="P373" s="945"/>
      <c r="Q373" s="946"/>
      <c r="R373" s="541"/>
      <c r="S373" s="561"/>
    </row>
    <row r="374" spans="1:22" s="492" customFormat="1" ht="48.6">
      <c r="A374" s="1229" t="s">
        <v>309</v>
      </c>
      <c r="B374" s="1206" t="s">
        <v>325</v>
      </c>
      <c r="C374" s="1205">
        <v>30</v>
      </c>
      <c r="D374" s="1206" t="s">
        <v>336</v>
      </c>
      <c r="E374" s="494" t="s">
        <v>136</v>
      </c>
      <c r="F374" s="496" t="s">
        <v>316</v>
      </c>
      <c r="G374" s="494" t="s">
        <v>40</v>
      </c>
      <c r="H374" s="501">
        <v>0</v>
      </c>
      <c r="I374" s="1248">
        <v>45962</v>
      </c>
      <c r="J374" s="958">
        <f>IF(H374=0,0,IF(H374="-","-",ROUND(H374/12,2)))</f>
        <v>0</v>
      </c>
      <c r="K374" s="959">
        <v>0</v>
      </c>
      <c r="L374" s="971">
        <v>0</v>
      </c>
      <c r="M374" s="957">
        <v>0</v>
      </c>
      <c r="N374" s="943"/>
      <c r="O374" s="944"/>
      <c r="P374" s="945"/>
      <c r="Q374" s="946"/>
      <c r="R374" s="541"/>
      <c r="S374" s="561"/>
    </row>
    <row r="375" spans="1:22" s="492" customFormat="1" ht="48.6">
      <c r="A375" s="1229" t="s">
        <v>309</v>
      </c>
      <c r="B375" s="1206" t="s">
        <v>325</v>
      </c>
      <c r="C375" s="1205">
        <v>31</v>
      </c>
      <c r="D375" s="1206" t="s">
        <v>338</v>
      </c>
      <c r="E375" s="494" t="s">
        <v>38</v>
      </c>
      <c r="F375" s="496" t="s">
        <v>316</v>
      </c>
      <c r="G375" s="494" t="s">
        <v>40</v>
      </c>
      <c r="H375" s="501">
        <v>0</v>
      </c>
      <c r="I375" s="1248">
        <v>45962</v>
      </c>
      <c r="J375" s="958">
        <f>IF(H375=0,0,IF(H375="-","-",ROUND(H375/12,2)))</f>
        <v>0</v>
      </c>
      <c r="K375" s="959">
        <v>0</v>
      </c>
      <c r="L375" s="971">
        <v>0</v>
      </c>
      <c r="M375" s="957">
        <v>0</v>
      </c>
      <c r="N375" s="943"/>
      <c r="O375" s="944"/>
      <c r="P375" s="945"/>
      <c r="Q375" s="946"/>
      <c r="R375" s="541"/>
      <c r="S375" s="561"/>
    </row>
    <row r="376" spans="1:22" s="492" customFormat="1" ht="48.6">
      <c r="A376" s="1229" t="s">
        <v>309</v>
      </c>
      <c r="B376" s="1206" t="s">
        <v>325</v>
      </c>
      <c r="C376" s="1205">
        <v>32</v>
      </c>
      <c r="D376" s="1206" t="s">
        <v>338</v>
      </c>
      <c r="E376" s="494" t="s">
        <v>136</v>
      </c>
      <c r="F376" s="496" t="s">
        <v>316</v>
      </c>
      <c r="G376" s="494" t="s">
        <v>40</v>
      </c>
      <c r="H376" s="501">
        <v>0</v>
      </c>
      <c r="I376" s="1248">
        <v>45962</v>
      </c>
      <c r="J376" s="958">
        <f>IF(H376=0,0,IF(H376="-","-",ROUND(H376/12,2)))</f>
        <v>0</v>
      </c>
      <c r="K376" s="959">
        <v>0</v>
      </c>
      <c r="L376" s="971">
        <v>0</v>
      </c>
      <c r="M376" s="957">
        <v>0</v>
      </c>
      <c r="N376" s="943"/>
      <c r="O376" s="944"/>
      <c r="P376" s="945"/>
      <c r="Q376" s="946"/>
      <c r="R376" s="541"/>
      <c r="S376" s="561"/>
    </row>
    <row r="377" spans="1:22" s="492" customFormat="1" ht="48.6">
      <c r="A377" s="1229" t="s">
        <v>309</v>
      </c>
      <c r="B377" s="1206" t="s">
        <v>325</v>
      </c>
      <c r="C377" s="1205">
        <v>33</v>
      </c>
      <c r="D377" s="1206" t="s">
        <v>339</v>
      </c>
      <c r="E377" s="494" t="s">
        <v>133</v>
      </c>
      <c r="F377" s="496" t="s">
        <v>340</v>
      </c>
      <c r="G377" s="494" t="s">
        <v>341</v>
      </c>
      <c r="H377" s="502">
        <v>5.0000000000000001E-3</v>
      </c>
      <c r="I377" s="1248">
        <v>45962</v>
      </c>
      <c r="J377" s="958" t="s">
        <v>41</v>
      </c>
      <c r="K377" s="959" t="s">
        <v>41</v>
      </c>
      <c r="L377" s="993">
        <v>-5.0000000000000001E-3</v>
      </c>
      <c r="M377" s="975">
        <v>-5.7400000000000003E-3</v>
      </c>
      <c r="N377" s="943"/>
      <c r="O377" s="944"/>
      <c r="P377" s="945"/>
      <c r="Q377" s="946"/>
      <c r="R377" s="541"/>
      <c r="S377" s="561"/>
    </row>
    <row r="378" spans="1:22" s="492" customFormat="1" ht="48.6">
      <c r="A378" s="1229" t="s">
        <v>309</v>
      </c>
      <c r="B378" s="1206" t="s">
        <v>325</v>
      </c>
      <c r="C378" s="1205">
        <v>34</v>
      </c>
      <c r="D378" s="1206" t="s">
        <v>339</v>
      </c>
      <c r="E378" s="494" t="s">
        <v>136</v>
      </c>
      <c r="F378" s="496" t="s">
        <v>340</v>
      </c>
      <c r="G378" s="494" t="s">
        <v>341</v>
      </c>
      <c r="H378" s="503" t="s">
        <v>41</v>
      </c>
      <c r="I378" s="1248">
        <v>45962</v>
      </c>
      <c r="J378" s="955" t="str">
        <f>IF(H378=0,0,IF(H378="-","-",ROUND(H378/12,2)))</f>
        <v>-</v>
      </c>
      <c r="K378" s="959" t="s">
        <v>41</v>
      </c>
      <c r="L378" s="962" t="s">
        <v>41</v>
      </c>
      <c r="M378" s="959">
        <v>-9.1999999999999993</v>
      </c>
      <c r="N378" s="943"/>
      <c r="O378" s="944"/>
      <c r="P378" s="945"/>
      <c r="Q378" s="946"/>
      <c r="R378" s="541"/>
      <c r="S378" s="561"/>
    </row>
    <row r="379" spans="1:22" s="492" customFormat="1" ht="48.6">
      <c r="A379" s="1229" t="s">
        <v>309</v>
      </c>
      <c r="B379" s="1206" t="s">
        <v>325</v>
      </c>
      <c r="C379" s="1205">
        <v>35</v>
      </c>
      <c r="D379" s="1206" t="s">
        <v>342</v>
      </c>
      <c r="E379" s="494" t="s">
        <v>133</v>
      </c>
      <c r="F379" s="496" t="s">
        <v>106</v>
      </c>
      <c r="G379" s="494" t="s">
        <v>285</v>
      </c>
      <c r="H379" s="504">
        <v>3.5000000000000003E-2</v>
      </c>
      <c r="I379" s="1248">
        <v>45962</v>
      </c>
      <c r="J379" s="974">
        <v>3.5400000000000001E-2</v>
      </c>
      <c r="K379" s="975">
        <v>3.0800000000000001E-2</v>
      </c>
      <c r="L379" s="976">
        <f>J379</f>
        <v>3.5400000000000001E-2</v>
      </c>
      <c r="M379" s="1011">
        <v>3.0800000000000001E-2</v>
      </c>
      <c r="N379" s="943"/>
      <c r="O379" s="944"/>
      <c r="P379" s="945"/>
      <c r="Q379" s="946"/>
      <c r="R379" s="541"/>
      <c r="S379" s="561"/>
    </row>
    <row r="380" spans="1:22" s="492" customFormat="1" ht="48.6">
      <c r="A380" s="1229" t="s">
        <v>309</v>
      </c>
      <c r="B380" s="1206" t="s">
        <v>325</v>
      </c>
      <c r="C380" s="1205">
        <v>36</v>
      </c>
      <c r="D380" s="1206" t="s">
        <v>342</v>
      </c>
      <c r="E380" s="494" t="s">
        <v>136</v>
      </c>
      <c r="F380" s="496" t="s">
        <v>106</v>
      </c>
      <c r="G380" s="494" t="s">
        <v>285</v>
      </c>
      <c r="H380" s="506">
        <v>642.05999999999995</v>
      </c>
      <c r="I380" s="1248">
        <v>45962</v>
      </c>
      <c r="J380" s="955">
        <v>649.45000000000027</v>
      </c>
      <c r="K380" s="959">
        <v>585.88</v>
      </c>
      <c r="L380" s="946">
        <f>J380</f>
        <v>649.45000000000027</v>
      </c>
      <c r="M380" s="957">
        <v>585.88</v>
      </c>
      <c r="N380" s="943"/>
      <c r="O380" s="944"/>
      <c r="P380" s="945"/>
      <c r="Q380" s="946"/>
      <c r="R380" s="541"/>
      <c r="S380" s="561"/>
    </row>
    <row r="381" spans="1:22" s="492" customFormat="1" ht="48.6">
      <c r="A381" s="1229" t="s">
        <v>309</v>
      </c>
      <c r="B381" s="1206" t="s">
        <v>325</v>
      </c>
      <c r="C381" s="1205">
        <v>37</v>
      </c>
      <c r="D381" s="1206" t="s">
        <v>343</v>
      </c>
      <c r="E381" s="494" t="s">
        <v>38</v>
      </c>
      <c r="F381" s="496" t="s">
        <v>105</v>
      </c>
      <c r="G381" s="494"/>
      <c r="H381" s="500" t="s">
        <v>41</v>
      </c>
      <c r="I381" s="1248">
        <v>45962</v>
      </c>
      <c r="J381" s="955" t="s">
        <v>41</v>
      </c>
      <c r="K381" s="959" t="s">
        <v>41</v>
      </c>
      <c r="L381" s="962" t="s">
        <v>41</v>
      </c>
      <c r="M381" s="959" t="s">
        <v>41</v>
      </c>
      <c r="N381" s="995" t="s">
        <v>41</v>
      </c>
      <c r="O381" s="944"/>
      <c r="P381" s="945"/>
      <c r="Q381" s="946"/>
      <c r="R381" s="541"/>
      <c r="S381" s="561"/>
    </row>
    <row r="382" spans="1:22" s="492" customFormat="1" ht="64.8">
      <c r="A382" s="1229" t="s">
        <v>309</v>
      </c>
      <c r="B382" s="1206" t="s">
        <v>325</v>
      </c>
      <c r="C382" s="1205">
        <v>38</v>
      </c>
      <c r="D382" s="1206" t="s">
        <v>343</v>
      </c>
      <c r="E382" s="494" t="s">
        <v>136</v>
      </c>
      <c r="F382" s="496" t="s">
        <v>105</v>
      </c>
      <c r="G382" s="494"/>
      <c r="H382" s="505">
        <f>84578725.86/10^6</f>
        <v>84.578725860000006</v>
      </c>
      <c r="I382" s="1248">
        <v>45962</v>
      </c>
      <c r="J382" s="955">
        <f>2390710.05/10^6</f>
        <v>2.39071005</v>
      </c>
      <c r="K382" s="959">
        <f>5536338.37/10^6</f>
        <v>5.5363383700000002</v>
      </c>
      <c r="L382" s="946">
        <f>L333+J382</f>
        <v>75.487067459999992</v>
      </c>
      <c r="M382" s="959">
        <f>K382+M333</f>
        <v>48.422182659999997</v>
      </c>
      <c r="N382" s="943"/>
      <c r="O382" s="961" t="s">
        <v>418</v>
      </c>
      <c r="P382" s="945" t="s">
        <v>41</v>
      </c>
      <c r="Q382" s="946" t="s">
        <v>41</v>
      </c>
      <c r="R382" s="541" t="s">
        <v>41</v>
      </c>
      <c r="S382" s="561"/>
    </row>
    <row r="383" spans="1:22" s="492" customFormat="1" ht="48.6">
      <c r="A383" s="1229" t="s">
        <v>309</v>
      </c>
      <c r="B383" s="1206" t="s">
        <v>325</v>
      </c>
      <c r="C383" s="1205">
        <v>39</v>
      </c>
      <c r="D383" s="1206" t="s">
        <v>344</v>
      </c>
      <c r="E383" s="494" t="s">
        <v>136</v>
      </c>
      <c r="F383" s="496" t="s">
        <v>110</v>
      </c>
      <c r="G383" s="494" t="s">
        <v>345</v>
      </c>
      <c r="H383" s="500">
        <v>3.17</v>
      </c>
      <c r="I383" s="1248">
        <v>45962</v>
      </c>
      <c r="J383" s="977" t="s">
        <v>41</v>
      </c>
      <c r="K383" s="959" t="s">
        <v>41</v>
      </c>
      <c r="L383" s="946">
        <v>3.17</v>
      </c>
      <c r="M383" s="959">
        <v>0.69707109</v>
      </c>
      <c r="N383" s="943"/>
      <c r="O383" s="944"/>
      <c r="P383" s="945"/>
      <c r="Q383" s="946"/>
      <c r="R383" s="541"/>
      <c r="S383" s="561"/>
    </row>
    <row r="384" spans="1:22" s="492" customFormat="1" ht="48.6">
      <c r="A384" s="1229" t="s">
        <v>309</v>
      </c>
      <c r="B384" s="1206" t="s">
        <v>325</v>
      </c>
      <c r="C384" s="1205">
        <v>40</v>
      </c>
      <c r="D384" s="1206" t="s">
        <v>346</v>
      </c>
      <c r="E384" s="494" t="s">
        <v>136</v>
      </c>
      <c r="F384" s="496" t="s">
        <v>110</v>
      </c>
      <c r="G384" s="494" t="s">
        <v>345</v>
      </c>
      <c r="H384" s="500">
        <v>5.84</v>
      </c>
      <c r="I384" s="1248">
        <v>45962</v>
      </c>
      <c r="J384" s="977" t="s">
        <v>41</v>
      </c>
      <c r="K384" s="959" t="s">
        <v>41</v>
      </c>
      <c r="L384" s="946">
        <v>5.84</v>
      </c>
      <c r="M384" s="959">
        <v>5.5206797600000002</v>
      </c>
      <c r="N384" s="943"/>
      <c r="O384" s="944"/>
      <c r="P384" s="945"/>
      <c r="Q384" s="946"/>
      <c r="R384" s="541"/>
      <c r="S384" s="561"/>
    </row>
    <row r="385" spans="1:19" s="492" customFormat="1" ht="48.6">
      <c r="A385" s="1229" t="s">
        <v>309</v>
      </c>
      <c r="B385" s="1206" t="s">
        <v>325</v>
      </c>
      <c r="C385" s="1205">
        <v>41</v>
      </c>
      <c r="D385" s="1206" t="s">
        <v>347</v>
      </c>
      <c r="E385" s="494" t="s">
        <v>38</v>
      </c>
      <c r="F385" s="496" t="s">
        <v>106</v>
      </c>
      <c r="G385" s="494" t="s">
        <v>285</v>
      </c>
      <c r="H385" s="500" t="s">
        <v>41</v>
      </c>
      <c r="I385" s="1248">
        <v>45962</v>
      </c>
      <c r="J385" s="955" t="s">
        <v>41</v>
      </c>
      <c r="K385" s="959" t="s">
        <v>41</v>
      </c>
      <c r="L385" s="946" t="s">
        <v>41</v>
      </c>
      <c r="M385" s="959" t="s">
        <v>41</v>
      </c>
      <c r="N385" s="943"/>
      <c r="O385" s="944" t="s">
        <v>387</v>
      </c>
      <c r="P385" s="945"/>
      <c r="Q385" s="946"/>
      <c r="R385" s="541"/>
      <c r="S385" s="561"/>
    </row>
    <row r="386" spans="1:19" s="492" customFormat="1" ht="48.6">
      <c r="A386" s="1229" t="s">
        <v>309</v>
      </c>
      <c r="B386" s="1206" t="s">
        <v>325</v>
      </c>
      <c r="C386" s="1205">
        <v>42</v>
      </c>
      <c r="D386" s="1206" t="s">
        <v>347</v>
      </c>
      <c r="E386" s="494" t="s">
        <v>136</v>
      </c>
      <c r="F386" s="496" t="s">
        <v>106</v>
      </c>
      <c r="G386" s="494" t="s">
        <v>285</v>
      </c>
      <c r="H386" s="506">
        <v>155.07</v>
      </c>
      <c r="I386" s="1248">
        <v>45962</v>
      </c>
      <c r="J386" s="955" t="s">
        <v>41</v>
      </c>
      <c r="K386" s="959" t="s">
        <v>41</v>
      </c>
      <c r="L386" s="946">
        <v>166.15500000000003</v>
      </c>
      <c r="M386" s="959">
        <v>165.98</v>
      </c>
      <c r="N386" s="943"/>
      <c r="O386" s="944" t="s">
        <v>387</v>
      </c>
      <c r="P386" s="945"/>
      <c r="Q386" s="946"/>
      <c r="R386" s="541"/>
      <c r="S386" s="561"/>
    </row>
    <row r="387" spans="1:19" s="492" customFormat="1" ht="48.6">
      <c r="A387" s="1229" t="s">
        <v>309</v>
      </c>
      <c r="B387" s="1206" t="s">
        <v>325</v>
      </c>
      <c r="C387" s="1205">
        <v>43</v>
      </c>
      <c r="D387" s="1206" t="s">
        <v>349</v>
      </c>
      <c r="E387" s="494" t="s">
        <v>136</v>
      </c>
      <c r="F387" s="496" t="s">
        <v>340</v>
      </c>
      <c r="G387" s="494" t="s">
        <v>134</v>
      </c>
      <c r="H387" s="500">
        <v>5.4</v>
      </c>
      <c r="I387" s="1248">
        <v>45962</v>
      </c>
      <c r="J387" s="955" t="s">
        <v>41</v>
      </c>
      <c r="K387" s="959" t="s">
        <v>41</v>
      </c>
      <c r="L387" s="962" t="s">
        <v>41</v>
      </c>
      <c r="M387" s="959" t="s">
        <v>41</v>
      </c>
      <c r="N387" s="943"/>
      <c r="O387" s="944"/>
      <c r="P387" s="945"/>
      <c r="Q387" s="946"/>
      <c r="R387" s="541"/>
      <c r="S387" s="561"/>
    </row>
    <row r="388" spans="1:19" s="492" customFormat="1" ht="48.6">
      <c r="A388" s="1229" t="s">
        <v>309</v>
      </c>
      <c r="B388" s="1206" t="s">
        <v>325</v>
      </c>
      <c r="C388" s="1205">
        <v>44</v>
      </c>
      <c r="D388" s="1206" t="s">
        <v>350</v>
      </c>
      <c r="E388" s="494" t="s">
        <v>38</v>
      </c>
      <c r="F388" s="496" t="s">
        <v>106</v>
      </c>
      <c r="G388" s="494" t="s">
        <v>134</v>
      </c>
      <c r="H388" s="500" t="s">
        <v>41</v>
      </c>
      <c r="I388" s="1248">
        <v>45962</v>
      </c>
      <c r="J388" s="955" t="s">
        <v>41</v>
      </c>
      <c r="K388" s="959" t="s">
        <v>41</v>
      </c>
      <c r="L388" s="962" t="s">
        <v>41</v>
      </c>
      <c r="M388" s="959" t="s">
        <v>41</v>
      </c>
      <c r="N388" s="943"/>
      <c r="O388" s="944" t="s">
        <v>361</v>
      </c>
      <c r="P388" s="945"/>
      <c r="Q388" s="946"/>
      <c r="R388" s="541"/>
      <c r="S388" s="561"/>
    </row>
    <row r="389" spans="1:19" s="492" customFormat="1" ht="48.6">
      <c r="A389" s="1229" t="s">
        <v>309</v>
      </c>
      <c r="B389" s="1206" t="s">
        <v>325</v>
      </c>
      <c r="C389" s="1205">
        <v>45</v>
      </c>
      <c r="D389" s="1206" t="s">
        <v>350</v>
      </c>
      <c r="E389" s="494" t="s">
        <v>136</v>
      </c>
      <c r="F389" s="496" t="s">
        <v>106</v>
      </c>
      <c r="G389" s="494" t="s">
        <v>134</v>
      </c>
      <c r="H389" s="506">
        <v>3</v>
      </c>
      <c r="I389" s="1248">
        <v>45962</v>
      </c>
      <c r="J389" s="955" t="s">
        <v>41</v>
      </c>
      <c r="K389" s="959" t="s">
        <v>41</v>
      </c>
      <c r="L389" s="962" t="s">
        <v>41</v>
      </c>
      <c r="M389" s="959" t="s">
        <v>41</v>
      </c>
      <c r="N389" s="943"/>
      <c r="O389" s="944" t="s">
        <v>361</v>
      </c>
      <c r="P389" s="945"/>
      <c r="Q389" s="946"/>
      <c r="R389" s="541"/>
      <c r="S389" s="561"/>
    </row>
    <row r="390" spans="1:19" s="492" customFormat="1" ht="48.6">
      <c r="A390" s="1229" t="s">
        <v>309</v>
      </c>
      <c r="B390" s="1221" t="s">
        <v>351</v>
      </c>
      <c r="C390" s="1205">
        <v>46</v>
      </c>
      <c r="D390" s="1227" t="s">
        <v>352</v>
      </c>
      <c r="E390" s="494" t="s">
        <v>353</v>
      </c>
      <c r="F390" s="496" t="s">
        <v>312</v>
      </c>
      <c r="G390" s="497" t="s">
        <v>40</v>
      </c>
      <c r="H390" s="500">
        <v>1.2</v>
      </c>
      <c r="I390" s="1248">
        <v>45962</v>
      </c>
      <c r="J390" s="955" t="s">
        <v>41</v>
      </c>
      <c r="K390" s="959" t="s">
        <v>41</v>
      </c>
      <c r="L390" s="962" t="s">
        <v>41</v>
      </c>
      <c r="M390" s="957" t="s">
        <v>41</v>
      </c>
      <c r="N390" s="943"/>
      <c r="O390" s="944"/>
      <c r="P390" s="945"/>
      <c r="Q390" s="946"/>
      <c r="R390" s="541"/>
      <c r="S390" s="561"/>
    </row>
    <row r="391" spans="1:19" s="492" customFormat="1" ht="48.6">
      <c r="A391" s="1229" t="s">
        <v>309</v>
      </c>
      <c r="B391" s="1221" t="s">
        <v>354</v>
      </c>
      <c r="C391" s="1205">
        <v>47</v>
      </c>
      <c r="D391" s="1221" t="s">
        <v>355</v>
      </c>
      <c r="E391" s="494" t="s">
        <v>353</v>
      </c>
      <c r="F391" s="496" t="s">
        <v>327</v>
      </c>
      <c r="G391" s="497" t="s">
        <v>40</v>
      </c>
      <c r="H391" s="501">
        <v>0</v>
      </c>
      <c r="I391" s="1248">
        <v>45962</v>
      </c>
      <c r="J391" s="955" t="s">
        <v>41</v>
      </c>
      <c r="K391" s="959" t="s">
        <v>41</v>
      </c>
      <c r="L391" s="960">
        <v>5</v>
      </c>
      <c r="M391" s="957">
        <v>4.71</v>
      </c>
      <c r="N391" s="943"/>
      <c r="O391" s="944"/>
      <c r="P391" s="945"/>
      <c r="Q391" s="946"/>
      <c r="R391" s="541"/>
      <c r="S391" s="561"/>
    </row>
    <row r="392" spans="1:19" s="492" customFormat="1" ht="48.6">
      <c r="A392" s="1229" t="s">
        <v>309</v>
      </c>
      <c r="B392" s="1221" t="s">
        <v>356</v>
      </c>
      <c r="C392" s="1205">
        <v>48</v>
      </c>
      <c r="D392" s="1221" t="s">
        <v>355</v>
      </c>
      <c r="E392" s="494" t="s">
        <v>353</v>
      </c>
      <c r="F392" s="496" t="s">
        <v>321</v>
      </c>
      <c r="G392" s="497" t="s">
        <v>40</v>
      </c>
      <c r="H392" s="501">
        <v>0</v>
      </c>
      <c r="I392" s="1248">
        <v>45962</v>
      </c>
      <c r="J392" s="955" t="s">
        <v>41</v>
      </c>
      <c r="K392" s="959" t="s">
        <v>41</v>
      </c>
      <c r="L392" s="960">
        <v>0</v>
      </c>
      <c r="M392" s="957">
        <v>0</v>
      </c>
      <c r="N392" s="943"/>
      <c r="O392" s="944"/>
      <c r="P392" s="945"/>
      <c r="Q392" s="946"/>
      <c r="R392" s="541"/>
      <c r="S392" s="561"/>
    </row>
    <row r="393" spans="1:19" s="492" customFormat="1" ht="48.6">
      <c r="A393" s="1229" t="s">
        <v>309</v>
      </c>
      <c r="B393" s="1230" t="s">
        <v>357</v>
      </c>
      <c r="C393" s="1205">
        <v>49</v>
      </c>
      <c r="D393" s="1216" t="s">
        <v>41</v>
      </c>
      <c r="E393" s="494" t="s">
        <v>38</v>
      </c>
      <c r="F393" s="496" t="s">
        <v>312</v>
      </c>
      <c r="G393" s="497" t="s">
        <v>41</v>
      </c>
      <c r="H393" s="501"/>
      <c r="I393" s="1248">
        <v>45962</v>
      </c>
      <c r="J393" s="955">
        <v>30</v>
      </c>
      <c r="K393" s="959">
        <v>22</v>
      </c>
      <c r="L393" s="960">
        <f>J393+L344</f>
        <v>194</v>
      </c>
      <c r="M393" s="957">
        <f>K393+M344</f>
        <v>161</v>
      </c>
      <c r="N393" s="943"/>
      <c r="O393" s="944"/>
      <c r="P393" s="945"/>
      <c r="Q393" s="946"/>
      <c r="R393" s="541"/>
      <c r="S393" s="561"/>
    </row>
    <row r="394" spans="1:19" s="492" customFormat="1" ht="48.6">
      <c r="A394" s="1231" t="s">
        <v>309</v>
      </c>
      <c r="B394" s="1232" t="s">
        <v>310</v>
      </c>
      <c r="C394" s="1205">
        <v>1</v>
      </c>
      <c r="D394" s="1206" t="s">
        <v>311</v>
      </c>
      <c r="E394" s="494" t="s">
        <v>38</v>
      </c>
      <c r="F394" s="496" t="s">
        <v>312</v>
      </c>
      <c r="G394" s="494" t="s">
        <v>40</v>
      </c>
      <c r="H394" s="500">
        <v>0</v>
      </c>
      <c r="I394" s="1249">
        <v>45992</v>
      </c>
      <c r="J394" s="958">
        <f>IF(H394=0,0,IF(H394="-","-",ROUND(H394/12,2)))</f>
        <v>0</v>
      </c>
      <c r="K394" s="956">
        <v>0</v>
      </c>
      <c r="L394" s="971">
        <v>0</v>
      </c>
      <c r="M394" s="972">
        <v>0</v>
      </c>
      <c r="N394" s="943"/>
      <c r="O394" s="944"/>
      <c r="P394" s="945"/>
      <c r="Q394" s="946"/>
      <c r="R394" s="541"/>
      <c r="S394" s="561"/>
    </row>
    <row r="395" spans="1:19" s="492" customFormat="1" ht="48.6">
      <c r="A395" s="1201" t="s">
        <v>309</v>
      </c>
      <c r="B395" s="1202" t="s">
        <v>310</v>
      </c>
      <c r="C395" s="1205">
        <v>2</v>
      </c>
      <c r="D395" s="1206" t="s">
        <v>313</v>
      </c>
      <c r="E395" s="494" t="s">
        <v>38</v>
      </c>
      <c r="F395" s="496" t="s">
        <v>312</v>
      </c>
      <c r="G395" s="494" t="s">
        <v>40</v>
      </c>
      <c r="H395" s="500">
        <v>9</v>
      </c>
      <c r="I395" s="1243">
        <v>45992</v>
      </c>
      <c r="J395" s="958">
        <f>IF(H395=0,0,IF(H395="-","-",ROUND(H395/12,2)))</f>
        <v>0.75</v>
      </c>
      <c r="K395" s="956">
        <v>0</v>
      </c>
      <c r="L395" s="971">
        <f>J395+L346</f>
        <v>6.75</v>
      </c>
      <c r="M395" s="972">
        <f>K395+M346</f>
        <v>0</v>
      </c>
      <c r="N395" s="943"/>
      <c r="O395" s="944"/>
      <c r="P395" s="945"/>
      <c r="Q395" s="946"/>
      <c r="R395" s="541"/>
      <c r="S395" s="561"/>
    </row>
    <row r="396" spans="1:19" s="492" customFormat="1" ht="48.6">
      <c r="A396" s="1201" t="s">
        <v>309</v>
      </c>
      <c r="B396" s="1202" t="s">
        <v>310</v>
      </c>
      <c r="C396" s="1205">
        <v>3</v>
      </c>
      <c r="D396" s="1206" t="s">
        <v>314</v>
      </c>
      <c r="E396" s="494" t="s">
        <v>38</v>
      </c>
      <c r="F396" s="496" t="s">
        <v>312</v>
      </c>
      <c r="G396" s="494" t="s">
        <v>40</v>
      </c>
      <c r="H396" s="500">
        <v>0</v>
      </c>
      <c r="I396" s="1243">
        <v>45992</v>
      </c>
      <c r="J396" s="958">
        <f>IF(H396=0,0,IF(H396="-","-",ROUND(H396/12,2)))</f>
        <v>0</v>
      </c>
      <c r="K396" s="956">
        <v>0</v>
      </c>
      <c r="L396" s="971">
        <f>J396+L347</f>
        <v>0</v>
      </c>
      <c r="M396" s="2431">
        <f>K396+M347</f>
        <v>1</v>
      </c>
      <c r="N396" s="943"/>
      <c r="O396" s="944"/>
      <c r="P396" s="945"/>
      <c r="Q396" s="946"/>
      <c r="R396" s="541"/>
      <c r="S396" s="561"/>
    </row>
    <row r="397" spans="1:19" s="492" customFormat="1" ht="48.6">
      <c r="A397" s="1201" t="s">
        <v>309</v>
      </c>
      <c r="B397" s="1202" t="s">
        <v>310</v>
      </c>
      <c r="C397" s="1205">
        <v>4</v>
      </c>
      <c r="D397" s="1206" t="s">
        <v>315</v>
      </c>
      <c r="E397" s="494" t="s">
        <v>38</v>
      </c>
      <c r="F397" s="496" t="s">
        <v>316</v>
      </c>
      <c r="G397" s="494" t="s">
        <v>40</v>
      </c>
      <c r="H397" s="500">
        <v>281</v>
      </c>
      <c r="I397" s="1243">
        <v>45992</v>
      </c>
      <c r="J397" s="958">
        <v>27</v>
      </c>
      <c r="K397" s="956">
        <v>26</v>
      </c>
      <c r="L397" s="971">
        <f t="shared" ref="L397:M397" si="30">J397+L348</f>
        <v>205</v>
      </c>
      <c r="M397" s="972">
        <f t="shared" si="30"/>
        <v>181</v>
      </c>
      <c r="N397" s="943"/>
      <c r="O397" s="944"/>
      <c r="P397" s="945"/>
      <c r="Q397" s="946"/>
      <c r="R397" s="541"/>
      <c r="S397" s="561"/>
    </row>
    <row r="398" spans="1:19" s="492" customFormat="1" ht="48.6">
      <c r="A398" s="1201" t="s">
        <v>309</v>
      </c>
      <c r="B398" s="1202" t="s">
        <v>310</v>
      </c>
      <c r="C398" s="1205">
        <v>5</v>
      </c>
      <c r="D398" s="1206" t="s">
        <v>315</v>
      </c>
      <c r="E398" s="494" t="s">
        <v>136</v>
      </c>
      <c r="F398" s="496" t="s">
        <v>316</v>
      </c>
      <c r="G398" s="494" t="s">
        <v>40</v>
      </c>
      <c r="H398" s="500">
        <v>117</v>
      </c>
      <c r="I398" s="1243">
        <v>45992</v>
      </c>
      <c r="J398" s="1576">
        <v>11.65</v>
      </c>
      <c r="K398" s="959">
        <v>9.2200000000000006</v>
      </c>
      <c r="L398" s="941">
        <f t="shared" ref="L398:M398" si="31">J398+L349</f>
        <v>83.299000000000007</v>
      </c>
      <c r="M398" s="942">
        <f t="shared" si="31"/>
        <v>55.87</v>
      </c>
      <c r="N398" s="943"/>
      <c r="O398" s="944"/>
      <c r="P398" s="945"/>
      <c r="Q398" s="946"/>
      <c r="R398" s="541"/>
      <c r="S398" s="561"/>
    </row>
    <row r="399" spans="1:19" s="492" customFormat="1" ht="48.6">
      <c r="A399" s="1201" t="s">
        <v>309</v>
      </c>
      <c r="B399" s="1202" t="s">
        <v>310</v>
      </c>
      <c r="C399" s="1205">
        <v>6</v>
      </c>
      <c r="D399" s="1206" t="s">
        <v>317</v>
      </c>
      <c r="E399" s="494" t="s">
        <v>38</v>
      </c>
      <c r="F399" s="496" t="s">
        <v>316</v>
      </c>
      <c r="G399" s="494" t="s">
        <v>40</v>
      </c>
      <c r="H399" s="500">
        <v>0</v>
      </c>
      <c r="I399" s="1243">
        <v>45992</v>
      </c>
      <c r="J399" s="958">
        <f>IF(H399=0,0,IF(H399="-","-",ROUND(H399/12,2)))</f>
        <v>0</v>
      </c>
      <c r="K399" s="956">
        <v>0</v>
      </c>
      <c r="L399" s="971">
        <v>0</v>
      </c>
      <c r="M399" s="972">
        <v>0</v>
      </c>
      <c r="N399" s="943"/>
      <c r="O399" s="944" t="s">
        <v>388</v>
      </c>
      <c r="P399" s="945"/>
      <c r="Q399" s="946"/>
      <c r="R399" s="541"/>
      <c r="S399" s="561"/>
    </row>
    <row r="400" spans="1:19" s="492" customFormat="1" ht="48.6">
      <c r="A400" s="1201" t="s">
        <v>309</v>
      </c>
      <c r="B400" s="1202" t="s">
        <v>310</v>
      </c>
      <c r="C400" s="1205">
        <v>7</v>
      </c>
      <c r="D400" s="1206" t="s">
        <v>317</v>
      </c>
      <c r="E400" s="494" t="s">
        <v>136</v>
      </c>
      <c r="F400" s="496" t="s">
        <v>316</v>
      </c>
      <c r="G400" s="494" t="s">
        <v>40</v>
      </c>
      <c r="H400" s="500">
        <v>0</v>
      </c>
      <c r="I400" s="1243">
        <v>45992</v>
      </c>
      <c r="J400" s="958">
        <f>IF(H400=0,0,IF(H400="-","-",ROUND(H400/12,2)))</f>
        <v>0</v>
      </c>
      <c r="K400" s="940">
        <v>0</v>
      </c>
      <c r="L400" s="971">
        <v>0</v>
      </c>
      <c r="M400" s="942">
        <v>0</v>
      </c>
      <c r="N400" s="943"/>
      <c r="O400" s="944"/>
      <c r="P400" s="945"/>
      <c r="Q400" s="946"/>
      <c r="R400" s="541"/>
      <c r="S400" s="561"/>
    </row>
    <row r="401" spans="1:19" s="492" customFormat="1" ht="48.6">
      <c r="A401" s="1201" t="s">
        <v>309</v>
      </c>
      <c r="B401" s="1202" t="s">
        <v>310</v>
      </c>
      <c r="C401" s="1205">
        <v>8</v>
      </c>
      <c r="D401" s="1206" t="s">
        <v>318</v>
      </c>
      <c r="E401" s="494" t="s">
        <v>38</v>
      </c>
      <c r="F401" s="496" t="s">
        <v>316</v>
      </c>
      <c r="G401" s="494" t="s">
        <v>40</v>
      </c>
      <c r="H401" s="500">
        <v>195</v>
      </c>
      <c r="I401" s="1243">
        <v>45992</v>
      </c>
      <c r="J401" s="958">
        <v>16</v>
      </c>
      <c r="K401" s="956">
        <v>4</v>
      </c>
      <c r="L401" s="946">
        <f>J401+L352</f>
        <v>156</v>
      </c>
      <c r="M401" s="972">
        <f t="shared" ref="M401" si="32">K401+M352</f>
        <v>61</v>
      </c>
      <c r="N401" s="943"/>
      <c r="O401" s="944" t="s">
        <v>389</v>
      </c>
      <c r="P401" s="945"/>
      <c r="Q401" s="946"/>
      <c r="R401" s="541"/>
      <c r="S401" s="561"/>
    </row>
    <row r="402" spans="1:19" s="492" customFormat="1" ht="48.6">
      <c r="A402" s="1201" t="s">
        <v>309</v>
      </c>
      <c r="B402" s="1207" t="s">
        <v>310</v>
      </c>
      <c r="C402" s="1233">
        <v>9</v>
      </c>
      <c r="D402" s="1234" t="s">
        <v>318</v>
      </c>
      <c r="E402" s="625" t="s">
        <v>136</v>
      </c>
      <c r="F402" s="626" t="s">
        <v>316</v>
      </c>
      <c r="G402" s="625" t="s">
        <v>40</v>
      </c>
      <c r="H402" s="645">
        <v>313</v>
      </c>
      <c r="I402" s="1243">
        <v>45992</v>
      </c>
      <c r="J402" s="1012">
        <v>12.673</v>
      </c>
      <c r="K402" s="1013">
        <v>1.2347999999999999</v>
      </c>
      <c r="L402" s="1014">
        <f>J402+L353</f>
        <v>264.56200000000001</v>
      </c>
      <c r="M402" s="1015">
        <f t="shared" ref="M402" si="33">K402+M353</f>
        <v>60.426599999999993</v>
      </c>
      <c r="N402" s="1016"/>
      <c r="O402" s="1017"/>
      <c r="P402" s="1018"/>
      <c r="Q402" s="1014"/>
      <c r="R402" s="627"/>
      <c r="S402" s="561"/>
    </row>
    <row r="403" spans="1:19" s="492" customFormat="1" ht="48.6">
      <c r="A403" s="1201" t="s">
        <v>309</v>
      </c>
      <c r="B403" s="1210" t="s">
        <v>319</v>
      </c>
      <c r="C403" s="1211">
        <v>10</v>
      </c>
      <c r="D403" s="1212" t="s">
        <v>320</v>
      </c>
      <c r="E403" s="574" t="s">
        <v>38</v>
      </c>
      <c r="F403" s="575" t="s">
        <v>321</v>
      </c>
      <c r="G403" s="574" t="s">
        <v>40</v>
      </c>
      <c r="H403" s="576">
        <v>0</v>
      </c>
      <c r="I403" s="1243">
        <v>45992</v>
      </c>
      <c r="J403" s="947">
        <f>IF(H403=0,0,IF(H403="-","-",ROUND(H403/12,2)))</f>
        <v>0</v>
      </c>
      <c r="K403" s="1019">
        <v>0</v>
      </c>
      <c r="L403" s="949">
        <v>0</v>
      </c>
      <c r="M403" s="1020">
        <v>0</v>
      </c>
      <c r="N403" s="951"/>
      <c r="O403" s="952"/>
      <c r="P403" s="953"/>
      <c r="Q403" s="954"/>
      <c r="R403" s="584"/>
      <c r="S403" s="561"/>
    </row>
    <row r="404" spans="1:19" s="492" customFormat="1" ht="48.6">
      <c r="A404" s="1201" t="s">
        <v>309</v>
      </c>
      <c r="B404" s="1202" t="s">
        <v>319</v>
      </c>
      <c r="C404" s="1205">
        <v>11</v>
      </c>
      <c r="D404" s="1206" t="s">
        <v>322</v>
      </c>
      <c r="E404" s="494" t="s">
        <v>38</v>
      </c>
      <c r="F404" s="496" t="s">
        <v>321</v>
      </c>
      <c r="G404" s="494" t="s">
        <v>40</v>
      </c>
      <c r="H404" s="500">
        <v>0</v>
      </c>
      <c r="I404" s="1243">
        <v>45992</v>
      </c>
      <c r="J404" s="958">
        <f>IF(H404=0,0,IF(H404="-","-",ROUND(H404/12,2)))</f>
        <v>0</v>
      </c>
      <c r="K404" s="959">
        <v>0</v>
      </c>
      <c r="L404" s="971">
        <v>0</v>
      </c>
      <c r="M404" s="957">
        <v>0</v>
      </c>
      <c r="N404" s="943"/>
      <c r="O404" s="944"/>
      <c r="P404" s="945"/>
      <c r="Q404" s="946"/>
      <c r="R404" s="541"/>
      <c r="S404" s="561"/>
    </row>
    <row r="405" spans="1:19" s="492" customFormat="1" ht="48.6">
      <c r="A405" s="1201" t="s">
        <v>309</v>
      </c>
      <c r="B405" s="1202" t="s">
        <v>319</v>
      </c>
      <c r="C405" s="1205">
        <v>12</v>
      </c>
      <c r="D405" s="1206" t="s">
        <v>313</v>
      </c>
      <c r="E405" s="494" t="s">
        <v>38</v>
      </c>
      <c r="F405" s="496" t="s">
        <v>321</v>
      </c>
      <c r="G405" s="494" t="s">
        <v>40</v>
      </c>
      <c r="H405" s="500">
        <v>0</v>
      </c>
      <c r="I405" s="1243">
        <v>45992</v>
      </c>
      <c r="J405" s="958">
        <f>IF(H405=0,0,IF(H405="-","-",ROUND(H405/12,2)))</f>
        <v>0</v>
      </c>
      <c r="K405" s="959">
        <v>0</v>
      </c>
      <c r="L405" s="971">
        <v>0</v>
      </c>
      <c r="M405" s="957">
        <v>5</v>
      </c>
      <c r="N405" s="943"/>
      <c r="O405" s="944"/>
      <c r="P405" s="945"/>
      <c r="Q405" s="946"/>
      <c r="R405" s="541"/>
      <c r="S405" s="561"/>
    </row>
    <row r="406" spans="1:19" s="492" customFormat="1" ht="48.6">
      <c r="A406" s="1201" t="s">
        <v>309</v>
      </c>
      <c r="B406" s="1207" t="s">
        <v>319</v>
      </c>
      <c r="C406" s="1208">
        <v>13</v>
      </c>
      <c r="D406" s="1209" t="s">
        <v>323</v>
      </c>
      <c r="E406" s="563" t="s">
        <v>38</v>
      </c>
      <c r="F406" s="564" t="s">
        <v>321</v>
      </c>
      <c r="G406" s="563" t="s">
        <v>40</v>
      </c>
      <c r="H406" s="565">
        <v>5</v>
      </c>
      <c r="I406" s="1243">
        <v>45992</v>
      </c>
      <c r="J406" s="1021">
        <v>1</v>
      </c>
      <c r="K406" s="1022">
        <v>0</v>
      </c>
      <c r="L406" s="1023">
        <f>L357+J406</f>
        <v>3</v>
      </c>
      <c r="M406" s="1024">
        <f>M357+K406</f>
        <v>3</v>
      </c>
      <c r="N406" s="1025"/>
      <c r="O406" s="1026"/>
      <c r="P406" s="1027"/>
      <c r="Q406" s="1023"/>
      <c r="R406" s="572"/>
      <c r="S406" s="561"/>
    </row>
    <row r="407" spans="1:19" s="492" customFormat="1" ht="48.6">
      <c r="A407" s="1201" t="s">
        <v>309</v>
      </c>
      <c r="B407" s="1214" t="s">
        <v>324</v>
      </c>
      <c r="C407" s="1203">
        <v>14</v>
      </c>
      <c r="D407" s="1204" t="s">
        <v>311</v>
      </c>
      <c r="E407" s="525" t="s">
        <v>38</v>
      </c>
      <c r="F407" s="526" t="s">
        <v>312</v>
      </c>
      <c r="G407" s="525" t="s">
        <v>40</v>
      </c>
      <c r="H407" s="573">
        <v>0</v>
      </c>
      <c r="I407" s="1243">
        <v>45992</v>
      </c>
      <c r="J407" s="963">
        <v>27</v>
      </c>
      <c r="K407" s="966">
        <v>0</v>
      </c>
      <c r="L407" s="965">
        <v>0</v>
      </c>
      <c r="M407" s="972">
        <f>M358+K407</f>
        <v>0</v>
      </c>
      <c r="N407" s="967"/>
      <c r="O407" s="968"/>
      <c r="P407" s="969"/>
      <c r="Q407" s="970"/>
      <c r="R407" s="1261"/>
      <c r="S407" s="561"/>
    </row>
    <row r="408" spans="1:19" s="492" customFormat="1" ht="59.4" customHeight="1">
      <c r="A408" s="1201" t="s">
        <v>309</v>
      </c>
      <c r="B408" s="1214" t="s">
        <v>324</v>
      </c>
      <c r="C408" s="1205">
        <v>15</v>
      </c>
      <c r="D408" s="1206" t="s">
        <v>313</v>
      </c>
      <c r="E408" s="494" t="s">
        <v>38</v>
      </c>
      <c r="F408" s="496" t="s">
        <v>312</v>
      </c>
      <c r="G408" s="494" t="s">
        <v>40</v>
      </c>
      <c r="H408" s="501">
        <v>30</v>
      </c>
      <c r="I408" s="1243">
        <v>45992</v>
      </c>
      <c r="J408" s="958">
        <f t="shared" ref="J408:J417" si="34">IF(H408=0,0,IF(H408="-","-",ROUND(H408/12,2)))</f>
        <v>2.5</v>
      </c>
      <c r="K408" s="972">
        <v>5</v>
      </c>
      <c r="L408" s="971">
        <f>J408+L359</f>
        <v>20</v>
      </c>
      <c r="M408" s="972">
        <f>M359+K408</f>
        <v>24</v>
      </c>
      <c r="N408" s="943"/>
      <c r="O408" s="961" t="s">
        <v>419</v>
      </c>
      <c r="P408" s="973" t="s">
        <v>420</v>
      </c>
      <c r="Q408" s="946"/>
      <c r="R408" s="1262"/>
      <c r="S408" s="561"/>
    </row>
    <row r="409" spans="1:19" s="492" customFormat="1" ht="48.6">
      <c r="A409" s="1201" t="s">
        <v>309</v>
      </c>
      <c r="B409" s="1215" t="s">
        <v>324</v>
      </c>
      <c r="C409" s="1233">
        <v>16</v>
      </c>
      <c r="D409" s="1234" t="s">
        <v>314</v>
      </c>
      <c r="E409" s="625" t="s">
        <v>38</v>
      </c>
      <c r="F409" s="626" t="s">
        <v>312</v>
      </c>
      <c r="G409" s="625" t="s">
        <v>40</v>
      </c>
      <c r="H409" s="628">
        <v>0</v>
      </c>
      <c r="I409" s="1243">
        <v>45992</v>
      </c>
      <c r="J409" s="1028">
        <f t="shared" si="34"/>
        <v>0</v>
      </c>
      <c r="K409" s="1029">
        <v>0</v>
      </c>
      <c r="L409" s="1030">
        <f>J409+L360</f>
        <v>0</v>
      </c>
      <c r="M409" s="972">
        <f>M360+K409</f>
        <v>1</v>
      </c>
      <c r="N409" s="1016"/>
      <c r="O409" s="1017"/>
      <c r="P409" s="1018"/>
      <c r="Q409" s="1014"/>
      <c r="R409" s="1263"/>
      <c r="S409" s="561"/>
    </row>
    <row r="410" spans="1:19" s="492" customFormat="1" ht="48.6">
      <c r="A410" s="1201" t="s">
        <v>309</v>
      </c>
      <c r="B410" s="1213" t="s">
        <v>325</v>
      </c>
      <c r="C410" s="1211">
        <v>17</v>
      </c>
      <c r="D410" s="1212" t="s">
        <v>326</v>
      </c>
      <c r="E410" s="574" t="s">
        <v>38</v>
      </c>
      <c r="F410" s="575" t="s">
        <v>327</v>
      </c>
      <c r="G410" s="574" t="s">
        <v>40</v>
      </c>
      <c r="H410" s="586">
        <v>0</v>
      </c>
      <c r="I410" s="1243">
        <v>45992</v>
      </c>
      <c r="J410" s="947">
        <f t="shared" si="34"/>
        <v>0</v>
      </c>
      <c r="K410" s="1019">
        <v>0</v>
      </c>
      <c r="L410" s="949">
        <v>0</v>
      </c>
      <c r="M410" s="1020">
        <f>K410+M361</f>
        <v>1</v>
      </c>
      <c r="N410" s="951"/>
      <c r="O410" s="952"/>
      <c r="P410" s="953"/>
      <c r="Q410" s="954"/>
      <c r="R410" s="584"/>
      <c r="S410" s="561"/>
    </row>
    <row r="411" spans="1:19" s="492" customFormat="1" ht="48.6">
      <c r="A411" s="1201" t="s">
        <v>309</v>
      </c>
      <c r="B411" s="1214" t="s">
        <v>325</v>
      </c>
      <c r="C411" s="1205">
        <v>18</v>
      </c>
      <c r="D411" s="1206" t="s">
        <v>326</v>
      </c>
      <c r="E411" s="494" t="s">
        <v>136</v>
      </c>
      <c r="F411" s="496" t="s">
        <v>327</v>
      </c>
      <c r="G411" s="494" t="s">
        <v>40</v>
      </c>
      <c r="H411" s="501">
        <v>0</v>
      </c>
      <c r="I411" s="1243">
        <v>45992</v>
      </c>
      <c r="J411" s="958">
        <f t="shared" si="34"/>
        <v>0</v>
      </c>
      <c r="K411" s="959">
        <v>0</v>
      </c>
      <c r="L411" s="971">
        <v>0</v>
      </c>
      <c r="M411" s="957">
        <f>K411+M362</f>
        <v>1</v>
      </c>
      <c r="N411" s="943"/>
      <c r="O411" s="944"/>
      <c r="P411" s="945"/>
      <c r="Q411" s="946"/>
      <c r="R411" s="541"/>
      <c r="S411" s="561"/>
    </row>
    <row r="412" spans="1:19" s="492" customFormat="1" ht="48.6">
      <c r="A412" s="1201" t="s">
        <v>309</v>
      </c>
      <c r="B412" s="1214" t="s">
        <v>325</v>
      </c>
      <c r="C412" s="1205">
        <v>19</v>
      </c>
      <c r="D412" s="1206" t="s">
        <v>328</v>
      </c>
      <c r="E412" s="494" t="s">
        <v>38</v>
      </c>
      <c r="F412" s="496" t="s">
        <v>327</v>
      </c>
      <c r="G412" s="494" t="s">
        <v>40</v>
      </c>
      <c r="H412" s="501" t="s">
        <v>41</v>
      </c>
      <c r="I412" s="1243">
        <v>45992</v>
      </c>
      <c r="J412" s="955" t="str">
        <f t="shared" si="34"/>
        <v>-</v>
      </c>
      <c r="K412" s="959"/>
      <c r="L412" s="946"/>
      <c r="M412" s="957">
        <v>38</v>
      </c>
      <c r="N412" s="943"/>
      <c r="O412" s="944"/>
      <c r="P412" s="945"/>
      <c r="Q412" s="946"/>
      <c r="R412" s="541"/>
      <c r="S412" s="561"/>
    </row>
    <row r="413" spans="1:19" s="492" customFormat="1" ht="48.6">
      <c r="A413" s="1201" t="s">
        <v>309</v>
      </c>
      <c r="B413" s="1214" t="s">
        <v>325</v>
      </c>
      <c r="C413" s="1205">
        <v>20</v>
      </c>
      <c r="D413" s="1206" t="s">
        <v>328</v>
      </c>
      <c r="E413" s="494" t="s">
        <v>136</v>
      </c>
      <c r="F413" s="496" t="s">
        <v>327</v>
      </c>
      <c r="G413" s="494" t="s">
        <v>40</v>
      </c>
      <c r="H413" s="501" t="s">
        <v>41</v>
      </c>
      <c r="I413" s="1243">
        <v>45992</v>
      </c>
      <c r="J413" s="955" t="str">
        <f t="shared" si="34"/>
        <v>-</v>
      </c>
      <c r="K413" s="959"/>
      <c r="L413" s="946"/>
      <c r="M413" s="957">
        <v>121.13</v>
      </c>
      <c r="N413" s="943"/>
      <c r="O413" s="944"/>
      <c r="P413" s="945"/>
      <c r="Q413" s="946"/>
      <c r="R413" s="541"/>
      <c r="S413" s="561"/>
    </row>
    <row r="414" spans="1:19" s="492" customFormat="1" ht="48.6">
      <c r="A414" s="1201" t="s">
        <v>309</v>
      </c>
      <c r="B414" s="1214" t="s">
        <v>325</v>
      </c>
      <c r="C414" s="1205">
        <v>21</v>
      </c>
      <c r="D414" s="1206" t="s">
        <v>329</v>
      </c>
      <c r="E414" s="494" t="s">
        <v>38</v>
      </c>
      <c r="F414" s="496" t="s">
        <v>327</v>
      </c>
      <c r="G414" s="494" t="s">
        <v>40</v>
      </c>
      <c r="H414" s="501" t="s">
        <v>41</v>
      </c>
      <c r="I414" s="1243">
        <v>45992</v>
      </c>
      <c r="J414" s="955" t="str">
        <f t="shared" si="34"/>
        <v>-</v>
      </c>
      <c r="K414" s="959" t="s">
        <v>41</v>
      </c>
      <c r="L414" s="946"/>
      <c r="M414" s="957">
        <v>137</v>
      </c>
      <c r="N414" s="943"/>
      <c r="O414" s="961" t="s">
        <v>421</v>
      </c>
      <c r="P414" s="945"/>
      <c r="Q414" s="946"/>
      <c r="R414" s="541"/>
      <c r="S414" s="561"/>
    </row>
    <row r="415" spans="1:19" s="492" customFormat="1" ht="48.6">
      <c r="A415" s="1201" t="s">
        <v>309</v>
      </c>
      <c r="B415" s="1214" t="s">
        <v>325</v>
      </c>
      <c r="C415" s="1205">
        <v>22</v>
      </c>
      <c r="D415" s="1206" t="s">
        <v>329</v>
      </c>
      <c r="E415" s="494" t="s">
        <v>136</v>
      </c>
      <c r="F415" s="496" t="s">
        <v>327</v>
      </c>
      <c r="G415" s="494" t="s">
        <v>40</v>
      </c>
      <c r="H415" s="501" t="s">
        <v>41</v>
      </c>
      <c r="I415" s="1243">
        <v>45992</v>
      </c>
      <c r="J415" s="955" t="str">
        <f t="shared" si="34"/>
        <v>-</v>
      </c>
      <c r="K415" s="959" t="s">
        <v>41</v>
      </c>
      <c r="L415" s="946"/>
      <c r="M415" s="957">
        <v>95.45</v>
      </c>
      <c r="N415" s="943"/>
      <c r="O415" s="944"/>
      <c r="P415" s="945"/>
      <c r="Q415" s="946"/>
      <c r="R415" s="541"/>
      <c r="S415" s="561"/>
    </row>
    <row r="416" spans="1:19" s="492" customFormat="1" ht="48.6">
      <c r="A416" s="1201" t="s">
        <v>309</v>
      </c>
      <c r="B416" s="1214" t="s">
        <v>325</v>
      </c>
      <c r="C416" s="1205">
        <v>23</v>
      </c>
      <c r="D416" s="1206" t="s">
        <v>330</v>
      </c>
      <c r="E416" s="494" t="s">
        <v>38</v>
      </c>
      <c r="F416" s="496" t="s">
        <v>327</v>
      </c>
      <c r="G416" s="494" t="s">
        <v>40</v>
      </c>
      <c r="H416" s="501" t="s">
        <v>41</v>
      </c>
      <c r="I416" s="1243">
        <v>45992</v>
      </c>
      <c r="J416" s="955" t="str">
        <f t="shared" si="34"/>
        <v>-</v>
      </c>
      <c r="K416" s="959" t="s">
        <v>41</v>
      </c>
      <c r="L416" s="946"/>
      <c r="M416" s="957">
        <v>155</v>
      </c>
      <c r="N416" s="943"/>
      <c r="O416" s="961" t="s">
        <v>422</v>
      </c>
      <c r="P416" s="945"/>
      <c r="Q416" s="946"/>
      <c r="R416" s="541"/>
      <c r="S416" s="561"/>
    </row>
    <row r="417" spans="1:21" s="492" customFormat="1" ht="48.6">
      <c r="A417" s="1201" t="s">
        <v>309</v>
      </c>
      <c r="B417" s="1214" t="s">
        <v>325</v>
      </c>
      <c r="C417" s="1205">
        <v>24</v>
      </c>
      <c r="D417" s="1206" t="s">
        <v>330</v>
      </c>
      <c r="E417" s="494" t="s">
        <v>136</v>
      </c>
      <c r="F417" s="496" t="s">
        <v>327</v>
      </c>
      <c r="G417" s="494" t="s">
        <v>40</v>
      </c>
      <c r="H417" s="501" t="s">
        <v>41</v>
      </c>
      <c r="I417" s="1243">
        <v>45992</v>
      </c>
      <c r="J417" s="955" t="str">
        <f t="shared" si="34"/>
        <v>-</v>
      </c>
      <c r="K417" s="959" t="s">
        <v>41</v>
      </c>
      <c r="L417" s="946"/>
      <c r="M417" s="957">
        <v>87.9</v>
      </c>
      <c r="N417" s="943"/>
      <c r="O417" s="944"/>
      <c r="P417" s="945"/>
      <c r="Q417" s="946"/>
      <c r="R417" s="541"/>
      <c r="S417" s="561"/>
    </row>
    <row r="418" spans="1:21" s="492" customFormat="1" ht="81">
      <c r="A418" s="1201" t="s">
        <v>309</v>
      </c>
      <c r="B418" s="1214" t="s">
        <v>325</v>
      </c>
      <c r="C418" s="1205">
        <v>25</v>
      </c>
      <c r="D418" s="1206" t="s">
        <v>331</v>
      </c>
      <c r="E418" s="494" t="s">
        <v>38</v>
      </c>
      <c r="F418" s="496" t="s">
        <v>327</v>
      </c>
      <c r="G418" s="494" t="s">
        <v>332</v>
      </c>
      <c r="H418" s="501">
        <v>0</v>
      </c>
      <c r="I418" s="1243">
        <v>45992</v>
      </c>
      <c r="J418" s="958">
        <f>2+11-3-4</f>
        <v>6</v>
      </c>
      <c r="K418" s="959">
        <v>7</v>
      </c>
      <c r="L418" s="971">
        <f>+L369-J418</f>
        <v>25</v>
      </c>
      <c r="M418" s="957">
        <f>26-2</f>
        <v>24</v>
      </c>
      <c r="N418" s="2432"/>
      <c r="O418" s="961" t="s">
        <v>423</v>
      </c>
      <c r="P418" s="945"/>
      <c r="Q418" s="946"/>
      <c r="R418" s="541"/>
      <c r="S418" s="561"/>
      <c r="T418" s="492">
        <v>2</v>
      </c>
      <c r="U418" s="492">
        <v>11</v>
      </c>
    </row>
    <row r="419" spans="1:21" s="492" customFormat="1" ht="48.6">
      <c r="A419" s="1201" t="s">
        <v>309</v>
      </c>
      <c r="B419" s="1214" t="s">
        <v>325</v>
      </c>
      <c r="C419" s="1205">
        <v>26</v>
      </c>
      <c r="D419" s="1216" t="s">
        <v>331</v>
      </c>
      <c r="E419" s="494" t="s">
        <v>136</v>
      </c>
      <c r="F419" s="496" t="s">
        <v>327</v>
      </c>
      <c r="G419" s="494" t="s">
        <v>332</v>
      </c>
      <c r="H419" s="501">
        <v>0</v>
      </c>
      <c r="I419" s="1243">
        <v>45992</v>
      </c>
      <c r="J419" s="1031">
        <f>0.82+6.77-5.7</f>
        <v>1.8899999999999997</v>
      </c>
      <c r="K419" s="959">
        <v>2.25</v>
      </c>
      <c r="L419" s="946">
        <f>+J468+J517+J565</f>
        <v>34.44</v>
      </c>
      <c r="M419" s="957">
        <f>34.09</f>
        <v>34.090000000000003</v>
      </c>
      <c r="N419" s="943"/>
      <c r="O419" s="961" t="s">
        <v>401</v>
      </c>
      <c r="P419" s="945"/>
      <c r="Q419" s="946"/>
      <c r="R419" s="541"/>
      <c r="S419" s="561"/>
      <c r="T419" s="492">
        <v>0.82</v>
      </c>
      <c r="U419" s="492">
        <v>8.5500000000000007</v>
      </c>
    </row>
    <row r="420" spans="1:21" s="492" customFormat="1" ht="64.8">
      <c r="A420" s="1201" t="s">
        <v>309</v>
      </c>
      <c r="B420" s="1214" t="s">
        <v>325</v>
      </c>
      <c r="C420" s="1205">
        <v>27</v>
      </c>
      <c r="D420" s="1216" t="s">
        <v>334</v>
      </c>
      <c r="E420" s="494" t="s">
        <v>38</v>
      </c>
      <c r="F420" s="496" t="s">
        <v>327</v>
      </c>
      <c r="G420" s="494" t="s">
        <v>332</v>
      </c>
      <c r="H420" s="501">
        <v>0</v>
      </c>
      <c r="I420" s="1243">
        <v>45992</v>
      </c>
      <c r="J420" s="958">
        <f>11-3-6</f>
        <v>2</v>
      </c>
      <c r="K420" s="959">
        <v>2</v>
      </c>
      <c r="L420" s="971">
        <f>+J469+J518+J566</f>
        <v>3</v>
      </c>
      <c r="M420" s="957">
        <f>7-6</f>
        <v>1</v>
      </c>
      <c r="N420" s="943"/>
      <c r="O420" s="961" t="s">
        <v>424</v>
      </c>
      <c r="P420" s="945"/>
      <c r="Q420" s="946"/>
      <c r="R420" s="541"/>
      <c r="S420" s="561"/>
      <c r="T420" s="492">
        <v>11</v>
      </c>
    </row>
    <row r="421" spans="1:21" s="492" customFormat="1" ht="48.6">
      <c r="A421" s="1201" t="s">
        <v>309</v>
      </c>
      <c r="B421" s="1214" t="s">
        <v>325</v>
      </c>
      <c r="C421" s="1205">
        <v>28</v>
      </c>
      <c r="D421" s="1216" t="s">
        <v>334</v>
      </c>
      <c r="E421" s="494" t="s">
        <v>136</v>
      </c>
      <c r="F421" s="496" t="s">
        <v>327</v>
      </c>
      <c r="G421" s="494" t="s">
        <v>332</v>
      </c>
      <c r="H421" s="501">
        <v>0</v>
      </c>
      <c r="I421" s="1243">
        <v>45992</v>
      </c>
      <c r="J421" s="997">
        <f>9.57-0.84-7.68</f>
        <v>1.0500000000000007</v>
      </c>
      <c r="K421" s="959">
        <v>1.05</v>
      </c>
      <c r="L421" s="946">
        <f>L372-J421</f>
        <v>1.6800000000000002</v>
      </c>
      <c r="M421" s="957">
        <f>9.03-7.68</f>
        <v>1.3499999999999996</v>
      </c>
      <c r="N421" s="943"/>
      <c r="O421" s="961" t="s">
        <v>402</v>
      </c>
      <c r="P421" s="945"/>
      <c r="Q421" s="946"/>
      <c r="R421" s="541"/>
      <c r="S421" s="561"/>
      <c r="T421" s="492">
        <v>9.58</v>
      </c>
    </row>
    <row r="422" spans="1:21" s="492" customFormat="1" ht="113.4">
      <c r="A422" s="1201" t="s">
        <v>309</v>
      </c>
      <c r="B422" s="1214" t="s">
        <v>325</v>
      </c>
      <c r="C422" s="1205">
        <v>29</v>
      </c>
      <c r="D422" s="1206" t="s">
        <v>336</v>
      </c>
      <c r="E422" s="494" t="s">
        <v>38</v>
      </c>
      <c r="F422" s="496" t="s">
        <v>316</v>
      </c>
      <c r="G422" s="494" t="s">
        <v>40</v>
      </c>
      <c r="H422" s="501">
        <v>0</v>
      </c>
      <c r="I422" s="1243">
        <v>45992</v>
      </c>
      <c r="J422" s="1577" t="s">
        <v>41</v>
      </c>
      <c r="K422" s="1578" t="s">
        <v>41</v>
      </c>
      <c r="L422" s="971">
        <v>0</v>
      </c>
      <c r="M422" s="956">
        <v>174</v>
      </c>
      <c r="N422" s="943"/>
      <c r="O422" s="961" t="s">
        <v>425</v>
      </c>
      <c r="P422" s="945"/>
      <c r="Q422" s="946"/>
      <c r="R422" s="541"/>
      <c r="S422" s="561"/>
    </row>
    <row r="423" spans="1:21" s="492" customFormat="1" ht="48.6">
      <c r="A423" s="1201" t="s">
        <v>309</v>
      </c>
      <c r="B423" s="1214" t="s">
        <v>325</v>
      </c>
      <c r="C423" s="1205">
        <v>30</v>
      </c>
      <c r="D423" s="1206" t="s">
        <v>336</v>
      </c>
      <c r="E423" s="494" t="s">
        <v>136</v>
      </c>
      <c r="F423" s="496" t="s">
        <v>316</v>
      </c>
      <c r="G423" s="494" t="s">
        <v>40</v>
      </c>
      <c r="H423" s="501">
        <v>0</v>
      </c>
      <c r="I423" s="1243">
        <v>45992</v>
      </c>
      <c r="J423" s="1577" t="s">
        <v>41</v>
      </c>
      <c r="K423" s="1578" t="s">
        <v>41</v>
      </c>
      <c r="L423" s="971">
        <v>0</v>
      </c>
      <c r="M423" s="959">
        <v>15.45</v>
      </c>
      <c r="N423" s="943"/>
      <c r="O423" s="961" t="s">
        <v>426</v>
      </c>
      <c r="P423" s="945"/>
      <c r="Q423" s="946"/>
      <c r="R423" s="541"/>
      <c r="S423" s="561"/>
    </row>
    <row r="424" spans="1:21" s="492" customFormat="1" ht="48.6">
      <c r="A424" s="1201" t="s">
        <v>309</v>
      </c>
      <c r="B424" s="1214" t="s">
        <v>325</v>
      </c>
      <c r="C424" s="1205">
        <v>31</v>
      </c>
      <c r="D424" s="1206" t="s">
        <v>338</v>
      </c>
      <c r="E424" s="494" t="s">
        <v>38</v>
      </c>
      <c r="F424" s="496" t="s">
        <v>316</v>
      </c>
      <c r="G424" s="494" t="s">
        <v>40</v>
      </c>
      <c r="H424" s="501">
        <v>0</v>
      </c>
      <c r="I424" s="1243">
        <v>45992</v>
      </c>
      <c r="J424" s="1577" t="s">
        <v>41</v>
      </c>
      <c r="K424" s="1578" t="s">
        <v>41</v>
      </c>
      <c r="L424" s="971">
        <v>0</v>
      </c>
      <c r="M424" s="956">
        <v>109</v>
      </c>
      <c r="N424" s="943"/>
      <c r="O424" s="961" t="s">
        <v>427</v>
      </c>
      <c r="P424" s="945"/>
      <c r="Q424" s="946"/>
      <c r="R424" s="541"/>
      <c r="S424" s="561"/>
    </row>
    <row r="425" spans="1:21" s="492" customFormat="1" ht="48.6">
      <c r="A425" s="1201" t="s">
        <v>309</v>
      </c>
      <c r="B425" s="1214" t="s">
        <v>325</v>
      </c>
      <c r="C425" s="1205">
        <v>32</v>
      </c>
      <c r="D425" s="1206" t="s">
        <v>338</v>
      </c>
      <c r="E425" s="494" t="s">
        <v>136</v>
      </c>
      <c r="F425" s="496" t="s">
        <v>316</v>
      </c>
      <c r="G425" s="494" t="s">
        <v>40</v>
      </c>
      <c r="H425" s="501">
        <v>0</v>
      </c>
      <c r="I425" s="1243">
        <v>45992</v>
      </c>
      <c r="J425" s="1577" t="s">
        <v>41</v>
      </c>
      <c r="K425" s="1578" t="s">
        <v>41</v>
      </c>
      <c r="L425" s="971">
        <v>0</v>
      </c>
      <c r="M425" s="959">
        <v>65.540000000000006</v>
      </c>
      <c r="N425" s="943"/>
      <c r="O425" s="944" t="s">
        <v>428</v>
      </c>
      <c r="P425" s="945"/>
      <c r="Q425" s="946"/>
      <c r="R425" s="541"/>
      <c r="S425" s="561"/>
    </row>
    <row r="426" spans="1:21" s="492" customFormat="1" ht="48.6">
      <c r="A426" s="1201" t="s">
        <v>309</v>
      </c>
      <c r="B426" s="1214" t="s">
        <v>325</v>
      </c>
      <c r="C426" s="1205">
        <v>33</v>
      </c>
      <c r="D426" s="1206" t="s">
        <v>339</v>
      </c>
      <c r="E426" s="494" t="s">
        <v>133</v>
      </c>
      <c r="F426" s="496" t="s">
        <v>340</v>
      </c>
      <c r="G426" s="494" t="s">
        <v>341</v>
      </c>
      <c r="H426" s="502">
        <v>5.0000000000000001E-3</v>
      </c>
      <c r="I426" s="1243">
        <v>45992</v>
      </c>
      <c r="J426" s="958" t="s">
        <v>41</v>
      </c>
      <c r="K426" s="959" t="s">
        <v>41</v>
      </c>
      <c r="L426" s="993">
        <v>-5.0000000000000001E-3</v>
      </c>
      <c r="M426" s="975">
        <v>-5.7400000000000003E-3</v>
      </c>
      <c r="N426" s="943"/>
      <c r="O426" s="944"/>
      <c r="P426" s="945"/>
      <c r="Q426" s="946"/>
      <c r="R426" s="541"/>
      <c r="S426" s="561"/>
    </row>
    <row r="427" spans="1:21" s="492" customFormat="1" ht="48.6">
      <c r="A427" s="1201" t="s">
        <v>309</v>
      </c>
      <c r="B427" s="1214" t="s">
        <v>325</v>
      </c>
      <c r="C427" s="1205">
        <v>34</v>
      </c>
      <c r="D427" s="1206" t="s">
        <v>339</v>
      </c>
      <c r="E427" s="494" t="s">
        <v>136</v>
      </c>
      <c r="F427" s="496" t="s">
        <v>340</v>
      </c>
      <c r="G427" s="494" t="s">
        <v>341</v>
      </c>
      <c r="H427" s="503" t="s">
        <v>41</v>
      </c>
      <c r="I427" s="1243">
        <v>45992</v>
      </c>
      <c r="J427" s="955" t="str">
        <f>IF(H427=0,0,IF(H427="-","-",ROUND(H427/12,2)))</f>
        <v>-</v>
      </c>
      <c r="K427" s="959" t="s">
        <v>41</v>
      </c>
      <c r="L427" s="962" t="s">
        <v>41</v>
      </c>
      <c r="M427" s="959">
        <v>-9.1999999999999993</v>
      </c>
      <c r="N427" s="943"/>
      <c r="O427" s="944"/>
      <c r="P427" s="945"/>
      <c r="Q427" s="946"/>
      <c r="R427" s="541"/>
      <c r="S427" s="561"/>
    </row>
    <row r="428" spans="1:21" s="492" customFormat="1" ht="48.6">
      <c r="A428" s="1201" t="s">
        <v>309</v>
      </c>
      <c r="B428" s="1214" t="s">
        <v>325</v>
      </c>
      <c r="C428" s="1205">
        <v>35</v>
      </c>
      <c r="D428" s="1206" t="s">
        <v>342</v>
      </c>
      <c r="E428" s="494" t="s">
        <v>133</v>
      </c>
      <c r="F428" s="496" t="s">
        <v>106</v>
      </c>
      <c r="G428" s="494" t="s">
        <v>285</v>
      </c>
      <c r="H428" s="504">
        <v>3.5000000000000003E-2</v>
      </c>
      <c r="I428" s="1243">
        <v>45992</v>
      </c>
      <c r="J428" s="974">
        <v>3.5299999999999998E-2</v>
      </c>
      <c r="K428" s="975">
        <v>3.09E-2</v>
      </c>
      <c r="L428" s="1032">
        <v>3.5299999999999998E-2</v>
      </c>
      <c r="M428" s="975">
        <v>3.09E-2</v>
      </c>
      <c r="N428" s="943"/>
      <c r="O428" s="944"/>
      <c r="P428" s="945"/>
      <c r="Q428" s="946"/>
      <c r="R428" s="541"/>
      <c r="S428" s="561"/>
    </row>
    <row r="429" spans="1:21" s="492" customFormat="1" ht="48.6">
      <c r="A429" s="1201" t="s">
        <v>309</v>
      </c>
      <c r="B429" s="1214" t="s">
        <v>325</v>
      </c>
      <c r="C429" s="1205">
        <v>36</v>
      </c>
      <c r="D429" s="1206" t="s">
        <v>342</v>
      </c>
      <c r="E429" s="494" t="s">
        <v>136</v>
      </c>
      <c r="F429" s="496" t="s">
        <v>106</v>
      </c>
      <c r="G429" s="494" t="s">
        <v>285</v>
      </c>
      <c r="H429" s="506">
        <v>642.05999999999995</v>
      </c>
      <c r="I429" s="1243">
        <v>45992</v>
      </c>
      <c r="J429" s="955">
        <v>647.6025000000003</v>
      </c>
      <c r="K429" s="959">
        <v>591.34</v>
      </c>
      <c r="L429" s="946">
        <f>J429</f>
        <v>647.6025000000003</v>
      </c>
      <c r="M429" s="957">
        <v>591.34</v>
      </c>
      <c r="N429" s="943"/>
      <c r="O429" s="944"/>
      <c r="P429" s="945"/>
      <c r="Q429" s="946"/>
      <c r="R429" s="541"/>
      <c r="S429" s="561"/>
    </row>
    <row r="430" spans="1:21" s="492" customFormat="1" ht="48.6">
      <c r="A430" s="1201" t="s">
        <v>309</v>
      </c>
      <c r="B430" s="1214" t="s">
        <v>325</v>
      </c>
      <c r="C430" s="1205">
        <v>37</v>
      </c>
      <c r="D430" s="1206" t="s">
        <v>343</v>
      </c>
      <c r="E430" s="494" t="s">
        <v>38</v>
      </c>
      <c r="F430" s="496" t="s">
        <v>105</v>
      </c>
      <c r="G430" s="494"/>
      <c r="H430" s="500" t="s">
        <v>41</v>
      </c>
      <c r="I430" s="1243">
        <v>45992</v>
      </c>
      <c r="J430" s="955" t="s">
        <v>41</v>
      </c>
      <c r="K430" s="959" t="s">
        <v>41</v>
      </c>
      <c r="L430" s="946" t="s">
        <v>41</v>
      </c>
      <c r="M430" s="957" t="s">
        <v>41</v>
      </c>
      <c r="N430" s="943"/>
      <c r="O430" s="944"/>
      <c r="P430" s="945"/>
      <c r="Q430" s="946"/>
      <c r="R430" s="541"/>
      <c r="S430" s="561"/>
    </row>
    <row r="431" spans="1:21" s="492" customFormat="1" ht="64.8">
      <c r="A431" s="1201" t="s">
        <v>309</v>
      </c>
      <c r="B431" s="1214" t="s">
        <v>325</v>
      </c>
      <c r="C431" s="1205">
        <v>38</v>
      </c>
      <c r="D431" s="1206" t="s">
        <v>343</v>
      </c>
      <c r="E431" s="494" t="s">
        <v>136</v>
      </c>
      <c r="F431" s="496" t="s">
        <v>105</v>
      </c>
      <c r="G431" s="494"/>
      <c r="H431" s="505">
        <f>84578725.86/10^6</f>
        <v>84.578725860000006</v>
      </c>
      <c r="I431" s="1243">
        <v>45992</v>
      </c>
      <c r="J431" s="955">
        <f>2272914.6/10^6</f>
        <v>2.2729146</v>
      </c>
      <c r="K431" s="959">
        <f>27382247.44/10^6</f>
        <v>27.38224744</v>
      </c>
      <c r="L431" s="946">
        <f>L382+J431</f>
        <v>77.759982059999999</v>
      </c>
      <c r="M431" s="959">
        <f>K431+M382</f>
        <v>75.80443009999999</v>
      </c>
      <c r="N431" s="943"/>
      <c r="O431" s="961" t="s">
        <v>429</v>
      </c>
      <c r="P431" s="973" t="s">
        <v>430</v>
      </c>
      <c r="Q431" s="946" t="s">
        <v>41</v>
      </c>
      <c r="R431" s="541" t="s">
        <v>41</v>
      </c>
      <c r="S431" s="561"/>
    </row>
    <row r="432" spans="1:21" s="492" customFormat="1" ht="48.6">
      <c r="A432" s="1201" t="s">
        <v>309</v>
      </c>
      <c r="B432" s="1214" t="s">
        <v>325</v>
      </c>
      <c r="C432" s="1205">
        <v>39</v>
      </c>
      <c r="D432" s="1206" t="s">
        <v>344</v>
      </c>
      <c r="E432" s="494" t="s">
        <v>136</v>
      </c>
      <c r="F432" s="496" t="s">
        <v>110</v>
      </c>
      <c r="G432" s="494" t="s">
        <v>345</v>
      </c>
      <c r="H432" s="500">
        <v>3.17</v>
      </c>
      <c r="I432" s="1243">
        <v>45992</v>
      </c>
      <c r="J432" s="955" t="s">
        <v>41</v>
      </c>
      <c r="K432" s="959" t="s">
        <v>41</v>
      </c>
      <c r="L432" s="962">
        <v>3.17</v>
      </c>
      <c r="M432" s="957">
        <v>0.77</v>
      </c>
      <c r="N432" s="943"/>
      <c r="O432" s="944"/>
      <c r="P432" s="945"/>
      <c r="Q432" s="946"/>
      <c r="R432" s="541"/>
      <c r="S432" s="561"/>
    </row>
    <row r="433" spans="1:19" s="492" customFormat="1" ht="48.6">
      <c r="A433" s="1201" t="s">
        <v>309</v>
      </c>
      <c r="B433" s="1214" t="s">
        <v>325</v>
      </c>
      <c r="C433" s="1205">
        <v>40</v>
      </c>
      <c r="D433" s="1206" t="s">
        <v>346</v>
      </c>
      <c r="E433" s="494" t="s">
        <v>136</v>
      </c>
      <c r="F433" s="496" t="s">
        <v>110</v>
      </c>
      <c r="G433" s="494" t="s">
        <v>345</v>
      </c>
      <c r="H433" s="500">
        <v>5.84</v>
      </c>
      <c r="I433" s="1243">
        <v>45992</v>
      </c>
      <c r="J433" s="955" t="s">
        <v>41</v>
      </c>
      <c r="K433" s="959" t="s">
        <v>41</v>
      </c>
      <c r="L433" s="962">
        <v>5.84</v>
      </c>
      <c r="M433" s="957">
        <v>5.25</v>
      </c>
      <c r="N433" s="943"/>
      <c r="O433" s="944"/>
      <c r="P433" s="945"/>
      <c r="Q433" s="946"/>
      <c r="R433" s="541"/>
      <c r="S433" s="561"/>
    </row>
    <row r="434" spans="1:19" s="492" customFormat="1" ht="48.6">
      <c r="A434" s="1201" t="s">
        <v>309</v>
      </c>
      <c r="B434" s="1214" t="s">
        <v>325</v>
      </c>
      <c r="C434" s="1205">
        <v>41</v>
      </c>
      <c r="D434" s="1206" t="s">
        <v>347</v>
      </c>
      <c r="E434" s="494" t="s">
        <v>38</v>
      </c>
      <c r="F434" s="496" t="s">
        <v>106</v>
      </c>
      <c r="G434" s="494" t="s">
        <v>285</v>
      </c>
      <c r="H434" s="500" t="s">
        <v>41</v>
      </c>
      <c r="I434" s="1243">
        <v>45992</v>
      </c>
      <c r="J434" s="955"/>
      <c r="K434" s="959"/>
      <c r="L434" s="962"/>
      <c r="M434" s="957"/>
      <c r="N434" s="943"/>
      <c r="O434" s="944" t="s">
        <v>387</v>
      </c>
      <c r="P434" s="945"/>
      <c r="Q434" s="946"/>
      <c r="R434" s="541"/>
      <c r="S434" s="561"/>
    </row>
    <row r="435" spans="1:19" s="492" customFormat="1" ht="48.6">
      <c r="A435" s="1201" t="s">
        <v>309</v>
      </c>
      <c r="B435" s="1214" t="s">
        <v>325</v>
      </c>
      <c r="C435" s="1205">
        <v>42</v>
      </c>
      <c r="D435" s="1206" t="s">
        <v>347</v>
      </c>
      <c r="E435" s="494" t="s">
        <v>136</v>
      </c>
      <c r="F435" s="496" t="s">
        <v>106</v>
      </c>
      <c r="G435" s="494" t="s">
        <v>285</v>
      </c>
      <c r="H435" s="506">
        <v>155.07</v>
      </c>
      <c r="I435" s="1243">
        <v>45992</v>
      </c>
      <c r="J435" s="955">
        <v>160.61250000000004</v>
      </c>
      <c r="K435" s="959">
        <v>148.69999999999999</v>
      </c>
      <c r="L435" s="946">
        <f>J435</f>
        <v>160.61250000000004</v>
      </c>
      <c r="M435" s="959">
        <v>148.69999999999999</v>
      </c>
      <c r="N435" s="943"/>
      <c r="O435" s="944" t="s">
        <v>387</v>
      </c>
      <c r="P435" s="945"/>
      <c r="Q435" s="946"/>
      <c r="R435" s="541"/>
      <c r="S435" s="561"/>
    </row>
    <row r="436" spans="1:19" s="492" customFormat="1" ht="48.6">
      <c r="A436" s="1201" t="s">
        <v>309</v>
      </c>
      <c r="B436" s="1214" t="s">
        <v>325</v>
      </c>
      <c r="C436" s="1205">
        <v>43</v>
      </c>
      <c r="D436" s="1206" t="s">
        <v>349</v>
      </c>
      <c r="E436" s="494" t="s">
        <v>136</v>
      </c>
      <c r="F436" s="496" t="s">
        <v>340</v>
      </c>
      <c r="G436" s="494" t="s">
        <v>134</v>
      </c>
      <c r="H436" s="500">
        <v>5.4</v>
      </c>
      <c r="I436" s="1243">
        <v>45992</v>
      </c>
      <c r="J436" s="955" t="s">
        <v>41</v>
      </c>
      <c r="K436" s="959" t="s">
        <v>41</v>
      </c>
      <c r="L436" s="946" t="s">
        <v>41</v>
      </c>
      <c r="M436" s="957" t="s">
        <v>41</v>
      </c>
      <c r="N436" s="943"/>
      <c r="O436" s="944"/>
      <c r="P436" s="945"/>
      <c r="Q436" s="946"/>
      <c r="R436" s="541"/>
      <c r="S436" s="561"/>
    </row>
    <row r="437" spans="1:19" s="492" customFormat="1" ht="48.6">
      <c r="A437" s="1201" t="s">
        <v>309</v>
      </c>
      <c r="B437" s="1214" t="s">
        <v>325</v>
      </c>
      <c r="C437" s="1205">
        <v>44</v>
      </c>
      <c r="D437" s="1206" t="s">
        <v>350</v>
      </c>
      <c r="E437" s="494" t="s">
        <v>38</v>
      </c>
      <c r="F437" s="496" t="s">
        <v>106</v>
      </c>
      <c r="G437" s="494" t="s">
        <v>134</v>
      </c>
      <c r="H437" s="500" t="s">
        <v>41</v>
      </c>
      <c r="I437" s="1243">
        <v>45992</v>
      </c>
      <c r="J437" s="955" t="s">
        <v>41</v>
      </c>
      <c r="K437" s="959" t="s">
        <v>41</v>
      </c>
      <c r="L437" s="946" t="s">
        <v>41</v>
      </c>
      <c r="M437" s="957" t="s">
        <v>41</v>
      </c>
      <c r="N437" s="943"/>
      <c r="O437" s="944" t="s">
        <v>361</v>
      </c>
      <c r="P437" s="945"/>
      <c r="Q437" s="946"/>
      <c r="R437" s="541"/>
      <c r="S437" s="561"/>
    </row>
    <row r="438" spans="1:19" s="492" customFormat="1" ht="48.6">
      <c r="A438" s="1201" t="s">
        <v>309</v>
      </c>
      <c r="B438" s="1215" t="s">
        <v>325</v>
      </c>
      <c r="C438" s="1208">
        <v>45</v>
      </c>
      <c r="D438" s="1209" t="s">
        <v>350</v>
      </c>
      <c r="E438" s="563" t="s">
        <v>136</v>
      </c>
      <c r="F438" s="564" t="s">
        <v>106</v>
      </c>
      <c r="G438" s="563" t="s">
        <v>134</v>
      </c>
      <c r="H438" s="629">
        <v>3</v>
      </c>
      <c r="I438" s="1243">
        <v>45992</v>
      </c>
      <c r="J438" s="1021" t="s">
        <v>41</v>
      </c>
      <c r="K438" s="1022" t="s">
        <v>41</v>
      </c>
      <c r="L438" s="1023" t="s">
        <v>41</v>
      </c>
      <c r="M438" s="1024" t="s">
        <v>41</v>
      </c>
      <c r="N438" s="1025"/>
      <c r="O438" s="1026" t="s">
        <v>361</v>
      </c>
      <c r="P438" s="1027"/>
      <c r="Q438" s="1023"/>
      <c r="R438" s="572"/>
      <c r="S438" s="561"/>
    </row>
    <row r="439" spans="1:19" s="492" customFormat="1" ht="31.5" customHeight="1">
      <c r="A439" s="1201" t="s">
        <v>309</v>
      </c>
      <c r="B439" s="1220" t="s">
        <v>351</v>
      </c>
      <c r="C439" s="1203">
        <v>46</v>
      </c>
      <c r="D439" s="1235" t="s">
        <v>352</v>
      </c>
      <c r="E439" s="525" t="s">
        <v>353</v>
      </c>
      <c r="F439" s="526" t="s">
        <v>312</v>
      </c>
      <c r="G439" s="590" t="s">
        <v>40</v>
      </c>
      <c r="H439" s="527">
        <v>1.2</v>
      </c>
      <c r="I439" s="1243">
        <v>45992</v>
      </c>
      <c r="J439" s="1033" t="s">
        <v>41</v>
      </c>
      <c r="K439" s="1034" t="s">
        <v>41</v>
      </c>
      <c r="L439" s="1035" t="s">
        <v>41</v>
      </c>
      <c r="M439" s="1036" t="s">
        <v>41</v>
      </c>
      <c r="N439" s="967"/>
      <c r="O439" s="968"/>
      <c r="P439" s="969"/>
      <c r="Q439" s="970"/>
      <c r="R439" s="543"/>
      <c r="S439" s="561"/>
    </row>
    <row r="440" spans="1:19" s="492" customFormat="1" ht="48.6">
      <c r="A440" s="1201" t="s">
        <v>309</v>
      </c>
      <c r="B440" s="1221" t="s">
        <v>354</v>
      </c>
      <c r="C440" s="1205">
        <v>47</v>
      </c>
      <c r="D440" s="1221" t="s">
        <v>355</v>
      </c>
      <c r="E440" s="494" t="s">
        <v>353</v>
      </c>
      <c r="F440" s="496" t="s">
        <v>327</v>
      </c>
      <c r="G440" s="497" t="s">
        <v>40</v>
      </c>
      <c r="H440" s="501">
        <v>0</v>
      </c>
      <c r="I440" s="1243">
        <v>45992</v>
      </c>
      <c r="J440" s="955" t="s">
        <v>41</v>
      </c>
      <c r="K440" s="959" t="s">
        <v>41</v>
      </c>
      <c r="L440" s="960">
        <v>0</v>
      </c>
      <c r="M440" s="957">
        <v>4.71</v>
      </c>
      <c r="N440" s="943"/>
      <c r="O440" s="944"/>
      <c r="P440" s="945"/>
      <c r="Q440" s="946"/>
      <c r="R440" s="541"/>
      <c r="S440" s="561"/>
    </row>
    <row r="441" spans="1:19" s="492" customFormat="1" ht="48.6">
      <c r="A441" s="1201" t="s">
        <v>309</v>
      </c>
      <c r="B441" s="1221" t="s">
        <v>356</v>
      </c>
      <c r="C441" s="1205">
        <v>48</v>
      </c>
      <c r="D441" s="1221" t="s">
        <v>355</v>
      </c>
      <c r="E441" s="494" t="s">
        <v>353</v>
      </c>
      <c r="F441" s="496" t="s">
        <v>321</v>
      </c>
      <c r="G441" s="497" t="s">
        <v>40</v>
      </c>
      <c r="H441" s="501">
        <v>0</v>
      </c>
      <c r="I441" s="1243">
        <v>45992</v>
      </c>
      <c r="J441" s="955" t="s">
        <v>41</v>
      </c>
      <c r="K441" s="959" t="s">
        <v>41</v>
      </c>
      <c r="L441" s="960">
        <v>0</v>
      </c>
      <c r="M441" s="957">
        <v>0</v>
      </c>
      <c r="N441" s="943"/>
      <c r="O441" s="944"/>
      <c r="P441" s="945"/>
      <c r="Q441" s="946"/>
      <c r="R441" s="541"/>
      <c r="S441" s="561"/>
    </row>
    <row r="442" spans="1:19" s="492" customFormat="1" ht="48.6">
      <c r="A442" s="1222" t="s">
        <v>309</v>
      </c>
      <c r="B442" s="1223" t="s">
        <v>357</v>
      </c>
      <c r="C442" s="1224">
        <v>49</v>
      </c>
      <c r="D442" s="1225" t="s">
        <v>41</v>
      </c>
      <c r="E442" s="532" t="s">
        <v>38</v>
      </c>
      <c r="F442" s="533" t="s">
        <v>312</v>
      </c>
      <c r="G442" s="534" t="s">
        <v>41</v>
      </c>
      <c r="H442" s="535"/>
      <c r="I442" s="1250">
        <v>45992</v>
      </c>
      <c r="J442" s="1037">
        <v>27</v>
      </c>
      <c r="K442" s="1038">
        <v>24</v>
      </c>
      <c r="L442" s="1039">
        <f>J442+L393</f>
        <v>221</v>
      </c>
      <c r="M442" s="2433">
        <f>K442+M393</f>
        <v>185</v>
      </c>
      <c r="N442" s="1040"/>
      <c r="O442" s="1041"/>
      <c r="P442" s="1042"/>
      <c r="Q442" s="1043"/>
      <c r="R442" s="542"/>
      <c r="S442" s="561"/>
    </row>
    <row r="443" spans="1:19" s="492" customFormat="1" ht="48.6">
      <c r="A443" s="1228" t="s">
        <v>309</v>
      </c>
      <c r="B443" s="1220" t="s">
        <v>310</v>
      </c>
      <c r="C443" s="1203">
        <v>1</v>
      </c>
      <c r="D443" s="1204" t="s">
        <v>311</v>
      </c>
      <c r="E443" s="525" t="s">
        <v>38</v>
      </c>
      <c r="F443" s="526" t="s">
        <v>312</v>
      </c>
      <c r="G443" s="525" t="s">
        <v>40</v>
      </c>
      <c r="H443" s="527">
        <v>0</v>
      </c>
      <c r="I443" s="1251">
        <v>46023</v>
      </c>
      <c r="J443" s="963">
        <f>IF(H443=0,0,IF(H443="-","-",ROUND(H443/12,2)))</f>
        <v>0</v>
      </c>
      <c r="K443" s="964">
        <v>0</v>
      </c>
      <c r="L443" s="965">
        <v>0</v>
      </c>
      <c r="M443" s="966">
        <v>5</v>
      </c>
      <c r="N443" s="967"/>
      <c r="O443" s="968"/>
      <c r="P443" s="969"/>
      <c r="Q443" s="970"/>
      <c r="R443" s="543"/>
      <c r="S443" s="561"/>
    </row>
    <row r="444" spans="1:19" s="492" customFormat="1" ht="48.6">
      <c r="A444" s="1229" t="s">
        <v>309</v>
      </c>
      <c r="B444" s="1221" t="s">
        <v>310</v>
      </c>
      <c r="C444" s="1205">
        <v>2</v>
      </c>
      <c r="D444" s="1206" t="s">
        <v>313</v>
      </c>
      <c r="E444" s="494" t="s">
        <v>38</v>
      </c>
      <c r="F444" s="496" t="s">
        <v>312</v>
      </c>
      <c r="G444" s="494" t="s">
        <v>40</v>
      </c>
      <c r="H444" s="500">
        <v>9</v>
      </c>
      <c r="I444" s="1248">
        <v>46023</v>
      </c>
      <c r="J444" s="958">
        <f>IF(H444=0,0,IF(H444="-","-",ROUND(H444/12,2)))</f>
        <v>0.75</v>
      </c>
      <c r="K444" s="956">
        <v>0</v>
      </c>
      <c r="L444" s="971">
        <v>0</v>
      </c>
      <c r="M444" s="972">
        <v>3</v>
      </c>
      <c r="N444" s="943"/>
      <c r="O444" s="944"/>
      <c r="P444" s="945"/>
      <c r="Q444" s="946"/>
      <c r="R444" s="541"/>
      <c r="S444" s="561"/>
    </row>
    <row r="445" spans="1:19" s="492" customFormat="1" ht="48.6">
      <c r="A445" s="1229" t="s">
        <v>309</v>
      </c>
      <c r="B445" s="1221" t="s">
        <v>310</v>
      </c>
      <c r="C445" s="1205">
        <v>3</v>
      </c>
      <c r="D445" s="1206" t="s">
        <v>314</v>
      </c>
      <c r="E445" s="494" t="s">
        <v>38</v>
      </c>
      <c r="F445" s="496" t="s">
        <v>312</v>
      </c>
      <c r="G445" s="494" t="s">
        <v>40</v>
      </c>
      <c r="H445" s="500">
        <v>0</v>
      </c>
      <c r="I445" s="1248">
        <v>46023</v>
      </c>
      <c r="J445" s="958">
        <f>IF(H445=0,0,IF(H445="-","-",ROUND(H445/12,2)))</f>
        <v>0</v>
      </c>
      <c r="K445" s="956">
        <v>0</v>
      </c>
      <c r="L445" s="971">
        <v>0</v>
      </c>
      <c r="M445" s="2431">
        <f>K445+M396</f>
        <v>1</v>
      </c>
      <c r="N445" s="943"/>
      <c r="O445" s="944"/>
      <c r="P445" s="945"/>
      <c r="Q445" s="946"/>
      <c r="R445" s="541"/>
      <c r="S445" s="561"/>
    </row>
    <row r="446" spans="1:19" s="492" customFormat="1" ht="48.6">
      <c r="A446" s="1229" t="s">
        <v>309</v>
      </c>
      <c r="B446" s="1221" t="s">
        <v>310</v>
      </c>
      <c r="C446" s="1205">
        <v>4</v>
      </c>
      <c r="D446" s="1206" t="s">
        <v>315</v>
      </c>
      <c r="E446" s="494" t="s">
        <v>38</v>
      </c>
      <c r="F446" s="496" t="s">
        <v>316</v>
      </c>
      <c r="G446" s="494" t="s">
        <v>40</v>
      </c>
      <c r="H446" s="500">
        <v>281</v>
      </c>
      <c r="I446" s="1248">
        <v>46023</v>
      </c>
      <c r="J446" s="958">
        <v>10</v>
      </c>
      <c r="K446" s="1199">
        <v>10</v>
      </c>
      <c r="L446" s="971">
        <f>J446+L397</f>
        <v>215</v>
      </c>
      <c r="M446" s="972">
        <f t="shared" ref="M446" si="35">K446+M397</f>
        <v>191</v>
      </c>
      <c r="N446" s="943"/>
      <c r="O446" s="944"/>
      <c r="P446" s="945"/>
      <c r="Q446" s="946"/>
      <c r="R446" s="541"/>
      <c r="S446" s="561"/>
    </row>
    <row r="447" spans="1:19" s="492" customFormat="1" ht="48.6">
      <c r="A447" s="1229" t="s">
        <v>309</v>
      </c>
      <c r="B447" s="1221" t="s">
        <v>310</v>
      </c>
      <c r="C447" s="1205">
        <v>5</v>
      </c>
      <c r="D447" s="1206" t="s">
        <v>315</v>
      </c>
      <c r="E447" s="494" t="s">
        <v>136</v>
      </c>
      <c r="F447" s="496" t="s">
        <v>316</v>
      </c>
      <c r="G447" s="494" t="s">
        <v>40</v>
      </c>
      <c r="H447" s="500">
        <v>117</v>
      </c>
      <c r="I447" s="1248">
        <v>46023</v>
      </c>
      <c r="J447" s="939">
        <v>4.8600000000000003</v>
      </c>
      <c r="K447" s="940">
        <v>1.4139999999999999</v>
      </c>
      <c r="L447" s="971">
        <f>J447+L398</f>
        <v>88.159000000000006</v>
      </c>
      <c r="M447" s="972">
        <f t="shared" ref="M447" si="36">K447+M398</f>
        <v>57.283999999999999</v>
      </c>
      <c r="N447" s="943"/>
      <c r="O447" s="944"/>
      <c r="P447" s="945"/>
      <c r="Q447" s="946"/>
      <c r="R447" s="541"/>
      <c r="S447" s="561"/>
    </row>
    <row r="448" spans="1:19" s="492" customFormat="1" ht="48.6">
      <c r="A448" s="1229" t="s">
        <v>309</v>
      </c>
      <c r="B448" s="1221" t="s">
        <v>310</v>
      </c>
      <c r="C448" s="1205">
        <v>6</v>
      </c>
      <c r="D448" s="1206" t="s">
        <v>317</v>
      </c>
      <c r="E448" s="494" t="s">
        <v>38</v>
      </c>
      <c r="F448" s="496" t="s">
        <v>316</v>
      </c>
      <c r="G448" s="494" t="s">
        <v>40</v>
      </c>
      <c r="H448" s="500">
        <v>0</v>
      </c>
      <c r="I448" s="1248">
        <v>46023</v>
      </c>
      <c r="J448" s="958">
        <f>IF(H448=0,0,IF(H448="-","-",ROUND(H448/12,2)))</f>
        <v>0</v>
      </c>
      <c r="K448" s="956">
        <v>0</v>
      </c>
      <c r="L448" s="971">
        <v>0</v>
      </c>
      <c r="M448" s="972">
        <v>0</v>
      </c>
      <c r="N448" s="943"/>
      <c r="O448" s="944" t="s">
        <v>431</v>
      </c>
      <c r="P448" s="945"/>
      <c r="Q448" s="946"/>
      <c r="R448" s="541"/>
      <c r="S448" s="561"/>
    </row>
    <row r="449" spans="1:19" s="492" customFormat="1" ht="48.6">
      <c r="A449" s="1229" t="s">
        <v>309</v>
      </c>
      <c r="B449" s="1221" t="s">
        <v>310</v>
      </c>
      <c r="C449" s="1205">
        <v>7</v>
      </c>
      <c r="D449" s="1206" t="s">
        <v>317</v>
      </c>
      <c r="E449" s="494" t="s">
        <v>136</v>
      </c>
      <c r="F449" s="496" t="s">
        <v>316</v>
      </c>
      <c r="G449" s="494" t="s">
        <v>40</v>
      </c>
      <c r="H449" s="500">
        <v>0</v>
      </c>
      <c r="I449" s="1248">
        <v>46023</v>
      </c>
      <c r="J449" s="958">
        <f>IF(H449=0,0,IF(H449="-","-",ROUND(H449/12,2)))</f>
        <v>0</v>
      </c>
      <c r="K449" s="956">
        <v>0</v>
      </c>
      <c r="L449" s="971">
        <v>0</v>
      </c>
      <c r="M449" s="972">
        <v>0</v>
      </c>
      <c r="N449" s="943"/>
      <c r="O449" s="944"/>
      <c r="P449" s="945"/>
      <c r="Q449" s="946"/>
      <c r="R449" s="541"/>
      <c r="S449" s="561"/>
    </row>
    <row r="450" spans="1:19" s="492" customFormat="1" ht="48.6">
      <c r="A450" s="1229" t="s">
        <v>309</v>
      </c>
      <c r="B450" s="1221" t="s">
        <v>310</v>
      </c>
      <c r="C450" s="1205">
        <v>8</v>
      </c>
      <c r="D450" s="1206" t="s">
        <v>318</v>
      </c>
      <c r="E450" s="494" t="s">
        <v>38</v>
      </c>
      <c r="F450" s="496" t="s">
        <v>316</v>
      </c>
      <c r="G450" s="494" t="s">
        <v>40</v>
      </c>
      <c r="H450" s="500">
        <v>195</v>
      </c>
      <c r="I450" s="1248">
        <v>46023</v>
      </c>
      <c r="J450" s="958">
        <v>8</v>
      </c>
      <c r="K450" s="956">
        <v>3</v>
      </c>
      <c r="L450" s="946">
        <f>J450+L401</f>
        <v>164</v>
      </c>
      <c r="M450" s="957">
        <f t="shared" ref="M450" si="37">K450+M401</f>
        <v>64</v>
      </c>
      <c r="N450" s="943"/>
      <c r="O450" s="944"/>
      <c r="P450" s="945"/>
      <c r="Q450" s="946"/>
      <c r="R450" s="541"/>
      <c r="S450" s="561"/>
    </row>
    <row r="451" spans="1:19" s="492" customFormat="1" ht="48.6">
      <c r="A451" s="1229" t="s">
        <v>309</v>
      </c>
      <c r="B451" s="1221" t="s">
        <v>310</v>
      </c>
      <c r="C451" s="1205">
        <v>9</v>
      </c>
      <c r="D451" s="1206" t="s">
        <v>318</v>
      </c>
      <c r="E451" s="494" t="s">
        <v>136</v>
      </c>
      <c r="F451" s="496" t="s">
        <v>316</v>
      </c>
      <c r="G451" s="494" t="s">
        <v>40</v>
      </c>
      <c r="H451" s="645">
        <v>313</v>
      </c>
      <c r="I451" s="1248">
        <v>46023</v>
      </c>
      <c r="J451" s="955">
        <v>8.4250000000000007</v>
      </c>
      <c r="K451" s="959">
        <v>1.732</v>
      </c>
      <c r="L451" s="946">
        <f>J451+L402</f>
        <v>272.98700000000002</v>
      </c>
      <c r="M451" s="957">
        <f t="shared" ref="M451" si="38">K451+M402</f>
        <v>62.158599999999993</v>
      </c>
      <c r="N451" s="943"/>
      <c r="O451" s="944"/>
      <c r="P451" s="945"/>
      <c r="Q451" s="946"/>
      <c r="R451" s="541"/>
      <c r="S451" s="561"/>
    </row>
    <row r="452" spans="1:19" s="492" customFormat="1" ht="48.6">
      <c r="A452" s="1229" t="s">
        <v>309</v>
      </c>
      <c r="B452" s="1221" t="s">
        <v>319</v>
      </c>
      <c r="C452" s="1205">
        <v>10</v>
      </c>
      <c r="D452" s="1206" t="s">
        <v>320</v>
      </c>
      <c r="E452" s="494" t="s">
        <v>38</v>
      </c>
      <c r="F452" s="496" t="s">
        <v>321</v>
      </c>
      <c r="G452" s="494" t="s">
        <v>40</v>
      </c>
      <c r="H452" s="500">
        <v>0</v>
      </c>
      <c r="I452" s="1248">
        <v>46023</v>
      </c>
      <c r="J452" s="958">
        <f>IF(H452=0,0,IF(H452="-","-",ROUND(H452/12,2)))</f>
        <v>0</v>
      </c>
      <c r="K452" s="959">
        <v>0</v>
      </c>
      <c r="L452" s="971">
        <v>0</v>
      </c>
      <c r="M452" s="957">
        <v>0</v>
      </c>
      <c r="N452" s="943"/>
      <c r="O452" s="944"/>
      <c r="P452" s="945"/>
      <c r="Q452" s="946"/>
      <c r="R452" s="541"/>
      <c r="S452" s="561"/>
    </row>
    <row r="453" spans="1:19" s="492" customFormat="1" ht="48.6">
      <c r="A453" s="1229" t="s">
        <v>309</v>
      </c>
      <c r="B453" s="1221" t="s">
        <v>319</v>
      </c>
      <c r="C453" s="1205">
        <v>11</v>
      </c>
      <c r="D453" s="1206" t="s">
        <v>322</v>
      </c>
      <c r="E453" s="494" t="s">
        <v>38</v>
      </c>
      <c r="F453" s="496" t="s">
        <v>321</v>
      </c>
      <c r="G453" s="494" t="s">
        <v>40</v>
      </c>
      <c r="H453" s="500">
        <v>0</v>
      </c>
      <c r="I453" s="1248">
        <v>46023</v>
      </c>
      <c r="J453" s="958">
        <f>IF(H453=0,0,IF(H453="-","-",ROUND(H453/12,2)))</f>
        <v>0</v>
      </c>
      <c r="K453" s="959">
        <v>0</v>
      </c>
      <c r="L453" s="971">
        <v>0</v>
      </c>
      <c r="M453" s="957">
        <v>0</v>
      </c>
      <c r="N453" s="943"/>
      <c r="O453" s="944"/>
      <c r="P453" s="945"/>
      <c r="Q453" s="946"/>
      <c r="R453" s="541"/>
      <c r="S453" s="561"/>
    </row>
    <row r="454" spans="1:19" s="492" customFormat="1" ht="48.6">
      <c r="A454" s="1229" t="s">
        <v>309</v>
      </c>
      <c r="B454" s="1221" t="s">
        <v>319</v>
      </c>
      <c r="C454" s="1205">
        <v>12</v>
      </c>
      <c r="D454" s="1206" t="s">
        <v>313</v>
      </c>
      <c r="E454" s="494" t="s">
        <v>38</v>
      </c>
      <c r="F454" s="496" t="s">
        <v>321</v>
      </c>
      <c r="G454" s="494" t="s">
        <v>40</v>
      </c>
      <c r="H454" s="500">
        <v>0</v>
      </c>
      <c r="I454" s="1248">
        <v>46023</v>
      </c>
      <c r="J454" s="958">
        <f>IF(H454=0,0,IF(H454="-","-",ROUND(H454/12,2)))</f>
        <v>0</v>
      </c>
      <c r="K454" s="959">
        <v>0</v>
      </c>
      <c r="L454" s="971">
        <v>0</v>
      </c>
      <c r="M454" s="957">
        <v>5</v>
      </c>
      <c r="N454" s="943"/>
      <c r="O454" s="944"/>
      <c r="P454" s="945"/>
      <c r="Q454" s="946"/>
      <c r="R454" s="541"/>
      <c r="S454" s="561"/>
    </row>
    <row r="455" spans="1:19" s="492" customFormat="1" ht="48.6">
      <c r="A455" s="1229" t="s">
        <v>309</v>
      </c>
      <c r="B455" s="1221" t="s">
        <v>319</v>
      </c>
      <c r="C455" s="1205">
        <v>13</v>
      </c>
      <c r="D455" s="1206" t="s">
        <v>323</v>
      </c>
      <c r="E455" s="494" t="s">
        <v>38</v>
      </c>
      <c r="F455" s="496" t="s">
        <v>321</v>
      </c>
      <c r="G455" s="494" t="s">
        <v>40</v>
      </c>
      <c r="H455" s="500">
        <v>5</v>
      </c>
      <c r="I455" s="1248">
        <v>46023</v>
      </c>
      <c r="J455" s="955" t="s">
        <v>41</v>
      </c>
      <c r="K455" s="959" t="s">
        <v>41</v>
      </c>
      <c r="L455" s="946">
        <f>L406</f>
        <v>3</v>
      </c>
      <c r="M455" s="957">
        <f>M406</f>
        <v>3</v>
      </c>
      <c r="N455" s="943"/>
      <c r="O455" s="944"/>
      <c r="P455" s="945"/>
      <c r="Q455" s="946"/>
      <c r="R455" s="541"/>
      <c r="S455" s="561"/>
    </row>
    <row r="456" spans="1:19" s="492" customFormat="1" ht="48.6">
      <c r="A456" s="1229" t="s">
        <v>309</v>
      </c>
      <c r="B456" s="1206" t="s">
        <v>324</v>
      </c>
      <c r="C456" s="1205">
        <v>14</v>
      </c>
      <c r="D456" s="1206" t="s">
        <v>311</v>
      </c>
      <c r="E456" s="494" t="s">
        <v>38</v>
      </c>
      <c r="F456" s="496" t="s">
        <v>312</v>
      </c>
      <c r="G456" s="494" t="s">
        <v>40</v>
      </c>
      <c r="H456" s="501">
        <v>0</v>
      </c>
      <c r="I456" s="1248">
        <v>46023</v>
      </c>
      <c r="J456" s="958">
        <v>0</v>
      </c>
      <c r="K456" s="959">
        <v>0</v>
      </c>
      <c r="L456" s="971">
        <v>0</v>
      </c>
      <c r="M456" s="972">
        <f>M407+K456</f>
        <v>0</v>
      </c>
      <c r="N456" s="943"/>
      <c r="O456" s="944"/>
      <c r="P456" s="945"/>
      <c r="Q456" s="946"/>
      <c r="R456" s="1255"/>
      <c r="S456" s="561"/>
    </row>
    <row r="457" spans="1:19" s="492" customFormat="1" ht="48.6">
      <c r="A457" s="1229" t="s">
        <v>309</v>
      </c>
      <c r="B457" s="1206" t="s">
        <v>324</v>
      </c>
      <c r="C457" s="1205">
        <v>15</v>
      </c>
      <c r="D457" s="1206" t="s">
        <v>313</v>
      </c>
      <c r="E457" s="494" t="s">
        <v>38</v>
      </c>
      <c r="F457" s="496" t="s">
        <v>312</v>
      </c>
      <c r="G457" s="494" t="s">
        <v>40</v>
      </c>
      <c r="H457" s="501">
        <v>30</v>
      </c>
      <c r="I457" s="1248">
        <v>46023</v>
      </c>
      <c r="J457" s="939">
        <f t="shared" ref="J457:J466" si="39">IF(H457=0,0,IF(H457="-","-",ROUND(H457/12,2)))</f>
        <v>2.5</v>
      </c>
      <c r="K457" s="959">
        <v>3</v>
      </c>
      <c r="L457" s="2434">
        <f>L408+J457</f>
        <v>22.5</v>
      </c>
      <c r="M457" s="972">
        <f>M408+K457</f>
        <v>27</v>
      </c>
      <c r="N457" s="943"/>
      <c r="O457" s="944" t="s">
        <v>432</v>
      </c>
      <c r="P457" s="945" t="s">
        <v>433</v>
      </c>
      <c r="Q457" s="946"/>
      <c r="R457" s="1255"/>
      <c r="S457" s="561"/>
    </row>
    <row r="458" spans="1:19" s="492" customFormat="1" ht="48.6">
      <c r="A458" s="1229" t="s">
        <v>309</v>
      </c>
      <c r="B458" s="1206" t="s">
        <v>324</v>
      </c>
      <c r="C458" s="1205">
        <v>16</v>
      </c>
      <c r="D458" s="1206" t="s">
        <v>314</v>
      </c>
      <c r="E458" s="494" t="s">
        <v>38</v>
      </c>
      <c r="F458" s="496" t="s">
        <v>312</v>
      </c>
      <c r="G458" s="494" t="s">
        <v>40</v>
      </c>
      <c r="H458" s="501">
        <v>0</v>
      </c>
      <c r="I458" s="1248">
        <v>46023</v>
      </c>
      <c r="J458" s="958">
        <f t="shared" si="39"/>
        <v>0</v>
      </c>
      <c r="K458" s="959">
        <v>0</v>
      </c>
      <c r="L458" s="971">
        <v>0</v>
      </c>
      <c r="M458" s="972">
        <f>M409+K458</f>
        <v>1</v>
      </c>
      <c r="N458" s="943"/>
      <c r="O458" s="944"/>
      <c r="P458" s="945"/>
      <c r="Q458" s="946"/>
      <c r="R458" s="1255"/>
      <c r="S458" s="561"/>
    </row>
    <row r="459" spans="1:19" s="492" customFormat="1" ht="48.6">
      <c r="A459" s="1229" t="s">
        <v>309</v>
      </c>
      <c r="B459" s="1206" t="s">
        <v>325</v>
      </c>
      <c r="C459" s="1205">
        <v>17</v>
      </c>
      <c r="D459" s="1206" t="s">
        <v>326</v>
      </c>
      <c r="E459" s="494" t="s">
        <v>38</v>
      </c>
      <c r="F459" s="496" t="s">
        <v>327</v>
      </c>
      <c r="G459" s="494" t="s">
        <v>40</v>
      </c>
      <c r="H459" s="501">
        <v>0</v>
      </c>
      <c r="I459" s="1248">
        <v>46023</v>
      </c>
      <c r="J459" s="958">
        <f t="shared" si="39"/>
        <v>0</v>
      </c>
      <c r="K459" s="959">
        <v>0</v>
      </c>
      <c r="L459" s="971">
        <v>0</v>
      </c>
      <c r="M459" s="957">
        <v>1</v>
      </c>
      <c r="N459" s="943"/>
      <c r="O459" s="944"/>
      <c r="P459" s="945"/>
      <c r="Q459" s="946"/>
      <c r="R459" s="541"/>
      <c r="S459" s="561"/>
    </row>
    <row r="460" spans="1:19" s="492" customFormat="1" ht="48.6">
      <c r="A460" s="1229" t="s">
        <v>309</v>
      </c>
      <c r="B460" s="1206" t="s">
        <v>325</v>
      </c>
      <c r="C460" s="1205">
        <v>18</v>
      </c>
      <c r="D460" s="1206" t="s">
        <v>326</v>
      </c>
      <c r="E460" s="494" t="s">
        <v>136</v>
      </c>
      <c r="F460" s="496" t="s">
        <v>327</v>
      </c>
      <c r="G460" s="494" t="s">
        <v>40</v>
      </c>
      <c r="H460" s="501">
        <v>0</v>
      </c>
      <c r="I460" s="1248">
        <v>46023</v>
      </c>
      <c r="J460" s="958">
        <f t="shared" si="39"/>
        <v>0</v>
      </c>
      <c r="K460" s="959">
        <v>0</v>
      </c>
      <c r="L460" s="971">
        <v>0</v>
      </c>
      <c r="M460" s="957">
        <v>1</v>
      </c>
      <c r="N460" s="943"/>
      <c r="O460" s="944"/>
      <c r="P460" s="945"/>
      <c r="Q460" s="946"/>
      <c r="R460" s="541"/>
      <c r="S460" s="561"/>
    </row>
    <row r="461" spans="1:19" s="492" customFormat="1" ht="48.6">
      <c r="A461" s="1229" t="s">
        <v>309</v>
      </c>
      <c r="B461" s="1206" t="s">
        <v>325</v>
      </c>
      <c r="C461" s="1205">
        <v>19</v>
      </c>
      <c r="D461" s="1206" t="s">
        <v>328</v>
      </c>
      <c r="E461" s="494" t="s">
        <v>38</v>
      </c>
      <c r="F461" s="496" t="s">
        <v>327</v>
      </c>
      <c r="G461" s="494" t="s">
        <v>40</v>
      </c>
      <c r="H461" s="501" t="s">
        <v>41</v>
      </c>
      <c r="I461" s="1248">
        <v>46023</v>
      </c>
      <c r="J461" s="955" t="str">
        <f t="shared" si="39"/>
        <v>-</v>
      </c>
      <c r="K461" s="959" t="s">
        <v>41</v>
      </c>
      <c r="L461" s="946" t="s">
        <v>41</v>
      </c>
      <c r="M461" s="957">
        <v>8</v>
      </c>
      <c r="N461" s="943"/>
      <c r="O461" s="944"/>
      <c r="P461" s="945"/>
      <c r="Q461" s="946"/>
      <c r="R461" s="541"/>
      <c r="S461" s="561"/>
    </row>
    <row r="462" spans="1:19" s="492" customFormat="1" ht="48.6">
      <c r="A462" s="1229" t="s">
        <v>309</v>
      </c>
      <c r="B462" s="1206" t="s">
        <v>325</v>
      </c>
      <c r="C462" s="1205">
        <v>20</v>
      </c>
      <c r="D462" s="1206" t="s">
        <v>328</v>
      </c>
      <c r="E462" s="494" t="s">
        <v>136</v>
      </c>
      <c r="F462" s="496" t="s">
        <v>327</v>
      </c>
      <c r="G462" s="494" t="s">
        <v>40</v>
      </c>
      <c r="H462" s="501" t="s">
        <v>41</v>
      </c>
      <c r="I462" s="1248">
        <v>46023</v>
      </c>
      <c r="J462" s="955" t="str">
        <f t="shared" si="39"/>
        <v>-</v>
      </c>
      <c r="K462" s="959" t="s">
        <v>41</v>
      </c>
      <c r="L462" s="946" t="s">
        <v>41</v>
      </c>
      <c r="M462" s="957">
        <v>17.73</v>
      </c>
      <c r="N462" s="943"/>
      <c r="O462" s="944"/>
      <c r="P462" s="945"/>
      <c r="Q462" s="946"/>
      <c r="R462" s="541"/>
      <c r="S462" s="561"/>
    </row>
    <row r="463" spans="1:19" s="492" customFormat="1" ht="48.6">
      <c r="A463" s="1229" t="s">
        <v>309</v>
      </c>
      <c r="B463" s="1206" t="s">
        <v>325</v>
      </c>
      <c r="C463" s="1205">
        <v>21</v>
      </c>
      <c r="D463" s="1206" t="s">
        <v>329</v>
      </c>
      <c r="E463" s="494" t="s">
        <v>38</v>
      </c>
      <c r="F463" s="496" t="s">
        <v>327</v>
      </c>
      <c r="G463" s="494" t="s">
        <v>40</v>
      </c>
      <c r="H463" s="501" t="s">
        <v>41</v>
      </c>
      <c r="I463" s="1248">
        <v>46023</v>
      </c>
      <c r="J463" s="955" t="str">
        <f t="shared" si="39"/>
        <v>-</v>
      </c>
      <c r="K463" s="959" t="s">
        <v>41</v>
      </c>
      <c r="L463" s="946" t="s">
        <v>41</v>
      </c>
      <c r="M463" s="957">
        <v>116</v>
      </c>
      <c r="N463" s="943"/>
      <c r="O463" t="s">
        <v>434</v>
      </c>
      <c r="P463" s="945"/>
      <c r="Q463" s="946"/>
      <c r="R463" s="541"/>
      <c r="S463" s="561"/>
    </row>
    <row r="464" spans="1:19" s="492" customFormat="1" ht="48.6">
      <c r="A464" s="1229" t="s">
        <v>309</v>
      </c>
      <c r="B464" s="1206" t="s">
        <v>325</v>
      </c>
      <c r="C464" s="1205">
        <v>22</v>
      </c>
      <c r="D464" s="1206" t="s">
        <v>329</v>
      </c>
      <c r="E464" s="494" t="s">
        <v>136</v>
      </c>
      <c r="F464" s="496" t="s">
        <v>327</v>
      </c>
      <c r="G464" s="494" t="s">
        <v>40</v>
      </c>
      <c r="H464" s="501" t="s">
        <v>41</v>
      </c>
      <c r="I464" s="1248">
        <v>46023</v>
      </c>
      <c r="J464" s="955" t="str">
        <f t="shared" si="39"/>
        <v>-</v>
      </c>
      <c r="K464" s="959" t="s">
        <v>41</v>
      </c>
      <c r="L464" s="946" t="s">
        <v>41</v>
      </c>
      <c r="M464" s="957">
        <v>85.6</v>
      </c>
      <c r="N464" s="943"/>
      <c r="O464" s="944"/>
      <c r="P464" s="945"/>
      <c r="Q464" s="946"/>
      <c r="R464" s="541"/>
      <c r="S464" s="561"/>
    </row>
    <row r="465" spans="1:20" s="492" customFormat="1" ht="48.6">
      <c r="A465" s="1229" t="s">
        <v>309</v>
      </c>
      <c r="B465" s="1206" t="s">
        <v>325</v>
      </c>
      <c r="C465" s="1205">
        <v>23</v>
      </c>
      <c r="D465" s="1206" t="s">
        <v>330</v>
      </c>
      <c r="E465" s="494" t="s">
        <v>38</v>
      </c>
      <c r="F465" s="496" t="s">
        <v>327</v>
      </c>
      <c r="G465" s="494" t="s">
        <v>40</v>
      </c>
      <c r="H465" s="501" t="s">
        <v>41</v>
      </c>
      <c r="I465" s="1248">
        <v>46023</v>
      </c>
      <c r="J465" s="955" t="str">
        <f t="shared" si="39"/>
        <v>-</v>
      </c>
      <c r="K465" s="959" t="s">
        <v>41</v>
      </c>
      <c r="L465" s="946" t="s">
        <v>41</v>
      </c>
      <c r="M465" s="957">
        <v>178</v>
      </c>
      <c r="N465" s="943"/>
      <c r="O465" s="961" t="s">
        <v>435</v>
      </c>
      <c r="P465" s="945"/>
      <c r="Q465" s="946"/>
      <c r="R465" s="541"/>
      <c r="S465" s="561"/>
    </row>
    <row r="466" spans="1:20" s="492" customFormat="1" ht="48.6">
      <c r="A466" s="1229" t="s">
        <v>309</v>
      </c>
      <c r="B466" s="1206" t="s">
        <v>325</v>
      </c>
      <c r="C466" s="1205">
        <v>24</v>
      </c>
      <c r="D466" s="1206" t="s">
        <v>330</v>
      </c>
      <c r="E466" s="494" t="s">
        <v>136</v>
      </c>
      <c r="F466" s="496" t="s">
        <v>327</v>
      </c>
      <c r="G466" s="494" t="s">
        <v>40</v>
      </c>
      <c r="H466" s="501" t="s">
        <v>41</v>
      </c>
      <c r="I466" s="1248">
        <v>46023</v>
      </c>
      <c r="J466" s="955" t="str">
        <f t="shared" si="39"/>
        <v>-</v>
      </c>
      <c r="K466" s="959" t="s">
        <v>41</v>
      </c>
      <c r="L466" s="946" t="s">
        <v>41</v>
      </c>
      <c r="M466" s="957">
        <v>86.19</v>
      </c>
      <c r="N466" s="943"/>
      <c r="O466" s="944"/>
      <c r="P466" s="945"/>
      <c r="Q466" s="946"/>
      <c r="R466" s="541"/>
      <c r="S466" s="561"/>
    </row>
    <row r="467" spans="1:20" s="492" customFormat="1" ht="145.80000000000001">
      <c r="A467" s="1229" t="s">
        <v>309</v>
      </c>
      <c r="B467" s="1206" t="s">
        <v>325</v>
      </c>
      <c r="C467" s="1205">
        <v>25</v>
      </c>
      <c r="D467" s="1206" t="s">
        <v>331</v>
      </c>
      <c r="E467" s="494" t="s">
        <v>38</v>
      </c>
      <c r="F467" s="496" t="s">
        <v>327</v>
      </c>
      <c r="G467" s="494" t="s">
        <v>285</v>
      </c>
      <c r="H467" s="501">
        <v>0</v>
      </c>
      <c r="I467" s="1248">
        <v>46023</v>
      </c>
      <c r="J467" s="958">
        <v>2</v>
      </c>
      <c r="K467" s="1702">
        <v>16</v>
      </c>
      <c r="L467" s="2435">
        <f>+J516+J564</f>
        <v>23</v>
      </c>
      <c r="M467" s="2436">
        <f>10-3</f>
        <v>7</v>
      </c>
      <c r="N467" s="2437"/>
      <c r="O467" s="1705" t="s">
        <v>436</v>
      </c>
      <c r="P467" s="2438"/>
      <c r="Q467" s="2439"/>
      <c r="R467" s="2440"/>
      <c r="S467" s="561"/>
      <c r="T467" s="492">
        <v>2</v>
      </c>
    </row>
    <row r="468" spans="1:20" s="492" customFormat="1" ht="48.6">
      <c r="A468" s="1229" t="s">
        <v>309</v>
      </c>
      <c r="B468" s="1206" t="s">
        <v>325</v>
      </c>
      <c r="C468" s="1205">
        <v>26</v>
      </c>
      <c r="D468" s="1216" t="s">
        <v>331</v>
      </c>
      <c r="E468" s="494" t="s">
        <v>136</v>
      </c>
      <c r="F468" s="496" t="s">
        <v>327</v>
      </c>
      <c r="G468" s="494" t="s">
        <v>285</v>
      </c>
      <c r="H468" s="501">
        <v>0</v>
      </c>
      <c r="I468" s="1248">
        <v>46023</v>
      </c>
      <c r="J468" s="1044">
        <f>0.79</f>
        <v>0.79</v>
      </c>
      <c r="K468" s="959">
        <v>27.36</v>
      </c>
      <c r="L468" s="946">
        <f>L419-J468</f>
        <v>33.65</v>
      </c>
      <c r="M468" s="957">
        <v>6.3</v>
      </c>
      <c r="N468" s="943"/>
      <c r="O468" s="961" t="s">
        <v>401</v>
      </c>
      <c r="P468" s="945"/>
      <c r="Q468" s="946"/>
      <c r="R468" s="541"/>
      <c r="S468" s="561"/>
      <c r="T468" s="492">
        <v>0.8</v>
      </c>
    </row>
    <row r="469" spans="1:20" s="492" customFormat="1" ht="64.8">
      <c r="A469" s="1229" t="s">
        <v>309</v>
      </c>
      <c r="B469" s="1206" t="s">
        <v>325</v>
      </c>
      <c r="C469" s="1205">
        <v>27</v>
      </c>
      <c r="D469" s="1216" t="s">
        <v>334</v>
      </c>
      <c r="E469" s="494" t="s">
        <v>38</v>
      </c>
      <c r="F469" s="496" t="s">
        <v>327</v>
      </c>
      <c r="G469" s="494" t="s">
        <v>332</v>
      </c>
      <c r="H469" s="501">
        <v>0</v>
      </c>
      <c r="I469" s="1248">
        <v>46023</v>
      </c>
      <c r="J469" s="958">
        <f t="shared" ref="J469:J470" si="40">IF(H469=0,0,IF(H469="-","-",ROUND(H469/12,2)))</f>
        <v>0</v>
      </c>
      <c r="K469" s="959">
        <v>1</v>
      </c>
      <c r="L469" s="971">
        <f>+J518+J566</f>
        <v>3</v>
      </c>
      <c r="M469" s="957">
        <v>0</v>
      </c>
      <c r="N469" s="943"/>
      <c r="O469" s="1704" t="s">
        <v>437</v>
      </c>
      <c r="P469" s="945"/>
      <c r="Q469" s="946"/>
      <c r="R469" s="541"/>
      <c r="S469" s="561"/>
    </row>
    <row r="470" spans="1:20" s="492" customFormat="1" ht="48.6">
      <c r="A470" s="1229" t="s">
        <v>309</v>
      </c>
      <c r="B470" s="1206" t="s">
        <v>325</v>
      </c>
      <c r="C470" s="1205">
        <v>28</v>
      </c>
      <c r="D470" s="1216" t="s">
        <v>334</v>
      </c>
      <c r="E470" s="494" t="s">
        <v>136</v>
      </c>
      <c r="F470" s="496" t="s">
        <v>327</v>
      </c>
      <c r="G470" s="494" t="s">
        <v>332</v>
      </c>
      <c r="H470" s="501">
        <v>0</v>
      </c>
      <c r="I470" s="1248">
        <v>46023</v>
      </c>
      <c r="J470" s="958">
        <f t="shared" si="40"/>
        <v>0</v>
      </c>
      <c r="K470" s="959">
        <v>1.35</v>
      </c>
      <c r="L470" s="946">
        <f>+J519+J567</f>
        <v>1.6800000000000002</v>
      </c>
      <c r="M470" s="957">
        <v>0</v>
      </c>
      <c r="N470" s="943"/>
      <c r="O470" s="961" t="s">
        <v>402</v>
      </c>
      <c r="P470" s="945"/>
      <c r="Q470" s="946"/>
      <c r="R470" s="541"/>
      <c r="S470" s="561"/>
    </row>
    <row r="471" spans="1:20" s="492" customFormat="1" ht="113.4">
      <c r="A471" s="1229" t="s">
        <v>309</v>
      </c>
      <c r="B471" s="1206" t="s">
        <v>325</v>
      </c>
      <c r="C471" s="1205">
        <v>29</v>
      </c>
      <c r="D471" s="1206" t="s">
        <v>336</v>
      </c>
      <c r="E471" s="494" t="s">
        <v>38</v>
      </c>
      <c r="F471" s="496" t="s">
        <v>316</v>
      </c>
      <c r="G471" s="494" t="s">
        <v>40</v>
      </c>
      <c r="H471" s="501">
        <v>0</v>
      </c>
      <c r="I471" s="1248">
        <v>46023</v>
      </c>
      <c r="J471" s="1577" t="s">
        <v>41</v>
      </c>
      <c r="K471" s="1578" t="s">
        <v>41</v>
      </c>
      <c r="L471" s="971">
        <v>0</v>
      </c>
      <c r="M471" s="972">
        <v>132</v>
      </c>
      <c r="N471" s="943"/>
      <c r="O471" s="961" t="s">
        <v>438</v>
      </c>
      <c r="P471" s="945"/>
      <c r="Q471" s="946"/>
      <c r="R471" s="541"/>
      <c r="S471" s="561"/>
    </row>
    <row r="472" spans="1:20" s="492" customFormat="1" ht="48.6">
      <c r="A472" s="1229" t="s">
        <v>309</v>
      </c>
      <c r="B472" s="1206" t="s">
        <v>325</v>
      </c>
      <c r="C472" s="1205">
        <v>30</v>
      </c>
      <c r="D472" s="1206" t="s">
        <v>336</v>
      </c>
      <c r="E472" s="494" t="s">
        <v>136</v>
      </c>
      <c r="F472" s="496" t="s">
        <v>316</v>
      </c>
      <c r="G472" s="494" t="s">
        <v>40</v>
      </c>
      <c r="H472" s="501">
        <v>0</v>
      </c>
      <c r="I472" s="1248">
        <v>46023</v>
      </c>
      <c r="J472" s="1577" t="s">
        <v>41</v>
      </c>
      <c r="K472" s="1578" t="s">
        <v>41</v>
      </c>
      <c r="L472" s="971">
        <v>0</v>
      </c>
      <c r="M472" s="942">
        <v>12.3</v>
      </c>
      <c r="N472" s="943"/>
      <c r="O472" s="961"/>
      <c r="P472" s="945"/>
      <c r="Q472" s="946"/>
      <c r="R472" s="541"/>
      <c r="S472" s="561"/>
    </row>
    <row r="473" spans="1:20" s="492" customFormat="1" ht="48.6">
      <c r="A473" s="1229" t="s">
        <v>309</v>
      </c>
      <c r="B473" s="1206" t="s">
        <v>325</v>
      </c>
      <c r="C473" s="1205">
        <v>31</v>
      </c>
      <c r="D473" s="1206" t="s">
        <v>338</v>
      </c>
      <c r="E473" s="494" t="s">
        <v>38</v>
      </c>
      <c r="F473" s="496" t="s">
        <v>316</v>
      </c>
      <c r="G473" s="494" t="s">
        <v>40</v>
      </c>
      <c r="H473" s="501">
        <v>0</v>
      </c>
      <c r="I473" s="1248">
        <v>46023</v>
      </c>
      <c r="J473" s="1577" t="s">
        <v>41</v>
      </c>
      <c r="K473" s="1578" t="s">
        <v>41</v>
      </c>
      <c r="L473" s="971">
        <v>0</v>
      </c>
      <c r="M473" s="972">
        <v>98</v>
      </c>
      <c r="N473" s="943"/>
      <c r="O473" s="961" t="s">
        <v>439</v>
      </c>
      <c r="P473" s="945"/>
      <c r="Q473" s="946"/>
      <c r="R473" s="541"/>
      <c r="S473" s="561"/>
    </row>
    <row r="474" spans="1:20" s="492" customFormat="1" ht="48.6">
      <c r="A474" s="1229" t="s">
        <v>309</v>
      </c>
      <c r="B474" s="1206" t="s">
        <v>325</v>
      </c>
      <c r="C474" s="1205">
        <v>32</v>
      </c>
      <c r="D474" s="1206" t="s">
        <v>338</v>
      </c>
      <c r="E474" s="494" t="s">
        <v>136</v>
      </c>
      <c r="F474" s="496" t="s">
        <v>316</v>
      </c>
      <c r="G474" s="494" t="s">
        <v>40</v>
      </c>
      <c r="H474" s="501">
        <v>0</v>
      </c>
      <c r="I474" s="1248">
        <v>46023</v>
      </c>
      <c r="J474" s="1577" t="s">
        <v>41</v>
      </c>
      <c r="K474" s="1578" t="s">
        <v>41</v>
      </c>
      <c r="L474" s="971">
        <v>0</v>
      </c>
      <c r="M474" s="942">
        <v>61.71</v>
      </c>
      <c r="N474" s="943"/>
      <c r="O474" s="961"/>
      <c r="P474" s="945"/>
      <c r="Q474" s="946"/>
      <c r="R474" s="541"/>
      <c r="S474" s="561"/>
    </row>
    <row r="475" spans="1:20" s="492" customFormat="1" ht="48.6">
      <c r="A475" s="1229" t="s">
        <v>309</v>
      </c>
      <c r="B475" s="1206" t="s">
        <v>325</v>
      </c>
      <c r="C475" s="1205">
        <v>33</v>
      </c>
      <c r="D475" s="1206" t="s">
        <v>339</v>
      </c>
      <c r="E475" s="494" t="s">
        <v>133</v>
      </c>
      <c r="F475" s="496" t="s">
        <v>340</v>
      </c>
      <c r="G475" s="494" t="s">
        <v>341</v>
      </c>
      <c r="H475" s="502">
        <v>5.0000000000000001E-3</v>
      </c>
      <c r="I475" s="1248">
        <v>46023</v>
      </c>
      <c r="J475" s="958" t="s">
        <v>41</v>
      </c>
      <c r="K475" s="959" t="s">
        <v>41</v>
      </c>
      <c r="L475" s="993">
        <v>-5.0000000000000001E-3</v>
      </c>
      <c r="M475" s="975">
        <v>-5.7400000000000003E-3</v>
      </c>
      <c r="N475" s="943"/>
      <c r="O475" s="944"/>
      <c r="P475" s="945"/>
      <c r="Q475" s="946"/>
      <c r="R475" s="541"/>
      <c r="S475" s="561"/>
    </row>
    <row r="476" spans="1:20" s="492" customFormat="1" ht="48.6">
      <c r="A476" s="1229" t="s">
        <v>309</v>
      </c>
      <c r="B476" s="1206" t="s">
        <v>325</v>
      </c>
      <c r="C476" s="1205">
        <v>34</v>
      </c>
      <c r="D476" s="1206" t="s">
        <v>339</v>
      </c>
      <c r="E476" s="494" t="s">
        <v>136</v>
      </c>
      <c r="F476" s="496" t="s">
        <v>340</v>
      </c>
      <c r="G476" s="494" t="s">
        <v>341</v>
      </c>
      <c r="H476" s="503" t="s">
        <v>41</v>
      </c>
      <c r="I476" s="1248">
        <v>46023</v>
      </c>
      <c r="J476" s="955" t="str">
        <f>IF(H476=0,0,IF(H476="-","-",ROUND(H476/12,2)))</f>
        <v>-</v>
      </c>
      <c r="K476" s="959" t="s">
        <v>41</v>
      </c>
      <c r="L476" s="962" t="s">
        <v>41</v>
      </c>
      <c r="M476" s="959">
        <v>-9.1999999999999993</v>
      </c>
      <c r="N476" s="943"/>
      <c r="O476" s="944"/>
      <c r="P476" s="945"/>
      <c r="Q476" s="946"/>
      <c r="R476" s="541"/>
      <c r="S476" s="561"/>
    </row>
    <row r="477" spans="1:20" s="492" customFormat="1" ht="48.6">
      <c r="A477" s="1229" t="s">
        <v>309</v>
      </c>
      <c r="B477" s="1206" t="s">
        <v>325</v>
      </c>
      <c r="C477" s="1205">
        <v>35</v>
      </c>
      <c r="D477" s="1206" t="s">
        <v>342</v>
      </c>
      <c r="E477" s="494" t="s">
        <v>133</v>
      </c>
      <c r="F477" s="496" t="s">
        <v>106</v>
      </c>
      <c r="G477" s="494" t="s">
        <v>285</v>
      </c>
      <c r="H477" s="504">
        <v>3.5000000000000003E-2</v>
      </c>
      <c r="I477" s="1248">
        <v>46023</v>
      </c>
      <c r="J477" s="974">
        <v>3.5200000000000002E-2</v>
      </c>
      <c r="K477" s="2441">
        <v>3.0499999999999999E-2</v>
      </c>
      <c r="L477" s="2441">
        <f>J477</f>
        <v>3.5200000000000002E-2</v>
      </c>
      <c r="M477" s="2441">
        <v>3.0499999999999999E-2</v>
      </c>
      <c r="N477" s="943"/>
      <c r="O477" s="944"/>
      <c r="P477" s="945"/>
      <c r="Q477" s="946"/>
      <c r="R477" s="541"/>
      <c r="S477" s="561"/>
    </row>
    <row r="478" spans="1:20" s="492" customFormat="1" ht="48.6">
      <c r="A478" s="1229" t="s">
        <v>309</v>
      </c>
      <c r="B478" s="1206" t="s">
        <v>325</v>
      </c>
      <c r="C478" s="1205">
        <v>36</v>
      </c>
      <c r="D478" s="1206" t="s">
        <v>342</v>
      </c>
      <c r="E478" s="494" t="s">
        <v>136</v>
      </c>
      <c r="F478" s="496" t="s">
        <v>106</v>
      </c>
      <c r="G478" s="494" t="s">
        <v>285</v>
      </c>
      <c r="H478" s="506">
        <v>642.05999999999995</v>
      </c>
      <c r="I478" s="1248">
        <v>46023</v>
      </c>
      <c r="J478" s="955">
        <v>645.76</v>
      </c>
      <c r="K478" s="959">
        <v>583.44000000000005</v>
      </c>
      <c r="L478" s="946">
        <f>J478</f>
        <v>645.76</v>
      </c>
      <c r="M478" s="981">
        <v>583.44000000000005</v>
      </c>
      <c r="N478" s="943"/>
      <c r="O478" s="944"/>
      <c r="P478" s="945"/>
      <c r="Q478" s="946"/>
      <c r="R478" s="541"/>
      <c r="S478" s="561"/>
    </row>
    <row r="479" spans="1:20" s="492" customFormat="1" ht="48.6">
      <c r="A479" s="1229" t="s">
        <v>309</v>
      </c>
      <c r="B479" s="1206" t="s">
        <v>325</v>
      </c>
      <c r="C479" s="1205">
        <v>37</v>
      </c>
      <c r="D479" s="1206" t="s">
        <v>343</v>
      </c>
      <c r="E479" s="494" t="s">
        <v>38</v>
      </c>
      <c r="F479" s="496" t="s">
        <v>105</v>
      </c>
      <c r="G479" s="494"/>
      <c r="H479" s="500" t="s">
        <v>41</v>
      </c>
      <c r="I479" s="1248">
        <v>46023</v>
      </c>
      <c r="J479" s="955" t="s">
        <v>41</v>
      </c>
      <c r="K479" s="959"/>
      <c r="L479" s="946"/>
      <c r="M479" s="957"/>
      <c r="N479" s="943"/>
      <c r="O479" s="944"/>
      <c r="P479" s="945"/>
      <c r="Q479" s="946"/>
      <c r="R479" s="541"/>
      <c r="S479" s="561"/>
    </row>
    <row r="480" spans="1:20" s="492" customFormat="1" ht="81">
      <c r="A480" s="1229" t="s">
        <v>309</v>
      </c>
      <c r="B480" s="1206" t="s">
        <v>325</v>
      </c>
      <c r="C480" s="1205">
        <v>38</v>
      </c>
      <c r="D480" s="1206" t="s">
        <v>343</v>
      </c>
      <c r="E480" s="494" t="s">
        <v>136</v>
      </c>
      <c r="F480" s="496" t="s">
        <v>105</v>
      </c>
      <c r="G480" s="494"/>
      <c r="H480" s="505">
        <f>84578725.86/10^6</f>
        <v>84.578725860000006</v>
      </c>
      <c r="I480" s="1248">
        <v>46023</v>
      </c>
      <c r="J480" s="955">
        <f>2272914.6/10^6</f>
        <v>2.2729146</v>
      </c>
      <c r="K480" s="955">
        <f>7043539.41/10^6</f>
        <v>7.0435394100000002</v>
      </c>
      <c r="L480" s="946">
        <f>L431+J480</f>
        <v>80.032896660000006</v>
      </c>
      <c r="M480" s="957">
        <f>M431+K480</f>
        <v>82.847969509999984</v>
      </c>
      <c r="N480" s="943"/>
      <c r="O480" s="961" t="s">
        <v>440</v>
      </c>
      <c r="P480" s="973" t="s">
        <v>430</v>
      </c>
      <c r="Q480" s="946"/>
      <c r="R480" s="541"/>
      <c r="S480" s="561"/>
    </row>
    <row r="481" spans="1:19" s="492" customFormat="1" ht="48.6">
      <c r="A481" s="1229" t="s">
        <v>309</v>
      </c>
      <c r="B481" s="1206" t="s">
        <v>325</v>
      </c>
      <c r="C481" s="1205">
        <v>39</v>
      </c>
      <c r="D481" s="1206" t="s">
        <v>344</v>
      </c>
      <c r="E481" s="494" t="s">
        <v>136</v>
      </c>
      <c r="F481" s="496" t="s">
        <v>110</v>
      </c>
      <c r="G481" s="494" t="s">
        <v>345</v>
      </c>
      <c r="H481" s="500">
        <v>3.17</v>
      </c>
      <c r="I481" s="1248">
        <v>46023</v>
      </c>
      <c r="J481" s="977" t="s">
        <v>41</v>
      </c>
      <c r="K481" s="959" t="s">
        <v>41</v>
      </c>
      <c r="L481" s="962">
        <v>3.17</v>
      </c>
      <c r="M481" s="957">
        <v>0.77</v>
      </c>
      <c r="N481" s="943"/>
      <c r="O481" s="944"/>
      <c r="P481" s="945"/>
      <c r="Q481" s="946"/>
      <c r="R481" s="541"/>
      <c r="S481" s="561"/>
    </row>
    <row r="482" spans="1:19" s="492" customFormat="1" ht="48.6">
      <c r="A482" s="1229" t="s">
        <v>309</v>
      </c>
      <c r="B482" s="1206" t="s">
        <v>325</v>
      </c>
      <c r="C482" s="1205">
        <v>40</v>
      </c>
      <c r="D482" s="1206" t="s">
        <v>346</v>
      </c>
      <c r="E482" s="494" t="s">
        <v>136</v>
      </c>
      <c r="F482" s="496" t="s">
        <v>110</v>
      </c>
      <c r="G482" s="494" t="s">
        <v>345</v>
      </c>
      <c r="H482" s="500">
        <v>5.84</v>
      </c>
      <c r="I482" s="1248">
        <v>46023</v>
      </c>
      <c r="J482" s="977" t="s">
        <v>41</v>
      </c>
      <c r="K482" s="959" t="s">
        <v>41</v>
      </c>
      <c r="L482" s="962">
        <v>5.84</v>
      </c>
      <c r="M482" s="957">
        <v>5.25</v>
      </c>
      <c r="N482" s="943"/>
      <c r="O482" s="944"/>
      <c r="P482" s="945"/>
      <c r="Q482" s="946"/>
      <c r="R482" s="541"/>
      <c r="S482" s="561"/>
    </row>
    <row r="483" spans="1:19" s="492" customFormat="1" ht="48.6">
      <c r="A483" s="1229" t="s">
        <v>309</v>
      </c>
      <c r="B483" s="1206" t="s">
        <v>325</v>
      </c>
      <c r="C483" s="1205">
        <v>41</v>
      </c>
      <c r="D483" s="1206" t="s">
        <v>347</v>
      </c>
      <c r="E483" s="494" t="s">
        <v>38</v>
      </c>
      <c r="F483" s="496" t="s">
        <v>106</v>
      </c>
      <c r="G483" s="494" t="s">
        <v>285</v>
      </c>
      <c r="H483" s="500" t="s">
        <v>41</v>
      </c>
      <c r="I483" s="1248">
        <v>46023</v>
      </c>
      <c r="J483" s="955" t="s">
        <v>41</v>
      </c>
      <c r="K483" s="959" t="s">
        <v>41</v>
      </c>
      <c r="L483" s="946" t="s">
        <v>41</v>
      </c>
      <c r="M483" s="957" t="s">
        <v>41</v>
      </c>
      <c r="N483" s="943"/>
      <c r="O483" s="944"/>
      <c r="P483" s="945"/>
      <c r="Q483" s="946"/>
      <c r="R483" s="541"/>
      <c r="S483" s="561"/>
    </row>
    <row r="484" spans="1:19" s="492" customFormat="1" ht="48.6">
      <c r="A484" s="1229" t="s">
        <v>309</v>
      </c>
      <c r="B484" s="1206" t="s">
        <v>325</v>
      </c>
      <c r="C484" s="1205">
        <v>42</v>
      </c>
      <c r="D484" s="1206" t="s">
        <v>347</v>
      </c>
      <c r="E484" s="494" t="s">
        <v>136</v>
      </c>
      <c r="F484" s="496" t="s">
        <v>106</v>
      </c>
      <c r="G484" s="494" t="s">
        <v>285</v>
      </c>
      <c r="H484" s="506">
        <v>155.07</v>
      </c>
      <c r="I484" s="1248">
        <v>46023</v>
      </c>
      <c r="J484" s="955"/>
      <c r="K484" s="959"/>
      <c r="L484" s="946">
        <v>160.61000000000001</v>
      </c>
      <c r="M484" s="981">
        <v>148.69999999999999</v>
      </c>
      <c r="N484" s="943"/>
      <c r="O484" s="944"/>
      <c r="P484" s="945"/>
      <c r="Q484" s="946"/>
      <c r="R484" s="541"/>
      <c r="S484" s="561"/>
    </row>
    <row r="485" spans="1:19" s="492" customFormat="1" ht="48.6">
      <c r="A485" s="1229" t="s">
        <v>309</v>
      </c>
      <c r="B485" s="1206" t="s">
        <v>325</v>
      </c>
      <c r="C485" s="1205">
        <v>43</v>
      </c>
      <c r="D485" s="1206" t="s">
        <v>349</v>
      </c>
      <c r="E485" s="494" t="s">
        <v>136</v>
      </c>
      <c r="F485" s="496" t="s">
        <v>340</v>
      </c>
      <c r="G485" s="494" t="s">
        <v>134</v>
      </c>
      <c r="H485" s="500">
        <v>5.4</v>
      </c>
      <c r="I485" s="1248">
        <v>46023</v>
      </c>
      <c r="J485" s="955" t="s">
        <v>41</v>
      </c>
      <c r="K485" s="959" t="s">
        <v>41</v>
      </c>
      <c r="L485" s="946" t="s">
        <v>41</v>
      </c>
      <c r="M485" s="957" t="s">
        <v>41</v>
      </c>
      <c r="N485" s="943"/>
      <c r="O485" s="944"/>
      <c r="P485" s="945"/>
      <c r="Q485" s="946"/>
      <c r="R485" s="541"/>
      <c r="S485" s="561"/>
    </row>
    <row r="486" spans="1:19" s="492" customFormat="1" ht="48.6">
      <c r="A486" s="1229" t="s">
        <v>309</v>
      </c>
      <c r="B486" s="1206" t="s">
        <v>325</v>
      </c>
      <c r="C486" s="1205">
        <v>44</v>
      </c>
      <c r="D486" s="1206" t="s">
        <v>350</v>
      </c>
      <c r="E486" s="494" t="s">
        <v>38</v>
      </c>
      <c r="F486" s="496" t="s">
        <v>106</v>
      </c>
      <c r="G486" s="494" t="s">
        <v>134</v>
      </c>
      <c r="H486" s="500" t="s">
        <v>41</v>
      </c>
      <c r="I486" s="1248">
        <v>46023</v>
      </c>
      <c r="J486" s="955" t="s">
        <v>41</v>
      </c>
      <c r="K486" s="959" t="s">
        <v>41</v>
      </c>
      <c r="L486" s="946" t="s">
        <v>41</v>
      </c>
      <c r="M486" s="957" t="s">
        <v>41</v>
      </c>
      <c r="N486" s="943"/>
      <c r="O486" s="944" t="s">
        <v>361</v>
      </c>
      <c r="P486" s="945"/>
      <c r="Q486" s="946"/>
      <c r="R486" s="541"/>
      <c r="S486" s="561"/>
    </row>
    <row r="487" spans="1:19" s="492" customFormat="1" ht="48.6">
      <c r="A487" s="1229" t="s">
        <v>309</v>
      </c>
      <c r="B487" s="1206" t="s">
        <v>325</v>
      </c>
      <c r="C487" s="1205">
        <v>45</v>
      </c>
      <c r="D487" s="1206" t="s">
        <v>350</v>
      </c>
      <c r="E487" s="494" t="s">
        <v>136</v>
      </c>
      <c r="F487" s="496" t="s">
        <v>106</v>
      </c>
      <c r="G487" s="494" t="s">
        <v>134</v>
      </c>
      <c r="H487" s="506">
        <v>3</v>
      </c>
      <c r="I487" s="1248">
        <v>46023</v>
      </c>
      <c r="J487" s="955" t="s">
        <v>41</v>
      </c>
      <c r="K487" s="959" t="s">
        <v>41</v>
      </c>
      <c r="L487" s="946" t="s">
        <v>41</v>
      </c>
      <c r="M487" s="957" t="s">
        <v>41</v>
      </c>
      <c r="N487" s="943"/>
      <c r="O487" s="944" t="s">
        <v>361</v>
      </c>
      <c r="P487" s="945"/>
      <c r="Q487" s="946"/>
      <c r="R487" s="541"/>
      <c r="S487" s="561"/>
    </row>
    <row r="488" spans="1:19" s="492" customFormat="1" ht="30.9" customHeight="1">
      <c r="A488" s="1229" t="s">
        <v>309</v>
      </c>
      <c r="B488" s="1221" t="s">
        <v>351</v>
      </c>
      <c r="C488" s="1205">
        <v>46</v>
      </c>
      <c r="D488" s="1227" t="s">
        <v>352</v>
      </c>
      <c r="E488" s="494" t="s">
        <v>353</v>
      </c>
      <c r="F488" s="496" t="s">
        <v>312</v>
      </c>
      <c r="G488" s="497" t="s">
        <v>40</v>
      </c>
      <c r="H488" s="500">
        <v>1.2</v>
      </c>
      <c r="I488" s="1248">
        <v>46023</v>
      </c>
      <c r="J488" s="955" t="s">
        <v>41</v>
      </c>
      <c r="K488" s="959" t="s">
        <v>41</v>
      </c>
      <c r="L488" s="962" t="s">
        <v>41</v>
      </c>
      <c r="M488" s="957" t="s">
        <v>41</v>
      </c>
      <c r="N488" s="943"/>
      <c r="O488" s="944"/>
      <c r="P488" s="945"/>
      <c r="Q488" s="946"/>
      <c r="R488" s="541"/>
      <c r="S488" s="561"/>
    </row>
    <row r="489" spans="1:19" s="492" customFormat="1" ht="48.6">
      <c r="A489" s="1229" t="s">
        <v>309</v>
      </c>
      <c r="B489" s="1221" t="s">
        <v>354</v>
      </c>
      <c r="C489" s="1205">
        <v>47</v>
      </c>
      <c r="D489" s="1221" t="s">
        <v>355</v>
      </c>
      <c r="E489" s="494" t="s">
        <v>353</v>
      </c>
      <c r="F489" s="496" t="s">
        <v>327</v>
      </c>
      <c r="G489" s="497" t="s">
        <v>40</v>
      </c>
      <c r="H489" s="501">
        <v>0</v>
      </c>
      <c r="I489" s="1248">
        <v>46023</v>
      </c>
      <c r="J489" s="955" t="s">
        <v>41</v>
      </c>
      <c r="K489" s="959" t="s">
        <v>41</v>
      </c>
      <c r="L489" s="960">
        <v>0</v>
      </c>
      <c r="M489" s="957">
        <v>4.71</v>
      </c>
      <c r="N489" s="943"/>
      <c r="O489" s="944"/>
      <c r="P489" s="945"/>
      <c r="Q489" s="946"/>
      <c r="R489" s="541"/>
      <c r="S489" s="561"/>
    </row>
    <row r="490" spans="1:19" s="492" customFormat="1" ht="48.6">
      <c r="A490" s="1229" t="s">
        <v>309</v>
      </c>
      <c r="B490" s="1221" t="s">
        <v>356</v>
      </c>
      <c r="C490" s="1205">
        <v>48</v>
      </c>
      <c r="D490" s="1221" t="s">
        <v>355</v>
      </c>
      <c r="E490" s="494" t="s">
        <v>353</v>
      </c>
      <c r="F490" s="496" t="s">
        <v>321</v>
      </c>
      <c r="G490" s="497" t="s">
        <v>40</v>
      </c>
      <c r="H490" s="501">
        <v>0</v>
      </c>
      <c r="I490" s="1248">
        <v>46023</v>
      </c>
      <c r="J490" s="955" t="s">
        <v>41</v>
      </c>
      <c r="K490" s="959" t="s">
        <v>41</v>
      </c>
      <c r="L490" s="960">
        <v>0</v>
      </c>
      <c r="M490" s="957">
        <v>0</v>
      </c>
      <c r="N490" s="943"/>
      <c r="O490" s="944"/>
      <c r="P490" s="945"/>
      <c r="Q490" s="946"/>
      <c r="R490" s="541"/>
      <c r="S490" s="561"/>
    </row>
    <row r="491" spans="1:19" s="492" customFormat="1" ht="48.6">
      <c r="A491" s="1229" t="s">
        <v>309</v>
      </c>
      <c r="B491" s="1230" t="s">
        <v>357</v>
      </c>
      <c r="C491" s="1205">
        <v>49</v>
      </c>
      <c r="D491" s="1216" t="s">
        <v>41</v>
      </c>
      <c r="E491" s="494" t="s">
        <v>38</v>
      </c>
      <c r="F491" s="496" t="s">
        <v>312</v>
      </c>
      <c r="G491" s="497" t="s">
        <v>41</v>
      </c>
      <c r="H491" s="501"/>
      <c r="I491" s="1248">
        <v>46023</v>
      </c>
      <c r="J491" s="955">
        <v>20</v>
      </c>
      <c r="K491" s="959">
        <v>13</v>
      </c>
      <c r="L491" s="2442">
        <f>J491+L442</f>
        <v>241</v>
      </c>
      <c r="M491" s="2433">
        <f>K491+M442</f>
        <v>198</v>
      </c>
      <c r="N491" s="943"/>
      <c r="O491" s="944"/>
      <c r="P491" s="945"/>
      <c r="Q491" s="946"/>
      <c r="R491" s="541"/>
      <c r="S491" s="561"/>
    </row>
    <row r="492" spans="1:19" s="492" customFormat="1" ht="48.6">
      <c r="A492" s="1229" t="s">
        <v>309</v>
      </c>
      <c r="B492" s="1221" t="s">
        <v>310</v>
      </c>
      <c r="C492" s="1205">
        <v>1</v>
      </c>
      <c r="D492" s="1206" t="s">
        <v>311</v>
      </c>
      <c r="E492" s="494" t="s">
        <v>38</v>
      </c>
      <c r="F492" s="496" t="s">
        <v>312</v>
      </c>
      <c r="G492" s="494" t="s">
        <v>40</v>
      </c>
      <c r="H492" s="500">
        <v>0</v>
      </c>
      <c r="I492" s="1248">
        <v>46054</v>
      </c>
      <c r="J492" s="958">
        <f>IF(H492=0,0,IF(H492="-","-",ROUND(H492/12,2)))</f>
        <v>0</v>
      </c>
      <c r="K492" s="956">
        <v>0</v>
      </c>
      <c r="L492" s="2443">
        <v>0</v>
      </c>
      <c r="M492" s="966">
        <v>5</v>
      </c>
      <c r="N492" s="943"/>
      <c r="O492" s="944"/>
      <c r="P492" s="945"/>
      <c r="Q492" s="946"/>
      <c r="R492" s="541"/>
      <c r="S492" s="561"/>
    </row>
    <row r="493" spans="1:19" s="492" customFormat="1" ht="48.6">
      <c r="A493" s="1229" t="s">
        <v>309</v>
      </c>
      <c r="B493" s="1221" t="s">
        <v>310</v>
      </c>
      <c r="C493" s="1205">
        <v>2</v>
      </c>
      <c r="D493" s="1206" t="s">
        <v>313</v>
      </c>
      <c r="E493" s="494" t="s">
        <v>38</v>
      </c>
      <c r="F493" s="496" t="s">
        <v>312</v>
      </c>
      <c r="G493" s="494" t="s">
        <v>40</v>
      </c>
      <c r="H493" s="500">
        <v>9</v>
      </c>
      <c r="I493" s="1248">
        <v>46054</v>
      </c>
      <c r="J493" s="958">
        <f>IF(H493=0,0,IF(H493="-","-",ROUND(H493/12,2)))</f>
        <v>0.75</v>
      </c>
      <c r="K493" s="956">
        <v>0</v>
      </c>
      <c r="L493" s="971">
        <v>0</v>
      </c>
      <c r="M493" s="972">
        <v>3</v>
      </c>
      <c r="N493" s="943"/>
      <c r="O493" s="944"/>
      <c r="P493" s="945"/>
      <c r="Q493" s="946"/>
      <c r="R493" s="541"/>
      <c r="S493" s="561"/>
    </row>
    <row r="494" spans="1:19" s="492" customFormat="1" ht="48.6">
      <c r="A494" s="1229" t="s">
        <v>309</v>
      </c>
      <c r="B494" s="1221" t="s">
        <v>310</v>
      </c>
      <c r="C494" s="1205">
        <v>3</v>
      </c>
      <c r="D494" s="1206" t="s">
        <v>314</v>
      </c>
      <c r="E494" s="494" t="s">
        <v>38</v>
      </c>
      <c r="F494" s="496" t="s">
        <v>312</v>
      </c>
      <c r="G494" s="494" t="s">
        <v>40</v>
      </c>
      <c r="H494" s="500">
        <v>0</v>
      </c>
      <c r="I494" s="1248">
        <v>46054</v>
      </c>
      <c r="J494" s="958">
        <f>IF(H494=0,0,IF(H494="-","-",ROUND(H494/12,2)))</f>
        <v>0</v>
      </c>
      <c r="K494" s="956">
        <v>0</v>
      </c>
      <c r="L494" s="971">
        <v>0</v>
      </c>
      <c r="M494" s="2431">
        <f>K494+M445</f>
        <v>1</v>
      </c>
      <c r="N494" s="943"/>
      <c r="O494" s="944"/>
      <c r="P494" s="945"/>
      <c r="Q494" s="946"/>
      <c r="R494" s="541"/>
      <c r="S494" s="561"/>
    </row>
    <row r="495" spans="1:19" s="492" customFormat="1" ht="48.6">
      <c r="A495" s="1229" t="s">
        <v>309</v>
      </c>
      <c r="B495" s="1221" t="s">
        <v>310</v>
      </c>
      <c r="C495" s="1205">
        <v>4</v>
      </c>
      <c r="D495" s="1206" t="s">
        <v>315</v>
      </c>
      <c r="E495" s="494" t="s">
        <v>38</v>
      </c>
      <c r="F495" s="496" t="s">
        <v>316</v>
      </c>
      <c r="G495" s="494" t="s">
        <v>40</v>
      </c>
      <c r="H495" s="500">
        <v>281</v>
      </c>
      <c r="I495" s="1248">
        <v>46054</v>
      </c>
      <c r="J495" s="958">
        <v>18</v>
      </c>
      <c r="K495" s="956">
        <v>6</v>
      </c>
      <c r="L495" s="971">
        <f>J495+L446</f>
        <v>233</v>
      </c>
      <c r="M495" s="972">
        <v>197</v>
      </c>
      <c r="N495" s="943"/>
      <c r="O495" s="944"/>
      <c r="P495" s="945"/>
      <c r="Q495" s="946"/>
      <c r="R495" s="541"/>
      <c r="S495" s="561"/>
    </row>
    <row r="496" spans="1:19" s="492" customFormat="1" ht="48.6">
      <c r="A496" s="1229" t="s">
        <v>309</v>
      </c>
      <c r="B496" s="1221" t="s">
        <v>310</v>
      </c>
      <c r="C496" s="1205">
        <v>5</v>
      </c>
      <c r="D496" s="1206" t="s">
        <v>315</v>
      </c>
      <c r="E496" s="494" t="s">
        <v>136</v>
      </c>
      <c r="F496" s="496" t="s">
        <v>316</v>
      </c>
      <c r="G496" s="494" t="s">
        <v>40</v>
      </c>
      <c r="H496" s="500">
        <v>117</v>
      </c>
      <c r="I496" s="1248">
        <v>46054</v>
      </c>
      <c r="J496" s="939">
        <v>3.95</v>
      </c>
      <c r="K496" s="959">
        <v>1.327</v>
      </c>
      <c r="L496" s="971">
        <f>J496+L447</f>
        <v>92.109000000000009</v>
      </c>
      <c r="M496" s="942">
        <v>58.618000000000002</v>
      </c>
      <c r="N496" s="943"/>
      <c r="O496" s="944"/>
      <c r="P496" s="945"/>
      <c r="Q496" s="946"/>
      <c r="R496" s="541"/>
      <c r="S496" s="561"/>
    </row>
    <row r="497" spans="1:19" s="492" customFormat="1" ht="76.5" customHeight="1">
      <c r="A497" s="1229" t="s">
        <v>309</v>
      </c>
      <c r="B497" s="1221" t="s">
        <v>310</v>
      </c>
      <c r="C497" s="1205">
        <v>6</v>
      </c>
      <c r="D497" s="1206" t="s">
        <v>317</v>
      </c>
      <c r="E497" s="494" t="s">
        <v>38</v>
      </c>
      <c r="F497" s="496" t="s">
        <v>316</v>
      </c>
      <c r="G497" s="494" t="s">
        <v>40</v>
      </c>
      <c r="H497" s="500">
        <v>0</v>
      </c>
      <c r="I497" s="1248">
        <v>46054</v>
      </c>
      <c r="J497" s="958">
        <f>IF(H497=0,0,IF(H497="-","-",ROUND(H497/12,2)))</f>
        <v>0</v>
      </c>
      <c r="K497" s="959">
        <v>0</v>
      </c>
      <c r="L497" s="971">
        <v>0</v>
      </c>
      <c r="M497" s="957">
        <v>0</v>
      </c>
      <c r="N497" s="943"/>
      <c r="O497" s="961"/>
      <c r="P497" s="945"/>
      <c r="Q497" s="946"/>
      <c r="R497" s="541"/>
      <c r="S497" s="561"/>
    </row>
    <row r="498" spans="1:19" s="492" customFormat="1" ht="48.6">
      <c r="A498" s="1229" t="s">
        <v>309</v>
      </c>
      <c r="B498" s="1221" t="s">
        <v>310</v>
      </c>
      <c r="C498" s="1205">
        <v>7</v>
      </c>
      <c r="D498" s="1206" t="s">
        <v>317</v>
      </c>
      <c r="E498" s="494" t="s">
        <v>136</v>
      </c>
      <c r="F498" s="496" t="s">
        <v>316</v>
      </c>
      <c r="G498" s="494" t="s">
        <v>40</v>
      </c>
      <c r="H498" s="500">
        <v>0</v>
      </c>
      <c r="I498" s="1248">
        <v>46054</v>
      </c>
      <c r="J498" s="958">
        <f>IF(H498=0,0,IF(H498="-","-",ROUND(H498/12,2)))</f>
        <v>0</v>
      </c>
      <c r="K498" s="959">
        <v>0</v>
      </c>
      <c r="L498" s="971">
        <v>0</v>
      </c>
      <c r="M498" s="957">
        <v>0</v>
      </c>
      <c r="N498" s="943"/>
      <c r="O498" s="944"/>
      <c r="P498" s="945"/>
      <c r="Q498" s="946"/>
      <c r="R498" s="541"/>
      <c r="S498" s="561"/>
    </row>
    <row r="499" spans="1:19" s="492" customFormat="1" ht="48.6">
      <c r="A499" s="1229" t="s">
        <v>309</v>
      </c>
      <c r="B499" s="1221" t="s">
        <v>310</v>
      </c>
      <c r="C499" s="1205">
        <v>8</v>
      </c>
      <c r="D499" s="1206" t="s">
        <v>318</v>
      </c>
      <c r="E499" s="494" t="s">
        <v>38</v>
      </c>
      <c r="F499" s="496" t="s">
        <v>316</v>
      </c>
      <c r="G499" s="494" t="s">
        <v>40</v>
      </c>
      <c r="H499" s="500">
        <v>195</v>
      </c>
      <c r="I499" s="1248">
        <v>46054</v>
      </c>
      <c r="J499" s="958">
        <v>8</v>
      </c>
      <c r="K499" s="956">
        <v>8</v>
      </c>
      <c r="L499" s="946">
        <f>J499+L450</f>
        <v>172</v>
      </c>
      <c r="M499" s="957">
        <v>72</v>
      </c>
      <c r="N499" s="943"/>
      <c r="O499" s="944"/>
      <c r="P499" s="945"/>
      <c r="Q499" s="946"/>
      <c r="R499" s="541"/>
      <c r="S499" s="561"/>
    </row>
    <row r="500" spans="1:19" s="492" customFormat="1" ht="48.6">
      <c r="A500" s="1229" t="s">
        <v>309</v>
      </c>
      <c r="B500" s="1221" t="s">
        <v>310</v>
      </c>
      <c r="C500" s="1205">
        <v>9</v>
      </c>
      <c r="D500" s="1206" t="s">
        <v>318</v>
      </c>
      <c r="E500" s="494" t="s">
        <v>136</v>
      </c>
      <c r="F500" s="496" t="s">
        <v>316</v>
      </c>
      <c r="G500" s="494" t="s">
        <v>40</v>
      </c>
      <c r="H500" s="645">
        <v>313</v>
      </c>
      <c r="I500" s="1248">
        <v>46054</v>
      </c>
      <c r="J500" s="955">
        <v>8.2739999999999991</v>
      </c>
      <c r="K500" s="959">
        <v>7.2619999999999996</v>
      </c>
      <c r="L500" s="946">
        <f>J500+L451</f>
        <v>281.26100000000002</v>
      </c>
      <c r="M500" s="957">
        <v>69.426000000000002</v>
      </c>
      <c r="N500" s="943"/>
      <c r="O500" s="944"/>
      <c r="P500" s="945"/>
      <c r="Q500" s="946"/>
      <c r="R500" s="541"/>
      <c r="S500" s="561"/>
    </row>
    <row r="501" spans="1:19" s="492" customFormat="1" ht="48.6">
      <c r="A501" s="1229" t="s">
        <v>309</v>
      </c>
      <c r="B501" s="1221" t="s">
        <v>319</v>
      </c>
      <c r="C501" s="1205">
        <v>10</v>
      </c>
      <c r="D501" s="1206" t="s">
        <v>320</v>
      </c>
      <c r="E501" s="494" t="s">
        <v>38</v>
      </c>
      <c r="F501" s="496" t="s">
        <v>321</v>
      </c>
      <c r="G501" s="494" t="s">
        <v>40</v>
      </c>
      <c r="H501" s="500">
        <v>0</v>
      </c>
      <c r="I501" s="1248">
        <v>46054</v>
      </c>
      <c r="J501" s="958">
        <f t="shared" ref="J501:J503" si="41">IF(H501=0,0,IF(H501="-","-",ROUND(H501/12,2)))</f>
        <v>0</v>
      </c>
      <c r="K501" s="959">
        <v>0</v>
      </c>
      <c r="L501" s="971">
        <v>0</v>
      </c>
      <c r="M501" s="957">
        <v>0</v>
      </c>
      <c r="N501" s="943"/>
      <c r="O501" s="944"/>
      <c r="P501" s="945"/>
      <c r="Q501" s="946"/>
      <c r="R501" s="541"/>
      <c r="S501" s="561"/>
    </row>
    <row r="502" spans="1:19" s="492" customFormat="1" ht="48.6">
      <c r="A502" s="1229" t="s">
        <v>309</v>
      </c>
      <c r="B502" s="1221" t="s">
        <v>319</v>
      </c>
      <c r="C502" s="1205">
        <v>11</v>
      </c>
      <c r="D502" s="1206" t="s">
        <v>322</v>
      </c>
      <c r="E502" s="494" t="s">
        <v>38</v>
      </c>
      <c r="F502" s="496" t="s">
        <v>321</v>
      </c>
      <c r="G502" s="494" t="s">
        <v>40</v>
      </c>
      <c r="H502" s="500">
        <v>0</v>
      </c>
      <c r="I502" s="1248">
        <v>46054</v>
      </c>
      <c r="J502" s="958">
        <f t="shared" si="41"/>
        <v>0</v>
      </c>
      <c r="K502" s="959">
        <v>0</v>
      </c>
      <c r="L502" s="971">
        <v>0</v>
      </c>
      <c r="M502" s="957">
        <v>0</v>
      </c>
      <c r="N502" s="943"/>
      <c r="O502" s="944"/>
      <c r="P502" s="945"/>
      <c r="Q502" s="946"/>
      <c r="R502" s="541"/>
      <c r="S502" s="561"/>
    </row>
    <row r="503" spans="1:19" s="492" customFormat="1" ht="48.6">
      <c r="A503" s="1229" t="s">
        <v>309</v>
      </c>
      <c r="B503" s="1221" t="s">
        <v>319</v>
      </c>
      <c r="C503" s="1205">
        <v>12</v>
      </c>
      <c r="D503" s="1206" t="s">
        <v>313</v>
      </c>
      <c r="E503" s="494" t="s">
        <v>38</v>
      </c>
      <c r="F503" s="496" t="s">
        <v>321</v>
      </c>
      <c r="G503" s="494" t="s">
        <v>40</v>
      </c>
      <c r="H503" s="500">
        <v>0</v>
      </c>
      <c r="I503" s="1248">
        <v>46054</v>
      </c>
      <c r="J503" s="958">
        <f t="shared" si="41"/>
        <v>0</v>
      </c>
      <c r="K503" s="959">
        <v>0</v>
      </c>
      <c r="L503" s="971">
        <v>0</v>
      </c>
      <c r="M503" s="957">
        <v>5</v>
      </c>
      <c r="N503" s="943"/>
      <c r="O503" s="944"/>
      <c r="P503" s="945"/>
      <c r="Q503" s="946"/>
      <c r="R503" s="541"/>
      <c r="S503" s="561"/>
    </row>
    <row r="504" spans="1:19" s="492" customFormat="1" ht="48.6">
      <c r="A504" s="1229" t="s">
        <v>309</v>
      </c>
      <c r="B504" s="1221" t="s">
        <v>319</v>
      </c>
      <c r="C504" s="1205">
        <v>13</v>
      </c>
      <c r="D504" s="1206" t="s">
        <v>323</v>
      </c>
      <c r="E504" s="494" t="s">
        <v>38</v>
      </c>
      <c r="F504" s="496" t="s">
        <v>321</v>
      </c>
      <c r="G504" s="494" t="s">
        <v>40</v>
      </c>
      <c r="H504" s="500">
        <v>5</v>
      </c>
      <c r="I504" s="1248">
        <v>46054</v>
      </c>
      <c r="J504" s="955" t="s">
        <v>41</v>
      </c>
      <c r="K504" s="959" t="s">
        <v>41</v>
      </c>
      <c r="L504" s="946">
        <v>3</v>
      </c>
      <c r="M504" s="957">
        <v>3</v>
      </c>
      <c r="N504" s="943"/>
      <c r="O504" s="944"/>
      <c r="P504" s="945"/>
      <c r="Q504" s="946"/>
      <c r="R504" s="541"/>
      <c r="S504" s="561"/>
    </row>
    <row r="505" spans="1:19" s="492" customFormat="1" ht="48.6">
      <c r="A505" s="1229" t="s">
        <v>309</v>
      </c>
      <c r="B505" s="1206" t="s">
        <v>324</v>
      </c>
      <c r="C505" s="1205">
        <v>14</v>
      </c>
      <c r="D505" s="1206" t="s">
        <v>311</v>
      </c>
      <c r="E505" s="494" t="s">
        <v>38</v>
      </c>
      <c r="F505" s="496" t="s">
        <v>312</v>
      </c>
      <c r="G505" s="494" t="s">
        <v>40</v>
      </c>
      <c r="H505" s="501">
        <v>0</v>
      </c>
      <c r="I505" s="1248">
        <v>46054</v>
      </c>
      <c r="J505" s="958">
        <f t="shared" ref="J505:J515" si="42">IF(H505=0,0,IF(H505="-","-",ROUND(H505/12,2)))</f>
        <v>0</v>
      </c>
      <c r="K505" s="956">
        <v>0</v>
      </c>
      <c r="L505" s="971">
        <v>0</v>
      </c>
      <c r="M505" s="972">
        <f>M456+K505</f>
        <v>0</v>
      </c>
      <c r="N505" s="943"/>
      <c r="O505" s="944"/>
      <c r="P505" s="945"/>
      <c r="Q505" s="946"/>
      <c r="R505" s="1255"/>
      <c r="S505" s="561"/>
    </row>
    <row r="506" spans="1:19" s="492" customFormat="1" ht="48.6">
      <c r="A506" s="1229" t="s">
        <v>309</v>
      </c>
      <c r="B506" s="1206" t="s">
        <v>324</v>
      </c>
      <c r="C506" s="1205">
        <v>15</v>
      </c>
      <c r="D506" s="1206" t="s">
        <v>313</v>
      </c>
      <c r="E506" s="494" t="s">
        <v>38</v>
      </c>
      <c r="F506" s="496" t="s">
        <v>312</v>
      </c>
      <c r="G506" s="494" t="s">
        <v>40</v>
      </c>
      <c r="H506" s="501">
        <v>30</v>
      </c>
      <c r="I506" s="1248">
        <v>46054</v>
      </c>
      <c r="J506" s="958">
        <f t="shared" si="42"/>
        <v>2.5</v>
      </c>
      <c r="K506" s="956">
        <v>1</v>
      </c>
      <c r="L506" s="2434">
        <f>L457+J506</f>
        <v>25</v>
      </c>
      <c r="M506" s="972">
        <f>M457+K506</f>
        <v>28</v>
      </c>
      <c r="N506" s="943"/>
      <c r="O506" s="2539" t="s">
        <v>441</v>
      </c>
      <c r="P506" s="945" t="s">
        <v>433</v>
      </c>
      <c r="Q506" s="946"/>
      <c r="R506" s="1255"/>
      <c r="S506" s="561"/>
    </row>
    <row r="507" spans="1:19" s="492" customFormat="1" ht="48.6">
      <c r="A507" s="1229" t="s">
        <v>309</v>
      </c>
      <c r="B507" s="1206" t="s">
        <v>324</v>
      </c>
      <c r="C507" s="1205">
        <v>16</v>
      </c>
      <c r="D507" s="1206" t="s">
        <v>314</v>
      </c>
      <c r="E507" s="494" t="s">
        <v>38</v>
      </c>
      <c r="F507" s="496" t="s">
        <v>312</v>
      </c>
      <c r="G507" s="494" t="s">
        <v>40</v>
      </c>
      <c r="H507" s="501">
        <v>0</v>
      </c>
      <c r="I507" s="1248">
        <v>46054</v>
      </c>
      <c r="J507" s="958">
        <f t="shared" si="42"/>
        <v>0</v>
      </c>
      <c r="K507" s="956">
        <v>0</v>
      </c>
      <c r="L507" s="971">
        <v>0</v>
      </c>
      <c r="M507" s="972">
        <f>M458+K507</f>
        <v>1</v>
      </c>
      <c r="N507" s="943"/>
      <c r="O507" s="944"/>
      <c r="P507" s="945"/>
      <c r="Q507" s="946"/>
      <c r="R507" s="1255"/>
      <c r="S507" s="561"/>
    </row>
    <row r="508" spans="1:19" s="492" customFormat="1" ht="48.6">
      <c r="A508" s="1229" t="s">
        <v>309</v>
      </c>
      <c r="B508" s="1206" t="s">
        <v>325</v>
      </c>
      <c r="C508" s="1205">
        <v>17</v>
      </c>
      <c r="D508" s="1206" t="s">
        <v>326</v>
      </c>
      <c r="E508" s="494" t="s">
        <v>38</v>
      </c>
      <c r="F508" s="496" t="s">
        <v>327</v>
      </c>
      <c r="G508" s="494" t="s">
        <v>40</v>
      </c>
      <c r="H508" s="501">
        <v>0</v>
      </c>
      <c r="I508" s="1248">
        <v>46054</v>
      </c>
      <c r="J508" s="958">
        <f t="shared" si="42"/>
        <v>0</v>
      </c>
      <c r="K508" s="959"/>
      <c r="L508" s="971">
        <v>0</v>
      </c>
      <c r="M508" s="957"/>
      <c r="N508" s="943"/>
      <c r="O508" s="944"/>
      <c r="P508" s="945"/>
      <c r="Q508" s="946"/>
      <c r="R508" s="541"/>
      <c r="S508" s="561"/>
    </row>
    <row r="509" spans="1:19" s="492" customFormat="1" ht="48.6">
      <c r="A509" s="1229" t="s">
        <v>309</v>
      </c>
      <c r="B509" s="1206" t="s">
        <v>325</v>
      </c>
      <c r="C509" s="1205">
        <v>18</v>
      </c>
      <c r="D509" s="1206" t="s">
        <v>326</v>
      </c>
      <c r="E509" s="494" t="s">
        <v>136</v>
      </c>
      <c r="F509" s="496" t="s">
        <v>327</v>
      </c>
      <c r="G509" s="494" t="s">
        <v>40</v>
      </c>
      <c r="H509" s="501">
        <v>0</v>
      </c>
      <c r="I509" s="1248">
        <v>46054</v>
      </c>
      <c r="J509" s="958">
        <f t="shared" si="42"/>
        <v>0</v>
      </c>
      <c r="K509" s="959"/>
      <c r="L509" s="971">
        <v>0</v>
      </c>
      <c r="M509" s="957"/>
      <c r="N509" s="943"/>
      <c r="O509" s="944"/>
      <c r="P509" s="945"/>
      <c r="Q509" s="946"/>
      <c r="R509" s="541"/>
      <c r="S509" s="561"/>
    </row>
    <row r="510" spans="1:19" s="492" customFormat="1" ht="48.6">
      <c r="A510" s="1229" t="s">
        <v>309</v>
      </c>
      <c r="B510" s="1206" t="s">
        <v>325</v>
      </c>
      <c r="C510" s="1205">
        <v>19</v>
      </c>
      <c r="D510" s="1206" t="s">
        <v>328</v>
      </c>
      <c r="E510" s="494" t="s">
        <v>38</v>
      </c>
      <c r="F510" s="496" t="s">
        <v>327</v>
      </c>
      <c r="G510" s="494" t="s">
        <v>40</v>
      </c>
      <c r="H510" s="501" t="s">
        <v>41</v>
      </c>
      <c r="I510" s="1248">
        <v>46054</v>
      </c>
      <c r="J510" s="955" t="str">
        <f t="shared" si="42"/>
        <v>-</v>
      </c>
      <c r="K510" s="959"/>
      <c r="L510" s="946" t="s">
        <v>41</v>
      </c>
      <c r="M510" s="957">
        <v>40</v>
      </c>
      <c r="N510" s="943"/>
      <c r="O510" s="944"/>
      <c r="P510" s="945"/>
      <c r="Q510" s="946"/>
      <c r="R510" s="541"/>
      <c r="S510" s="561"/>
    </row>
    <row r="511" spans="1:19" s="492" customFormat="1" ht="48.6">
      <c r="A511" s="1229" t="s">
        <v>309</v>
      </c>
      <c r="B511" s="1206" t="s">
        <v>325</v>
      </c>
      <c r="C511" s="1205">
        <v>20</v>
      </c>
      <c r="D511" s="1206" t="s">
        <v>328</v>
      </c>
      <c r="E511" s="494" t="s">
        <v>136</v>
      </c>
      <c r="F511" s="496" t="s">
        <v>327</v>
      </c>
      <c r="G511" s="494" t="s">
        <v>40</v>
      </c>
      <c r="H511" s="501" t="s">
        <v>41</v>
      </c>
      <c r="I511" s="1248">
        <v>46054</v>
      </c>
      <c r="J511" s="955" t="str">
        <f t="shared" si="42"/>
        <v>-</v>
      </c>
      <c r="K511" s="959"/>
      <c r="L511" s="946" t="s">
        <v>41</v>
      </c>
      <c r="M511" s="957">
        <v>11.58</v>
      </c>
      <c r="N511" s="943"/>
      <c r="O511" s="944"/>
      <c r="P511" s="945"/>
      <c r="Q511" s="946"/>
      <c r="R511" s="541"/>
      <c r="S511" s="561"/>
    </row>
    <row r="512" spans="1:19" s="492" customFormat="1" ht="48.6">
      <c r="A512" s="1229" t="s">
        <v>309</v>
      </c>
      <c r="B512" s="1206" t="s">
        <v>325</v>
      </c>
      <c r="C512" s="1205">
        <v>21</v>
      </c>
      <c r="D512" s="1206" t="s">
        <v>329</v>
      </c>
      <c r="E512" s="494" t="s">
        <v>38</v>
      </c>
      <c r="F512" s="496" t="s">
        <v>327</v>
      </c>
      <c r="G512" s="494" t="s">
        <v>40</v>
      </c>
      <c r="H512" s="501" t="s">
        <v>41</v>
      </c>
      <c r="I512" s="1248">
        <v>46054</v>
      </c>
      <c r="J512" s="955" t="str">
        <f t="shared" si="42"/>
        <v>-</v>
      </c>
      <c r="K512" s="959"/>
      <c r="L512" s="946" t="s">
        <v>41</v>
      </c>
      <c r="M512" s="957">
        <v>134</v>
      </c>
      <c r="N512" s="943"/>
      <c r="O512" t="s">
        <v>442</v>
      </c>
      <c r="P512" s="945"/>
      <c r="Q512" s="946"/>
      <c r="R512" s="541"/>
      <c r="S512" s="561"/>
    </row>
    <row r="513" spans="1:21" s="492" customFormat="1" ht="48.6">
      <c r="A513" s="1229" t="s">
        <v>309</v>
      </c>
      <c r="B513" s="1206" t="s">
        <v>325</v>
      </c>
      <c r="C513" s="1205">
        <v>22</v>
      </c>
      <c r="D513" s="1206" t="s">
        <v>329</v>
      </c>
      <c r="E513" s="494" t="s">
        <v>136</v>
      </c>
      <c r="F513" s="496" t="s">
        <v>327</v>
      </c>
      <c r="G513" s="494" t="s">
        <v>40</v>
      </c>
      <c r="H513" s="501" t="s">
        <v>41</v>
      </c>
      <c r="I513" s="1248">
        <v>46054</v>
      </c>
      <c r="J513" s="955" t="str">
        <f t="shared" si="42"/>
        <v>-</v>
      </c>
      <c r="K513" s="959"/>
      <c r="L513" s="946" t="s">
        <v>41</v>
      </c>
      <c r="M513" s="957">
        <v>97.2</v>
      </c>
      <c r="N513" s="943"/>
      <c r="O513" s="944"/>
      <c r="P513" s="945"/>
      <c r="Q513" s="946"/>
      <c r="R513" s="541"/>
      <c r="S513" s="561"/>
    </row>
    <row r="514" spans="1:21" s="492" customFormat="1" ht="48.6">
      <c r="A514" s="1229" t="s">
        <v>309</v>
      </c>
      <c r="B514" s="1206" t="s">
        <v>325</v>
      </c>
      <c r="C514" s="1205">
        <v>23</v>
      </c>
      <c r="D514" s="1206" t="s">
        <v>330</v>
      </c>
      <c r="E514" s="494" t="s">
        <v>38</v>
      </c>
      <c r="F514" s="496" t="s">
        <v>327</v>
      </c>
      <c r="G514" s="494" t="s">
        <v>40</v>
      </c>
      <c r="H514" s="501" t="s">
        <v>41</v>
      </c>
      <c r="I514" s="1248">
        <v>46054</v>
      </c>
      <c r="J514" s="955" t="str">
        <f t="shared" si="42"/>
        <v>-</v>
      </c>
      <c r="K514" s="959"/>
      <c r="L514" s="946" t="s">
        <v>41</v>
      </c>
      <c r="M514" s="957">
        <v>188</v>
      </c>
      <c r="N514" s="943"/>
      <c r="O514" s="961" t="s">
        <v>443</v>
      </c>
      <c r="P514" s="945"/>
      <c r="Q514" s="946"/>
      <c r="R514" s="541"/>
      <c r="S514" s="561"/>
    </row>
    <row r="515" spans="1:21" s="492" customFormat="1" ht="48.6">
      <c r="A515" s="1229" t="s">
        <v>309</v>
      </c>
      <c r="B515" s="1206" t="s">
        <v>325</v>
      </c>
      <c r="C515" s="1205">
        <v>24</v>
      </c>
      <c r="D515" s="1206" t="s">
        <v>330</v>
      </c>
      <c r="E515" s="494" t="s">
        <v>136</v>
      </c>
      <c r="F515" s="496" t="s">
        <v>327</v>
      </c>
      <c r="G515" s="494" t="s">
        <v>40</v>
      </c>
      <c r="H515" s="501" t="s">
        <v>41</v>
      </c>
      <c r="I515" s="1248">
        <v>46054</v>
      </c>
      <c r="J515" s="955" t="str">
        <f t="shared" si="42"/>
        <v>-</v>
      </c>
      <c r="K515" s="959"/>
      <c r="L515" s="946" t="s">
        <v>41</v>
      </c>
      <c r="M515" s="957">
        <v>96.2</v>
      </c>
      <c r="N515" s="943"/>
      <c r="O515" s="944"/>
      <c r="P515" s="945"/>
      <c r="Q515" s="946"/>
      <c r="R515" s="541"/>
      <c r="S515" s="561"/>
    </row>
    <row r="516" spans="1:21" s="492" customFormat="1" ht="119.25" customHeight="1">
      <c r="A516" s="1229" t="s">
        <v>309</v>
      </c>
      <c r="B516" s="1206" t="s">
        <v>325</v>
      </c>
      <c r="C516" s="1205">
        <v>25</v>
      </c>
      <c r="D516" s="1206" t="s">
        <v>331</v>
      </c>
      <c r="E516" s="494" t="s">
        <v>38</v>
      </c>
      <c r="F516" s="496" t="s">
        <v>327</v>
      </c>
      <c r="G516" s="494" t="s">
        <v>332</v>
      </c>
      <c r="H516" s="501">
        <v>0</v>
      </c>
      <c r="I516" s="1248">
        <v>46054</v>
      </c>
      <c r="J516" s="958">
        <f>11+4+4</f>
        <v>19</v>
      </c>
      <c r="K516" s="959">
        <v>4</v>
      </c>
      <c r="L516" s="2444">
        <f>L467-J516</f>
        <v>4</v>
      </c>
      <c r="M516" s="957">
        <v>3</v>
      </c>
      <c r="N516" s="2432"/>
      <c r="O516" s="2398" t="s">
        <v>444</v>
      </c>
      <c r="P516" s="2552"/>
      <c r="Q516" s="946"/>
      <c r="R516" s="541"/>
      <c r="S516" s="561"/>
      <c r="T516" s="492">
        <v>11</v>
      </c>
      <c r="U516" s="492">
        <v>4</v>
      </c>
    </row>
    <row r="517" spans="1:21" s="492" customFormat="1" ht="48.6">
      <c r="A517" s="1229" t="s">
        <v>309</v>
      </c>
      <c r="B517" s="1206" t="s">
        <v>325</v>
      </c>
      <c r="C517" s="1205">
        <v>26</v>
      </c>
      <c r="D517" s="1216" t="s">
        <v>331</v>
      </c>
      <c r="E517" s="494" t="s">
        <v>136</v>
      </c>
      <c r="F517" s="496" t="s">
        <v>327</v>
      </c>
      <c r="G517" s="494" t="s">
        <v>332</v>
      </c>
      <c r="H517" s="501">
        <v>0</v>
      </c>
      <c r="I517" s="1248">
        <v>46054</v>
      </c>
      <c r="J517" s="1010">
        <f>11.04+15.79+5.7</f>
        <v>32.53</v>
      </c>
      <c r="K517" s="959">
        <v>5.7</v>
      </c>
      <c r="L517" s="946">
        <f>L468-J517</f>
        <v>1.1199999999999974</v>
      </c>
      <c r="M517" s="957">
        <v>0.6</v>
      </c>
      <c r="N517" s="943"/>
      <c r="O517" s="944"/>
      <c r="P517" s="945"/>
      <c r="Q517" s="946"/>
      <c r="R517" s="541"/>
      <c r="S517" s="561"/>
      <c r="T517" s="492">
        <v>11.05</v>
      </c>
      <c r="U517" s="492">
        <v>15.79</v>
      </c>
    </row>
    <row r="518" spans="1:21" s="492" customFormat="1" ht="64.8">
      <c r="A518" s="1229" t="s">
        <v>309</v>
      </c>
      <c r="B518" s="1206" t="s">
        <v>325</v>
      </c>
      <c r="C518" s="1205">
        <v>27</v>
      </c>
      <c r="D518" s="1216" t="s">
        <v>334</v>
      </c>
      <c r="E518" s="494" t="s">
        <v>38</v>
      </c>
      <c r="F518" s="496" t="s">
        <v>327</v>
      </c>
      <c r="G518" s="494" t="s">
        <v>332</v>
      </c>
      <c r="H518" s="501">
        <v>0</v>
      </c>
      <c r="I518" s="1248">
        <v>46054</v>
      </c>
      <c r="J518" s="958">
        <v>1</v>
      </c>
      <c r="K518" s="959">
        <v>0</v>
      </c>
      <c r="L518" s="971">
        <f>L469-J518</f>
        <v>2</v>
      </c>
      <c r="M518" s="957">
        <v>0</v>
      </c>
      <c r="N518" s="943"/>
      <c r="O518" s="961" t="s">
        <v>445</v>
      </c>
      <c r="P518" s="945"/>
      <c r="Q518" s="946"/>
      <c r="R518" s="541"/>
      <c r="S518" s="561"/>
      <c r="T518" s="492">
        <v>1</v>
      </c>
    </row>
    <row r="519" spans="1:21" s="492" customFormat="1" ht="48.6">
      <c r="A519" s="1229" t="s">
        <v>309</v>
      </c>
      <c r="B519" s="1206" t="s">
        <v>325</v>
      </c>
      <c r="C519" s="1205">
        <v>28</v>
      </c>
      <c r="D519" s="1216" t="s">
        <v>334</v>
      </c>
      <c r="E519" s="494" t="s">
        <v>136</v>
      </c>
      <c r="F519" s="496" t="s">
        <v>327</v>
      </c>
      <c r="G519" s="494" t="s">
        <v>332</v>
      </c>
      <c r="H519" s="501">
        <v>0</v>
      </c>
      <c r="I519" s="1248">
        <v>46054</v>
      </c>
      <c r="J519" s="997">
        <v>1.35</v>
      </c>
      <c r="K519" s="959">
        <v>0</v>
      </c>
      <c r="L519" s="946">
        <f>L470-J519</f>
        <v>0.33000000000000007</v>
      </c>
      <c r="M519" s="957">
        <v>0</v>
      </c>
      <c r="N519" s="943"/>
      <c r="O519" s="944"/>
      <c r="P519" s="945"/>
      <c r="Q519" s="946"/>
      <c r="R519" s="541"/>
      <c r="S519" s="561"/>
      <c r="T519" s="492">
        <v>1.35</v>
      </c>
    </row>
    <row r="520" spans="1:21" s="492" customFormat="1" ht="113.4">
      <c r="A520" s="1229" t="s">
        <v>309</v>
      </c>
      <c r="B520" s="1206" t="s">
        <v>325</v>
      </c>
      <c r="C520" s="1205">
        <v>29</v>
      </c>
      <c r="D520" s="1206" t="s">
        <v>336</v>
      </c>
      <c r="E520" s="494" t="s">
        <v>38</v>
      </c>
      <c r="F520" s="496" t="s">
        <v>316</v>
      </c>
      <c r="G520" s="494" t="s">
        <v>40</v>
      </c>
      <c r="H520" s="501">
        <v>0</v>
      </c>
      <c r="I520" s="1248">
        <v>46054</v>
      </c>
      <c r="J520" s="958" t="s">
        <v>41</v>
      </c>
      <c r="K520" s="959" t="s">
        <v>41</v>
      </c>
      <c r="L520" s="971">
        <v>0</v>
      </c>
      <c r="M520" s="959">
        <v>137</v>
      </c>
      <c r="N520" s="943"/>
      <c r="O520" s="961" t="s">
        <v>446</v>
      </c>
      <c r="P520" s="945"/>
      <c r="Q520" s="946"/>
      <c r="R520" s="541"/>
      <c r="S520" s="561"/>
    </row>
    <row r="521" spans="1:21" s="492" customFormat="1" ht="48.6">
      <c r="A521" s="1229" t="s">
        <v>309</v>
      </c>
      <c r="B521" s="1206" t="s">
        <v>325</v>
      </c>
      <c r="C521" s="1205">
        <v>30</v>
      </c>
      <c r="D521" s="1206" t="s">
        <v>336</v>
      </c>
      <c r="E521" s="494" t="s">
        <v>136</v>
      </c>
      <c r="F521" s="496" t="s">
        <v>316</v>
      </c>
      <c r="G521" s="494" t="s">
        <v>40</v>
      </c>
      <c r="H521" s="501">
        <v>0</v>
      </c>
      <c r="I521" s="1248">
        <v>46054</v>
      </c>
      <c r="J521" s="958" t="s">
        <v>41</v>
      </c>
      <c r="K521" s="959" t="s">
        <v>41</v>
      </c>
      <c r="L521" s="971">
        <v>0</v>
      </c>
      <c r="M521" s="2538">
        <v>12.128</v>
      </c>
      <c r="N521" s="943"/>
      <c r="O521" s="944"/>
      <c r="P521" s="945"/>
      <c r="Q521" s="946"/>
      <c r="R521" s="541"/>
      <c r="S521" s="561"/>
    </row>
    <row r="522" spans="1:21" s="492" customFormat="1" ht="48.6">
      <c r="A522" s="1229" t="s">
        <v>309</v>
      </c>
      <c r="B522" s="1206" t="s">
        <v>325</v>
      </c>
      <c r="C522" s="1205">
        <v>31</v>
      </c>
      <c r="D522" s="1206" t="s">
        <v>338</v>
      </c>
      <c r="E522" s="494" t="s">
        <v>38</v>
      </c>
      <c r="F522" s="496" t="s">
        <v>316</v>
      </c>
      <c r="G522" s="494" t="s">
        <v>40</v>
      </c>
      <c r="H522" s="501">
        <v>0</v>
      </c>
      <c r="I522" s="1248">
        <v>46054</v>
      </c>
      <c r="J522" s="958" t="s">
        <v>41</v>
      </c>
      <c r="K522" s="959" t="s">
        <v>41</v>
      </c>
      <c r="L522" s="971">
        <v>0</v>
      </c>
      <c r="M522" s="959">
        <v>98</v>
      </c>
      <c r="N522" s="943"/>
      <c r="O522" s="961" t="s">
        <v>447</v>
      </c>
      <c r="P522" s="945"/>
      <c r="Q522" s="946"/>
      <c r="R522" s="541"/>
      <c r="S522" s="561"/>
    </row>
    <row r="523" spans="1:21" s="492" customFormat="1" ht="48.6">
      <c r="A523" s="1229" t="s">
        <v>309</v>
      </c>
      <c r="B523" s="1206" t="s">
        <v>325</v>
      </c>
      <c r="C523" s="1205">
        <v>32</v>
      </c>
      <c r="D523" s="1206" t="s">
        <v>338</v>
      </c>
      <c r="E523" s="494" t="s">
        <v>136</v>
      </c>
      <c r="F523" s="496" t="s">
        <v>316</v>
      </c>
      <c r="G523" s="494" t="s">
        <v>40</v>
      </c>
      <c r="H523" s="501">
        <v>0</v>
      </c>
      <c r="I523" s="1248">
        <v>46054</v>
      </c>
      <c r="J523" s="958" t="s">
        <v>41</v>
      </c>
      <c r="K523" s="959" t="s">
        <v>41</v>
      </c>
      <c r="L523" s="971">
        <v>0</v>
      </c>
      <c r="M523" s="2538">
        <v>62.738</v>
      </c>
      <c r="N523" s="943"/>
      <c r="O523" s="944"/>
      <c r="P523" s="945"/>
      <c r="Q523" s="946"/>
      <c r="R523" s="541"/>
      <c r="S523" s="561"/>
    </row>
    <row r="524" spans="1:21" s="492" customFormat="1" ht="48.6">
      <c r="A524" s="1229" t="s">
        <v>309</v>
      </c>
      <c r="B524" s="1206" t="s">
        <v>325</v>
      </c>
      <c r="C524" s="1205">
        <v>33</v>
      </c>
      <c r="D524" s="1206" t="s">
        <v>339</v>
      </c>
      <c r="E524" s="494" t="s">
        <v>133</v>
      </c>
      <c r="F524" s="496" t="s">
        <v>340</v>
      </c>
      <c r="G524" s="494" t="s">
        <v>341</v>
      </c>
      <c r="H524" s="502">
        <v>5.0000000000000001E-3</v>
      </c>
      <c r="I524" s="1248">
        <v>46054</v>
      </c>
      <c r="J524" s="958" t="s">
        <v>41</v>
      </c>
      <c r="K524" s="959"/>
      <c r="L524" s="993">
        <v>-5.0000000000000001E-3</v>
      </c>
      <c r="M524" s="975">
        <v>-5.7400000000000003E-3</v>
      </c>
      <c r="N524" s="943"/>
      <c r="O524" s="944"/>
      <c r="P524" s="945"/>
      <c r="Q524" s="946"/>
      <c r="R524" s="541"/>
      <c r="S524" s="561"/>
    </row>
    <row r="525" spans="1:21" s="492" customFormat="1" ht="48.6">
      <c r="A525" s="1229" t="s">
        <v>309</v>
      </c>
      <c r="B525" s="1206" t="s">
        <v>325</v>
      </c>
      <c r="C525" s="1205">
        <v>34</v>
      </c>
      <c r="D525" s="1206" t="s">
        <v>339</v>
      </c>
      <c r="E525" s="494" t="s">
        <v>136</v>
      </c>
      <c r="F525" s="496" t="s">
        <v>340</v>
      </c>
      <c r="G525" s="494" t="s">
        <v>341</v>
      </c>
      <c r="H525" s="503" t="s">
        <v>41</v>
      </c>
      <c r="I525" s="1248">
        <v>46054</v>
      </c>
      <c r="J525" s="955" t="str">
        <f t="shared" ref="J525" si="43">IF(H525=0,0,IF(H525="-","-",ROUND(H525/12,2)))</f>
        <v>-</v>
      </c>
      <c r="K525" s="959"/>
      <c r="L525" s="962" t="s">
        <v>41</v>
      </c>
      <c r="M525" s="959">
        <v>-9.1999999999999993</v>
      </c>
      <c r="N525" s="943"/>
      <c r="O525" s="944"/>
      <c r="P525" s="945"/>
      <c r="Q525" s="946"/>
      <c r="R525" s="541"/>
      <c r="S525" s="561"/>
    </row>
    <row r="526" spans="1:21" s="492" customFormat="1" ht="48.6">
      <c r="A526" s="1229" t="s">
        <v>309</v>
      </c>
      <c r="B526" s="1206" t="s">
        <v>325</v>
      </c>
      <c r="C526" s="1205">
        <v>35</v>
      </c>
      <c r="D526" s="1206" t="s">
        <v>342</v>
      </c>
      <c r="E526" s="494" t="s">
        <v>133</v>
      </c>
      <c r="F526" s="496" t="s">
        <v>106</v>
      </c>
      <c r="G526" s="494" t="s">
        <v>285</v>
      </c>
      <c r="H526" s="504">
        <v>3.5000000000000003E-2</v>
      </c>
      <c r="I526" s="1248">
        <v>46054</v>
      </c>
      <c r="J526" s="974">
        <v>3.5099999999999999E-2</v>
      </c>
      <c r="K526" s="2561">
        <v>3.0499999999999999E-2</v>
      </c>
      <c r="L526" s="2441">
        <f>J526</f>
        <v>3.5099999999999999E-2</v>
      </c>
      <c r="M526" s="994">
        <f>K526</f>
        <v>3.0499999999999999E-2</v>
      </c>
      <c r="N526" s="943"/>
      <c r="O526" s="944"/>
      <c r="P526" s="945"/>
      <c r="Q526" s="946"/>
      <c r="R526" s="541"/>
      <c r="S526" s="561"/>
    </row>
    <row r="527" spans="1:21" s="492" customFormat="1" ht="48.6">
      <c r="A527" s="1229" t="s">
        <v>309</v>
      </c>
      <c r="B527" s="1206" t="s">
        <v>325</v>
      </c>
      <c r="C527" s="1205">
        <v>36</v>
      </c>
      <c r="D527" s="1206" t="s">
        <v>342</v>
      </c>
      <c r="E527" s="494" t="s">
        <v>136</v>
      </c>
      <c r="F527" s="496" t="s">
        <v>106</v>
      </c>
      <c r="G527" s="494" t="s">
        <v>285</v>
      </c>
      <c r="H527" s="506">
        <v>642.05999999999995</v>
      </c>
      <c r="I527" s="1248">
        <v>46054</v>
      </c>
      <c r="J527" s="955">
        <v>643.91</v>
      </c>
      <c r="K527" s="959">
        <v>583.28</v>
      </c>
      <c r="L527" s="946">
        <f>J527</f>
        <v>643.91</v>
      </c>
      <c r="M527" s="957">
        <f>K527</f>
        <v>583.28</v>
      </c>
      <c r="N527" s="943"/>
      <c r="O527" s="944"/>
      <c r="P527" s="945"/>
      <c r="Q527" s="946"/>
      <c r="R527" s="541"/>
      <c r="S527" s="561"/>
    </row>
    <row r="528" spans="1:21" s="492" customFormat="1" ht="48.6">
      <c r="A528" s="1229" t="s">
        <v>309</v>
      </c>
      <c r="B528" s="1206" t="s">
        <v>325</v>
      </c>
      <c r="C528" s="1205">
        <v>37</v>
      </c>
      <c r="D528" s="1206" t="s">
        <v>343</v>
      </c>
      <c r="E528" s="494" t="s">
        <v>38</v>
      </c>
      <c r="F528" s="496" t="s">
        <v>105</v>
      </c>
      <c r="G528" s="494"/>
      <c r="H528" s="500" t="s">
        <v>41</v>
      </c>
      <c r="I528" s="1248">
        <v>46054</v>
      </c>
      <c r="J528" s="955" t="s">
        <v>41</v>
      </c>
      <c r="K528" s="959"/>
      <c r="L528" s="946"/>
      <c r="M528" s="957"/>
      <c r="N528" s="943"/>
      <c r="O528" s="944"/>
      <c r="P528" s="945"/>
      <c r="Q528" s="946"/>
      <c r="R528" s="541"/>
      <c r="S528" s="561"/>
    </row>
    <row r="529" spans="1:19" s="492" customFormat="1" ht="81">
      <c r="A529" s="1229" t="s">
        <v>309</v>
      </c>
      <c r="B529" s="1206" t="s">
        <v>325</v>
      </c>
      <c r="C529" s="1205">
        <v>38</v>
      </c>
      <c r="D529" s="1206" t="s">
        <v>343</v>
      </c>
      <c r="E529" s="494" t="s">
        <v>136</v>
      </c>
      <c r="F529" s="496" t="s">
        <v>105</v>
      </c>
      <c r="G529" s="494"/>
      <c r="H529" s="505">
        <f>84578725.86/10^6</f>
        <v>84.578725860000006</v>
      </c>
      <c r="I529" s="1248">
        <v>46054</v>
      </c>
      <c r="J529" s="955">
        <f>2272914.6/10^6</f>
        <v>2.2729146</v>
      </c>
      <c r="K529" s="959">
        <f>6556486.57/10^6</f>
        <v>6.5564865700000006</v>
      </c>
      <c r="L529" s="946">
        <f>L480+J529</f>
        <v>82.305811260000013</v>
      </c>
      <c r="M529" s="957">
        <f>M480+K529</f>
        <v>89.404456079999989</v>
      </c>
      <c r="N529" s="943"/>
      <c r="O529" s="1704" t="s">
        <v>440</v>
      </c>
      <c r="P529" s="2398" t="s">
        <v>430</v>
      </c>
      <c r="Q529" s="946"/>
      <c r="R529" s="541"/>
      <c r="S529" s="561"/>
    </row>
    <row r="530" spans="1:19" s="492" customFormat="1" ht="48.6">
      <c r="A530" s="1229" t="s">
        <v>309</v>
      </c>
      <c r="B530" s="1206" t="s">
        <v>325</v>
      </c>
      <c r="C530" s="1205">
        <v>39</v>
      </c>
      <c r="D530" s="1206" t="s">
        <v>344</v>
      </c>
      <c r="E530" s="494" t="s">
        <v>136</v>
      </c>
      <c r="F530" s="496" t="s">
        <v>110</v>
      </c>
      <c r="G530" s="494" t="s">
        <v>345</v>
      </c>
      <c r="H530" s="500">
        <v>3.17</v>
      </c>
      <c r="I530" s="1248">
        <v>46054</v>
      </c>
      <c r="J530" s="977" t="s">
        <v>41</v>
      </c>
      <c r="K530" s="959" t="s">
        <v>41</v>
      </c>
      <c r="L530" s="2445">
        <v>3.17</v>
      </c>
      <c r="M530" s="957">
        <v>0.77</v>
      </c>
      <c r="N530" s="943"/>
      <c r="O530" s="944"/>
      <c r="P530" s="945"/>
      <c r="Q530" s="946"/>
      <c r="R530" s="541"/>
      <c r="S530" s="561"/>
    </row>
    <row r="531" spans="1:19" s="492" customFormat="1" ht="48.6">
      <c r="A531" s="1229" t="s">
        <v>309</v>
      </c>
      <c r="B531" s="1206" t="s">
        <v>325</v>
      </c>
      <c r="C531" s="1205">
        <v>40</v>
      </c>
      <c r="D531" s="1206" t="s">
        <v>346</v>
      </c>
      <c r="E531" s="494" t="s">
        <v>136</v>
      </c>
      <c r="F531" s="496" t="s">
        <v>110</v>
      </c>
      <c r="G531" s="494" t="s">
        <v>345</v>
      </c>
      <c r="H531" s="500">
        <v>5.84</v>
      </c>
      <c r="I531" s="1248">
        <v>46054</v>
      </c>
      <c r="J531" s="977" t="s">
        <v>41</v>
      </c>
      <c r="K531" s="959" t="s">
        <v>41</v>
      </c>
      <c r="L531" s="2445">
        <v>5.84</v>
      </c>
      <c r="M531" s="957">
        <v>5.25</v>
      </c>
      <c r="N531" s="943"/>
      <c r="O531" s="944"/>
      <c r="P531" s="945"/>
      <c r="Q531" s="946"/>
      <c r="R531" s="541"/>
      <c r="S531" s="561"/>
    </row>
    <row r="532" spans="1:19" s="492" customFormat="1" ht="48.6">
      <c r="A532" s="1229" t="s">
        <v>309</v>
      </c>
      <c r="B532" s="1206" t="s">
        <v>325</v>
      </c>
      <c r="C532" s="1205">
        <v>41</v>
      </c>
      <c r="D532" s="1206" t="s">
        <v>347</v>
      </c>
      <c r="E532" s="494" t="s">
        <v>38</v>
      </c>
      <c r="F532" s="496" t="s">
        <v>106</v>
      </c>
      <c r="G532" s="494" t="s">
        <v>285</v>
      </c>
      <c r="H532" s="500" t="s">
        <v>41</v>
      </c>
      <c r="I532" s="1248">
        <v>46054</v>
      </c>
      <c r="J532" s="955" t="s">
        <v>41</v>
      </c>
      <c r="K532" s="959" t="s">
        <v>41</v>
      </c>
      <c r="L532" s="946" t="s">
        <v>41</v>
      </c>
      <c r="M532" s="957" t="s">
        <v>41</v>
      </c>
      <c r="N532" s="943"/>
      <c r="O532" s="944" t="s">
        <v>387</v>
      </c>
      <c r="P532" s="945"/>
      <c r="Q532" s="946"/>
      <c r="R532" s="541"/>
      <c r="S532" s="561"/>
    </row>
    <row r="533" spans="1:19" s="492" customFormat="1" ht="48.6">
      <c r="A533" s="1229" t="s">
        <v>309</v>
      </c>
      <c r="B533" s="1206" t="s">
        <v>325</v>
      </c>
      <c r="C533" s="1205">
        <v>42</v>
      </c>
      <c r="D533" s="1206" t="s">
        <v>347</v>
      </c>
      <c r="E533" s="494" t="s">
        <v>136</v>
      </c>
      <c r="F533" s="496" t="s">
        <v>106</v>
      </c>
      <c r="G533" s="494" t="s">
        <v>285</v>
      </c>
      <c r="H533" s="506">
        <v>155.07</v>
      </c>
      <c r="I533" s="1248">
        <v>46054</v>
      </c>
      <c r="J533" s="955" t="s">
        <v>41</v>
      </c>
      <c r="K533" s="959" t="s">
        <v>41</v>
      </c>
      <c r="L533" s="946">
        <v>160.61000000000001</v>
      </c>
      <c r="M533" s="957">
        <v>148.69999999999999</v>
      </c>
      <c r="N533" s="943"/>
      <c r="O533" s="944" t="s">
        <v>387</v>
      </c>
      <c r="P533" s="945"/>
      <c r="Q533" s="946"/>
      <c r="R533" s="541"/>
      <c r="S533" s="561"/>
    </row>
    <row r="534" spans="1:19" s="492" customFormat="1" ht="48.6">
      <c r="A534" s="1229" t="s">
        <v>309</v>
      </c>
      <c r="B534" s="1206" t="s">
        <v>325</v>
      </c>
      <c r="C534" s="1205">
        <v>43</v>
      </c>
      <c r="D534" s="1206" t="s">
        <v>349</v>
      </c>
      <c r="E534" s="494" t="s">
        <v>136</v>
      </c>
      <c r="F534" s="496" t="s">
        <v>340</v>
      </c>
      <c r="G534" s="494" t="s">
        <v>134</v>
      </c>
      <c r="H534" s="500">
        <v>5.4</v>
      </c>
      <c r="I534" s="1248">
        <v>46054</v>
      </c>
      <c r="J534" s="955"/>
      <c r="K534" s="959" t="s">
        <v>41</v>
      </c>
      <c r="L534" s="946" t="s">
        <v>41</v>
      </c>
      <c r="M534" s="957" t="s">
        <v>41</v>
      </c>
      <c r="N534" s="943"/>
      <c r="O534" s="944"/>
      <c r="P534" s="945"/>
      <c r="Q534" s="946"/>
      <c r="R534" s="541"/>
      <c r="S534" s="561"/>
    </row>
    <row r="535" spans="1:19" s="492" customFormat="1" ht="48.6">
      <c r="A535" s="1229" t="s">
        <v>309</v>
      </c>
      <c r="B535" s="1206" t="s">
        <v>325</v>
      </c>
      <c r="C535" s="1205">
        <v>44</v>
      </c>
      <c r="D535" s="1206" t="s">
        <v>350</v>
      </c>
      <c r="E535" s="494" t="s">
        <v>38</v>
      </c>
      <c r="F535" s="496" t="s">
        <v>106</v>
      </c>
      <c r="G535" s="494" t="s">
        <v>134</v>
      </c>
      <c r="H535" s="500" t="s">
        <v>41</v>
      </c>
      <c r="I535" s="1248">
        <v>46054</v>
      </c>
      <c r="J535" s="955" t="s">
        <v>41</v>
      </c>
      <c r="K535" s="959" t="s">
        <v>41</v>
      </c>
      <c r="L535" s="946" t="s">
        <v>41</v>
      </c>
      <c r="M535" s="957" t="s">
        <v>41</v>
      </c>
      <c r="N535" s="943"/>
      <c r="O535" s="944" t="s">
        <v>361</v>
      </c>
      <c r="P535" s="945"/>
      <c r="Q535" s="946"/>
      <c r="R535" s="541"/>
      <c r="S535" s="561"/>
    </row>
    <row r="536" spans="1:19" s="492" customFormat="1" ht="194.4">
      <c r="A536" s="1229" t="s">
        <v>309</v>
      </c>
      <c r="B536" s="1206" t="s">
        <v>325</v>
      </c>
      <c r="C536" s="1205">
        <v>45</v>
      </c>
      <c r="D536" s="1206" t="s">
        <v>350</v>
      </c>
      <c r="E536" s="494" t="s">
        <v>136</v>
      </c>
      <c r="F536" s="496" t="s">
        <v>106</v>
      </c>
      <c r="G536" s="494" t="s">
        <v>134</v>
      </c>
      <c r="H536" s="506">
        <v>3</v>
      </c>
      <c r="I536" s="1248">
        <v>46054</v>
      </c>
      <c r="J536" s="955">
        <v>3</v>
      </c>
      <c r="K536" s="959">
        <v>3.47</v>
      </c>
      <c r="L536" s="2449">
        <v>3</v>
      </c>
      <c r="M536" s="981">
        <v>3.47</v>
      </c>
      <c r="N536" s="943"/>
      <c r="O536" s="961" t="s">
        <v>448</v>
      </c>
      <c r="P536" s="945" t="s">
        <v>449</v>
      </c>
      <c r="Q536" s="946">
        <v>1.1000000000000001</v>
      </c>
      <c r="R536" s="541" t="s">
        <v>450</v>
      </c>
      <c r="S536" s="561"/>
    </row>
    <row r="537" spans="1:19" s="492" customFormat="1" ht="97.2">
      <c r="A537" s="1229" t="s">
        <v>309</v>
      </c>
      <c r="B537" s="1221" t="s">
        <v>351</v>
      </c>
      <c r="C537" s="1205">
        <v>46</v>
      </c>
      <c r="D537" s="1227" t="s">
        <v>352</v>
      </c>
      <c r="E537" s="494" t="s">
        <v>353</v>
      </c>
      <c r="F537" s="496" t="s">
        <v>312</v>
      </c>
      <c r="G537" s="497" t="s">
        <v>40</v>
      </c>
      <c r="H537" s="500">
        <v>1.2</v>
      </c>
      <c r="I537" s="1248">
        <v>46054</v>
      </c>
      <c r="J537" s="955" t="s">
        <v>41</v>
      </c>
      <c r="K537" s="959" t="s">
        <v>41</v>
      </c>
      <c r="L537" s="962">
        <v>1.2</v>
      </c>
      <c r="M537" s="959">
        <v>1.46</v>
      </c>
      <c r="N537" s="943"/>
      <c r="O537" s="961" t="s">
        <v>451</v>
      </c>
      <c r="P537" s="973" t="s">
        <v>452</v>
      </c>
      <c r="Q537" s="946"/>
      <c r="R537" s="541"/>
      <c r="S537" s="561"/>
    </row>
    <row r="538" spans="1:19" s="492" customFormat="1" ht="48.6">
      <c r="A538" s="1229" t="s">
        <v>309</v>
      </c>
      <c r="B538" s="1221" t="s">
        <v>354</v>
      </c>
      <c r="C538" s="1205">
        <v>47</v>
      </c>
      <c r="D538" s="1221" t="s">
        <v>355</v>
      </c>
      <c r="E538" s="494" t="s">
        <v>353</v>
      </c>
      <c r="F538" s="496" t="s">
        <v>327</v>
      </c>
      <c r="G538" s="497" t="s">
        <v>40</v>
      </c>
      <c r="H538" s="501">
        <v>0</v>
      </c>
      <c r="I538" s="1248">
        <v>46054</v>
      </c>
      <c r="J538" s="955" t="s">
        <v>41</v>
      </c>
      <c r="K538" s="959" t="s">
        <v>41</v>
      </c>
      <c r="L538" s="960">
        <v>0</v>
      </c>
      <c r="M538" s="957">
        <v>4.71</v>
      </c>
      <c r="N538" s="943"/>
      <c r="O538" s="944"/>
      <c r="P538" s="945"/>
      <c r="Q538" s="946"/>
      <c r="R538" s="541"/>
      <c r="S538" s="561"/>
    </row>
    <row r="539" spans="1:19" s="492" customFormat="1" ht="48.6">
      <c r="A539" s="1229" t="s">
        <v>309</v>
      </c>
      <c r="B539" s="1221" t="s">
        <v>356</v>
      </c>
      <c r="C539" s="1205">
        <v>48</v>
      </c>
      <c r="D539" s="1221" t="s">
        <v>355</v>
      </c>
      <c r="E539" s="494" t="s">
        <v>353</v>
      </c>
      <c r="F539" s="496" t="s">
        <v>321</v>
      </c>
      <c r="G539" s="497" t="s">
        <v>40</v>
      </c>
      <c r="H539" s="501">
        <v>0</v>
      </c>
      <c r="I539" s="1248">
        <v>46054</v>
      </c>
      <c r="J539" s="955" t="s">
        <v>41</v>
      </c>
      <c r="K539" s="959" t="s">
        <v>41</v>
      </c>
      <c r="L539" s="960">
        <v>0</v>
      </c>
      <c r="M539" s="957">
        <v>0</v>
      </c>
      <c r="N539" s="943"/>
      <c r="O539" s="944"/>
      <c r="P539" s="945"/>
      <c r="Q539" s="946"/>
      <c r="R539" s="541"/>
      <c r="S539" s="561"/>
    </row>
    <row r="540" spans="1:19" s="492" customFormat="1" ht="48.6">
      <c r="A540" s="1229" t="s">
        <v>309</v>
      </c>
      <c r="B540" s="1230" t="s">
        <v>357</v>
      </c>
      <c r="C540" s="1205">
        <v>49</v>
      </c>
      <c r="D540" s="1216" t="s">
        <v>41</v>
      </c>
      <c r="E540" s="494" t="s">
        <v>38</v>
      </c>
      <c r="F540" s="496" t="s">
        <v>312</v>
      </c>
      <c r="G540" s="497" t="s">
        <v>41</v>
      </c>
      <c r="H540" s="501"/>
      <c r="I540" s="1248">
        <v>46054</v>
      </c>
      <c r="J540" s="955">
        <v>30</v>
      </c>
      <c r="K540" s="959">
        <v>25</v>
      </c>
      <c r="L540" s="2442">
        <f>J540+L491</f>
        <v>271</v>
      </c>
      <c r="M540" s="2433">
        <f>K540+M491</f>
        <v>223</v>
      </c>
      <c r="N540" s="943"/>
      <c r="O540" s="944"/>
      <c r="P540" s="945"/>
      <c r="Q540" s="946"/>
      <c r="R540" s="541"/>
      <c r="S540" s="561"/>
    </row>
    <row r="541" spans="1:19" s="492" customFormat="1" ht="48.6">
      <c r="A541" s="1229" t="s">
        <v>309</v>
      </c>
      <c r="B541" s="1221" t="s">
        <v>310</v>
      </c>
      <c r="C541" s="1205">
        <v>2</v>
      </c>
      <c r="D541" s="1206" t="s">
        <v>313</v>
      </c>
      <c r="E541" s="494" t="s">
        <v>38</v>
      </c>
      <c r="F541" s="496" t="s">
        <v>312</v>
      </c>
      <c r="G541" s="494" t="s">
        <v>40</v>
      </c>
      <c r="H541" s="500">
        <v>9</v>
      </c>
      <c r="I541" s="1248">
        <v>46082</v>
      </c>
      <c r="J541" s="958">
        <f t="shared" ref="J541:J542" si="44">IF(H541=0,0,IF(H541="-","-",ROUND(H541/12,2)))</f>
        <v>0.75</v>
      </c>
      <c r="K541" s="959"/>
      <c r="L541" s="2443">
        <v>0</v>
      </c>
      <c r="M541" s="957"/>
      <c r="N541" s="943"/>
      <c r="O541" s="944"/>
      <c r="P541" s="945"/>
      <c r="Q541" s="946"/>
      <c r="R541" s="541"/>
      <c r="S541" s="561"/>
    </row>
    <row r="542" spans="1:19" s="492" customFormat="1" ht="48.6">
      <c r="A542" s="1229" t="s">
        <v>309</v>
      </c>
      <c r="B542" s="1221" t="s">
        <v>310</v>
      </c>
      <c r="C542" s="1205">
        <v>3</v>
      </c>
      <c r="D542" s="1206" t="s">
        <v>314</v>
      </c>
      <c r="E542" s="494" t="s">
        <v>38</v>
      </c>
      <c r="F542" s="496" t="s">
        <v>312</v>
      </c>
      <c r="G542" s="494" t="s">
        <v>40</v>
      </c>
      <c r="H542" s="500">
        <v>0</v>
      </c>
      <c r="I542" s="1248">
        <v>46082</v>
      </c>
      <c r="J542" s="958">
        <f t="shared" si="44"/>
        <v>0</v>
      </c>
      <c r="K542" s="959"/>
      <c r="L542" s="971">
        <v>0</v>
      </c>
      <c r="M542" s="957"/>
      <c r="N542" s="943"/>
      <c r="O542" s="944"/>
      <c r="P542" s="945"/>
      <c r="Q542" s="946"/>
      <c r="R542" s="541"/>
      <c r="S542" s="561"/>
    </row>
    <row r="543" spans="1:19" s="492" customFormat="1" ht="48.6">
      <c r="A543" s="1229" t="s">
        <v>309</v>
      </c>
      <c r="B543" s="1221" t="s">
        <v>310</v>
      </c>
      <c r="C543" s="1205">
        <v>4</v>
      </c>
      <c r="D543" s="1206" t="s">
        <v>315</v>
      </c>
      <c r="E543" s="494" t="s">
        <v>38</v>
      </c>
      <c r="F543" s="496" t="s">
        <v>316</v>
      </c>
      <c r="G543" s="494" t="s">
        <v>40</v>
      </c>
      <c r="H543" s="500">
        <v>281</v>
      </c>
      <c r="I543" s="1248">
        <v>46082</v>
      </c>
      <c r="J543" s="958">
        <v>45</v>
      </c>
      <c r="K543" s="956"/>
      <c r="L543" s="971">
        <v>0</v>
      </c>
      <c r="M543" s="972">
        <f>K543+M495</f>
        <v>197</v>
      </c>
      <c r="N543" s="943"/>
      <c r="O543" s="944"/>
      <c r="P543" s="945"/>
      <c r="Q543" s="946"/>
      <c r="R543" s="541"/>
      <c r="S543" s="561"/>
    </row>
    <row r="544" spans="1:19" s="492" customFormat="1" ht="48.6">
      <c r="A544" s="1229" t="s">
        <v>309</v>
      </c>
      <c r="B544" s="1221" t="s">
        <v>310</v>
      </c>
      <c r="C544" s="1205">
        <v>5</v>
      </c>
      <c r="D544" s="1206" t="s">
        <v>315</v>
      </c>
      <c r="E544" s="494" t="s">
        <v>136</v>
      </c>
      <c r="F544" s="496" t="s">
        <v>316</v>
      </c>
      <c r="G544" s="494" t="s">
        <v>40</v>
      </c>
      <c r="H544" s="500">
        <v>117</v>
      </c>
      <c r="I544" s="1248">
        <v>46082</v>
      </c>
      <c r="J544" s="939">
        <v>24.85</v>
      </c>
      <c r="K544" s="959"/>
      <c r="L544" s="971">
        <f>J544+L495</f>
        <v>257.85000000000002</v>
      </c>
      <c r="M544" s="972">
        <f>K544+M496</f>
        <v>58.618000000000002</v>
      </c>
      <c r="N544" s="943"/>
      <c r="O544" s="944"/>
      <c r="P544" s="945"/>
      <c r="Q544" s="946"/>
      <c r="R544" s="541"/>
      <c r="S544" s="561"/>
    </row>
    <row r="545" spans="1:19" s="492" customFormat="1" ht="48.6">
      <c r="A545" s="1229" t="s">
        <v>309</v>
      </c>
      <c r="B545" s="1221" t="s">
        <v>310</v>
      </c>
      <c r="C545" s="1205">
        <v>6</v>
      </c>
      <c r="D545" s="1206" t="s">
        <v>317</v>
      </c>
      <c r="E545" s="494" t="s">
        <v>38</v>
      </c>
      <c r="F545" s="496" t="s">
        <v>316</v>
      </c>
      <c r="G545" s="494" t="s">
        <v>40</v>
      </c>
      <c r="H545" s="500">
        <v>0</v>
      </c>
      <c r="I545" s="1248">
        <v>46082</v>
      </c>
      <c r="J545" s="958">
        <f t="shared" ref="J545:J546" si="45">IF(H545=0,0,IF(H545="-","-",ROUND(H545/12,2)))</f>
        <v>0</v>
      </c>
      <c r="K545" s="959"/>
      <c r="L545" s="971">
        <f>J545+L496</f>
        <v>92.109000000000009</v>
      </c>
      <c r="M545" s="957"/>
      <c r="N545" s="943"/>
      <c r="O545" s="944" t="s">
        <v>388</v>
      </c>
      <c r="P545" s="945"/>
      <c r="Q545" s="946"/>
      <c r="R545" s="541"/>
      <c r="S545" s="561"/>
    </row>
    <row r="546" spans="1:19" s="492" customFormat="1" ht="48.6">
      <c r="A546" s="1229" t="s">
        <v>309</v>
      </c>
      <c r="B546" s="1221" t="s">
        <v>310</v>
      </c>
      <c r="C546" s="1205">
        <v>7</v>
      </c>
      <c r="D546" s="1206" t="s">
        <v>317</v>
      </c>
      <c r="E546" s="494" t="s">
        <v>136</v>
      </c>
      <c r="F546" s="496" t="s">
        <v>316</v>
      </c>
      <c r="G546" s="494" t="s">
        <v>40</v>
      </c>
      <c r="H546" s="500">
        <v>0</v>
      </c>
      <c r="I546" s="1248">
        <v>46082</v>
      </c>
      <c r="J546" s="958">
        <f t="shared" si="45"/>
        <v>0</v>
      </c>
      <c r="K546" s="959"/>
      <c r="L546" s="971">
        <v>0</v>
      </c>
      <c r="M546" s="957"/>
      <c r="N546" s="943"/>
      <c r="O546" s="944"/>
      <c r="P546" s="945"/>
      <c r="Q546" s="946"/>
      <c r="R546" s="541"/>
      <c r="S546" s="561"/>
    </row>
    <row r="547" spans="1:19" s="492" customFormat="1" ht="48.6">
      <c r="A547" s="1229" t="s">
        <v>309</v>
      </c>
      <c r="B547" s="1221" t="s">
        <v>310</v>
      </c>
      <c r="C547" s="1205">
        <v>8</v>
      </c>
      <c r="D547" s="1206" t="s">
        <v>318</v>
      </c>
      <c r="E547" s="494" t="s">
        <v>38</v>
      </c>
      <c r="F547" s="496" t="s">
        <v>316</v>
      </c>
      <c r="G547" s="494" t="s">
        <v>40</v>
      </c>
      <c r="H547" s="500">
        <v>195</v>
      </c>
      <c r="I547" s="1248">
        <v>46082</v>
      </c>
      <c r="J547" s="958">
        <v>23</v>
      </c>
      <c r="K547" s="956"/>
      <c r="L547" s="2446">
        <v>0</v>
      </c>
      <c r="M547" s="957">
        <f>K547+M499</f>
        <v>72</v>
      </c>
      <c r="N547" s="943"/>
      <c r="O547" s="944" t="s">
        <v>389</v>
      </c>
      <c r="P547" s="945"/>
      <c r="Q547" s="946"/>
      <c r="R547" s="541"/>
      <c r="S547" s="561"/>
    </row>
    <row r="548" spans="1:19" s="492" customFormat="1" ht="48.6">
      <c r="A548" s="1229" t="s">
        <v>309</v>
      </c>
      <c r="B548" s="1221" t="s">
        <v>310</v>
      </c>
      <c r="C548" s="1205">
        <v>9</v>
      </c>
      <c r="D548" s="1206" t="s">
        <v>318</v>
      </c>
      <c r="E548" s="494" t="s">
        <v>136</v>
      </c>
      <c r="F548" s="496" t="s">
        <v>316</v>
      </c>
      <c r="G548" s="494" t="s">
        <v>40</v>
      </c>
      <c r="H548" s="645">
        <v>313</v>
      </c>
      <c r="I548" s="1248">
        <v>46082</v>
      </c>
      <c r="J548" s="955">
        <v>31.757999999999999</v>
      </c>
      <c r="K548" s="959"/>
      <c r="L548" s="946">
        <f>J548+L499</f>
        <v>203.75800000000001</v>
      </c>
      <c r="M548" s="957">
        <f>K548+M500</f>
        <v>69.426000000000002</v>
      </c>
      <c r="N548" s="943"/>
      <c r="O548" s="944"/>
      <c r="P548" s="945"/>
      <c r="Q548" s="946"/>
      <c r="R548" s="541"/>
      <c r="S548" s="561"/>
    </row>
    <row r="549" spans="1:19" s="492" customFormat="1" ht="48.6">
      <c r="A549" s="1229" t="s">
        <v>309</v>
      </c>
      <c r="B549" s="1221" t="s">
        <v>319</v>
      </c>
      <c r="C549" s="1205">
        <v>10</v>
      </c>
      <c r="D549" s="1206" t="s">
        <v>320</v>
      </c>
      <c r="E549" s="494" t="s">
        <v>38</v>
      </c>
      <c r="F549" s="496" t="s">
        <v>321</v>
      </c>
      <c r="G549" s="494" t="s">
        <v>40</v>
      </c>
      <c r="H549" s="500">
        <v>0</v>
      </c>
      <c r="I549" s="1248">
        <v>46082</v>
      </c>
      <c r="J549" s="958">
        <f t="shared" ref="J549:J551" si="46">IF(H549=0,0,IF(H549="-","-",ROUND(H549/12,2)))</f>
        <v>0</v>
      </c>
      <c r="K549" s="959"/>
      <c r="L549" s="2447">
        <f>J549+L500</f>
        <v>281.26100000000002</v>
      </c>
      <c r="M549" s="957"/>
      <c r="N549" s="943"/>
      <c r="O549" s="944"/>
      <c r="P549" s="945"/>
      <c r="Q549" s="946"/>
      <c r="R549" s="541"/>
      <c r="S549" s="561"/>
    </row>
    <row r="550" spans="1:19" s="492" customFormat="1" ht="48.6">
      <c r="A550" s="1229" t="s">
        <v>309</v>
      </c>
      <c r="B550" s="1221" t="s">
        <v>319</v>
      </c>
      <c r="C550" s="1205">
        <v>11</v>
      </c>
      <c r="D550" s="1206" t="s">
        <v>322</v>
      </c>
      <c r="E550" s="494" t="s">
        <v>38</v>
      </c>
      <c r="F550" s="496" t="s">
        <v>321</v>
      </c>
      <c r="G550" s="494" t="s">
        <v>40</v>
      </c>
      <c r="H550" s="500">
        <v>0</v>
      </c>
      <c r="I550" s="1248">
        <v>46082</v>
      </c>
      <c r="J550" s="958">
        <f t="shared" si="46"/>
        <v>0</v>
      </c>
      <c r="K550" s="959"/>
      <c r="L550" s="971">
        <v>0</v>
      </c>
      <c r="M550" s="957"/>
      <c r="N550" s="943"/>
      <c r="O550" s="944"/>
      <c r="P550" s="945"/>
      <c r="Q550" s="946"/>
      <c r="R550" s="541"/>
      <c r="S550" s="561"/>
    </row>
    <row r="551" spans="1:19" s="492" customFormat="1" ht="48.6">
      <c r="A551" s="1229" t="s">
        <v>309</v>
      </c>
      <c r="B551" s="1221" t="s">
        <v>319</v>
      </c>
      <c r="C551" s="1205">
        <v>12</v>
      </c>
      <c r="D551" s="1206" t="s">
        <v>313</v>
      </c>
      <c r="E551" s="494" t="s">
        <v>38</v>
      </c>
      <c r="F551" s="496" t="s">
        <v>321</v>
      </c>
      <c r="G551" s="494" t="s">
        <v>40</v>
      </c>
      <c r="H551" s="500">
        <v>0</v>
      </c>
      <c r="I551" s="1248">
        <v>46082</v>
      </c>
      <c r="J551" s="958">
        <f t="shared" si="46"/>
        <v>0</v>
      </c>
      <c r="K551" s="959"/>
      <c r="L551" s="971">
        <v>0</v>
      </c>
      <c r="M551" s="957"/>
      <c r="N551" s="943"/>
      <c r="O551" s="944"/>
      <c r="P551" s="945"/>
      <c r="Q551" s="946"/>
      <c r="R551" s="541"/>
      <c r="S551" s="561"/>
    </row>
    <row r="552" spans="1:19" s="492" customFormat="1" ht="48.6">
      <c r="A552" s="1229" t="s">
        <v>309</v>
      </c>
      <c r="B552" s="1221" t="s">
        <v>319</v>
      </c>
      <c r="C552" s="1205">
        <v>13</v>
      </c>
      <c r="D552" s="1206" t="s">
        <v>323</v>
      </c>
      <c r="E552" s="494" t="s">
        <v>38</v>
      </c>
      <c r="F552" s="496" t="s">
        <v>321</v>
      </c>
      <c r="G552" s="494" t="s">
        <v>40</v>
      </c>
      <c r="H552" s="500">
        <v>5</v>
      </c>
      <c r="I552" s="1248">
        <v>46082</v>
      </c>
      <c r="J552" s="955">
        <v>1</v>
      </c>
      <c r="K552" s="959"/>
      <c r="L552" s="2446">
        <v>0</v>
      </c>
      <c r="M552" s="957">
        <f>M504+K552</f>
        <v>3</v>
      </c>
      <c r="N552" s="943"/>
      <c r="O552" s="944"/>
      <c r="P552" s="945"/>
      <c r="Q552" s="946"/>
      <c r="R552" s="541"/>
      <c r="S552" s="561"/>
    </row>
    <row r="553" spans="1:19" s="492" customFormat="1" ht="48.6">
      <c r="A553" s="1229" t="s">
        <v>309</v>
      </c>
      <c r="B553" s="1206" t="s">
        <v>324</v>
      </c>
      <c r="C553" s="1205">
        <v>14</v>
      </c>
      <c r="D553" s="1206" t="s">
        <v>311</v>
      </c>
      <c r="E553" s="494" t="s">
        <v>38</v>
      </c>
      <c r="F553" s="496" t="s">
        <v>312</v>
      </c>
      <c r="G553" s="494" t="s">
        <v>40</v>
      </c>
      <c r="H553" s="501">
        <v>0</v>
      </c>
      <c r="I553" s="1248">
        <v>46082</v>
      </c>
      <c r="J553" s="958">
        <f t="shared" ref="J553:J571" si="47">IF(H553=0,0,IF(H553="-","-",ROUND(H553/12,2)))</f>
        <v>0</v>
      </c>
      <c r="K553" s="959"/>
      <c r="L553" s="2447">
        <f>L504</f>
        <v>3</v>
      </c>
      <c r="M553" s="957"/>
      <c r="N553" s="943"/>
      <c r="O553" s="944"/>
      <c r="P553" s="945"/>
      <c r="Q553" s="946"/>
      <c r="R553" s="1255"/>
      <c r="S553" s="561"/>
    </row>
    <row r="554" spans="1:19" s="492" customFormat="1" ht="48.6">
      <c r="A554" s="1229" t="s">
        <v>309</v>
      </c>
      <c r="B554" s="1206" t="s">
        <v>324</v>
      </c>
      <c r="C554" s="1205">
        <v>15</v>
      </c>
      <c r="D554" s="1206" t="s">
        <v>313</v>
      </c>
      <c r="E554" s="494" t="s">
        <v>38</v>
      </c>
      <c r="F554" s="496" t="s">
        <v>312</v>
      </c>
      <c r="G554" s="494" t="s">
        <v>40</v>
      </c>
      <c r="H554" s="501">
        <v>30</v>
      </c>
      <c r="I554" s="1248">
        <v>46082</v>
      </c>
      <c r="J554" s="958">
        <f t="shared" si="47"/>
        <v>2.5</v>
      </c>
      <c r="K554" s="959"/>
      <c r="L554" s="971">
        <v>0</v>
      </c>
      <c r="M554" s="957"/>
      <c r="N554" s="943"/>
      <c r="O554" s="944"/>
      <c r="P554" s="945"/>
      <c r="Q554" s="946"/>
      <c r="R554" s="1255"/>
      <c r="S554" s="561"/>
    </row>
    <row r="555" spans="1:19" s="492" customFormat="1" ht="48.6">
      <c r="A555" s="1229" t="s">
        <v>309</v>
      </c>
      <c r="B555" s="1206" t="s">
        <v>324</v>
      </c>
      <c r="C555" s="1205">
        <v>16</v>
      </c>
      <c r="D555" s="1206" t="s">
        <v>314</v>
      </c>
      <c r="E555" s="494" t="s">
        <v>38</v>
      </c>
      <c r="F555" s="496" t="s">
        <v>312</v>
      </c>
      <c r="G555" s="494" t="s">
        <v>40</v>
      </c>
      <c r="H555" s="501">
        <v>0</v>
      </c>
      <c r="I555" s="1248">
        <v>46082</v>
      </c>
      <c r="J555" s="958">
        <f t="shared" si="47"/>
        <v>0</v>
      </c>
      <c r="K555" s="959"/>
      <c r="L555" s="2434">
        <f>L506+J555</f>
        <v>25</v>
      </c>
      <c r="M555" s="957"/>
      <c r="N555" s="943"/>
      <c r="O555" s="944"/>
      <c r="P555" s="945"/>
      <c r="Q555" s="946"/>
      <c r="R555" s="1255"/>
      <c r="S555" s="561"/>
    </row>
    <row r="556" spans="1:19" s="492" customFormat="1" ht="48.6">
      <c r="A556" s="1229" t="s">
        <v>309</v>
      </c>
      <c r="B556" s="1206" t="s">
        <v>325</v>
      </c>
      <c r="C556" s="1205">
        <v>17</v>
      </c>
      <c r="D556" s="1206" t="s">
        <v>326</v>
      </c>
      <c r="E556" s="494" t="s">
        <v>38</v>
      </c>
      <c r="F556" s="496" t="s">
        <v>327</v>
      </c>
      <c r="G556" s="494" t="s">
        <v>40</v>
      </c>
      <c r="H556" s="501">
        <v>0</v>
      </c>
      <c r="I556" s="1248">
        <v>46082</v>
      </c>
      <c r="J556" s="958">
        <f t="shared" si="47"/>
        <v>0</v>
      </c>
      <c r="K556" s="959"/>
      <c r="L556" s="971">
        <v>0</v>
      </c>
      <c r="M556" s="957"/>
      <c r="N556" s="943"/>
      <c r="O556" s="944"/>
      <c r="P556" s="945"/>
      <c r="Q556" s="946"/>
      <c r="R556" s="541"/>
      <c r="S556" s="561"/>
    </row>
    <row r="557" spans="1:19" s="492" customFormat="1" ht="48.6">
      <c r="A557" s="1229" t="s">
        <v>309</v>
      </c>
      <c r="B557" s="1206" t="s">
        <v>325</v>
      </c>
      <c r="C557" s="1205">
        <v>18</v>
      </c>
      <c r="D557" s="1206" t="s">
        <v>326</v>
      </c>
      <c r="E557" s="494" t="s">
        <v>136</v>
      </c>
      <c r="F557" s="496" t="s">
        <v>327</v>
      </c>
      <c r="G557" s="494" t="s">
        <v>40</v>
      </c>
      <c r="H557" s="501">
        <v>0</v>
      </c>
      <c r="I557" s="1248">
        <v>46082</v>
      </c>
      <c r="J557" s="958">
        <f t="shared" si="47"/>
        <v>0</v>
      </c>
      <c r="K557" s="959"/>
      <c r="L557" s="971">
        <v>0</v>
      </c>
      <c r="M557" s="957"/>
      <c r="N557" s="943"/>
      <c r="O557" s="944"/>
      <c r="P557" s="945"/>
      <c r="Q557" s="946"/>
      <c r="R557" s="541"/>
      <c r="S557" s="561"/>
    </row>
    <row r="558" spans="1:19" s="492" customFormat="1" ht="48.6">
      <c r="A558" s="1229" t="s">
        <v>309</v>
      </c>
      <c r="B558" s="1206" t="s">
        <v>325</v>
      </c>
      <c r="C558" s="1205">
        <v>19</v>
      </c>
      <c r="D558" s="1206" t="s">
        <v>328</v>
      </c>
      <c r="E558" s="494" t="s">
        <v>38</v>
      </c>
      <c r="F558" s="496" t="s">
        <v>327</v>
      </c>
      <c r="G558" s="494" t="s">
        <v>40</v>
      </c>
      <c r="H558" s="501" t="s">
        <v>41</v>
      </c>
      <c r="I558" s="1248">
        <v>46082</v>
      </c>
      <c r="J558" s="955" t="str">
        <f t="shared" si="47"/>
        <v>-</v>
      </c>
      <c r="K558" s="959"/>
      <c r="L558" s="2446">
        <v>0</v>
      </c>
      <c r="M558" s="957"/>
      <c r="N558" s="943"/>
      <c r="O558" s="944"/>
      <c r="P558" s="945"/>
      <c r="Q558" s="946"/>
      <c r="R558" s="541"/>
      <c r="S558" s="561"/>
    </row>
    <row r="559" spans="1:19" s="492" customFormat="1" ht="48.6">
      <c r="A559" s="1229" t="s">
        <v>309</v>
      </c>
      <c r="B559" s="1206" t="s">
        <v>325</v>
      </c>
      <c r="C559" s="1205">
        <v>20</v>
      </c>
      <c r="D559" s="1206" t="s">
        <v>328</v>
      </c>
      <c r="E559" s="494" t="s">
        <v>136</v>
      </c>
      <c r="F559" s="496" t="s">
        <v>327</v>
      </c>
      <c r="G559" s="494" t="s">
        <v>40</v>
      </c>
      <c r="H559" s="501" t="s">
        <v>41</v>
      </c>
      <c r="I559" s="1248">
        <v>46082</v>
      </c>
      <c r="J559" s="955" t="str">
        <f t="shared" si="47"/>
        <v>-</v>
      </c>
      <c r="K559" s="959"/>
      <c r="L559" s="946" t="s">
        <v>41</v>
      </c>
      <c r="M559" s="957"/>
      <c r="N559" s="943"/>
      <c r="O559" s="944"/>
      <c r="P559" s="945"/>
      <c r="Q559" s="946"/>
      <c r="R559" s="541"/>
      <c r="S559" s="561"/>
    </row>
    <row r="560" spans="1:19" s="492" customFormat="1" ht="48.6">
      <c r="A560" s="1229" t="s">
        <v>309</v>
      </c>
      <c r="B560" s="1206" t="s">
        <v>325</v>
      </c>
      <c r="C560" s="1205">
        <v>21</v>
      </c>
      <c r="D560" s="1206" t="s">
        <v>329</v>
      </c>
      <c r="E560" s="494" t="s">
        <v>38</v>
      </c>
      <c r="F560" s="496" t="s">
        <v>327</v>
      </c>
      <c r="G560" s="494" t="s">
        <v>40</v>
      </c>
      <c r="H560" s="501" t="s">
        <v>41</v>
      </c>
      <c r="I560" s="1248">
        <v>46082</v>
      </c>
      <c r="J560" s="955" t="str">
        <f t="shared" si="47"/>
        <v>-</v>
      </c>
      <c r="K560" s="959"/>
      <c r="L560" s="946" t="s">
        <v>41</v>
      </c>
      <c r="M560" s="957"/>
      <c r="N560" s="943"/>
      <c r="O560" s="944"/>
      <c r="P560" s="945"/>
      <c r="Q560" s="946"/>
      <c r="R560" s="541"/>
      <c r="S560" s="561"/>
    </row>
    <row r="561" spans="1:21" s="492" customFormat="1" ht="48.6">
      <c r="A561" s="1229" t="s">
        <v>309</v>
      </c>
      <c r="B561" s="1206" t="s">
        <v>325</v>
      </c>
      <c r="C561" s="1205">
        <v>22</v>
      </c>
      <c r="D561" s="1206" t="s">
        <v>329</v>
      </c>
      <c r="E561" s="494" t="s">
        <v>136</v>
      </c>
      <c r="F561" s="496" t="s">
        <v>327</v>
      </c>
      <c r="G561" s="494" t="s">
        <v>40</v>
      </c>
      <c r="H561" s="501" t="s">
        <v>41</v>
      </c>
      <c r="I561" s="1248">
        <v>46082</v>
      </c>
      <c r="J561" s="955" t="str">
        <f t="shared" si="47"/>
        <v>-</v>
      </c>
      <c r="K561" s="959"/>
      <c r="L561" s="946" t="s">
        <v>41</v>
      </c>
      <c r="M561" s="957"/>
      <c r="N561" s="943"/>
      <c r="O561" s="944"/>
      <c r="P561" s="945"/>
      <c r="Q561" s="946"/>
      <c r="R561" s="541"/>
      <c r="S561" s="561"/>
    </row>
    <row r="562" spans="1:21" s="492" customFormat="1" ht="48.6">
      <c r="A562" s="1229" t="s">
        <v>309</v>
      </c>
      <c r="B562" s="1206" t="s">
        <v>325</v>
      </c>
      <c r="C562" s="1205">
        <v>23</v>
      </c>
      <c r="D562" s="1206" t="s">
        <v>330</v>
      </c>
      <c r="E562" s="494" t="s">
        <v>38</v>
      </c>
      <c r="F562" s="496" t="s">
        <v>327</v>
      </c>
      <c r="G562" s="494" t="s">
        <v>40</v>
      </c>
      <c r="H562" s="501" t="s">
        <v>41</v>
      </c>
      <c r="I562" s="1248">
        <v>46082</v>
      </c>
      <c r="J562" s="955" t="str">
        <f t="shared" si="47"/>
        <v>-</v>
      </c>
      <c r="K562" s="959"/>
      <c r="L562" s="946" t="s">
        <v>41</v>
      </c>
      <c r="M562" s="957"/>
      <c r="N562" s="943"/>
      <c r="O562" s="944"/>
      <c r="P562" s="945"/>
      <c r="Q562" s="946"/>
      <c r="R562" s="541"/>
      <c r="S562" s="561"/>
    </row>
    <row r="563" spans="1:21" s="492" customFormat="1" ht="48.6">
      <c r="A563" s="1229" t="s">
        <v>309</v>
      </c>
      <c r="B563" s="1206" t="s">
        <v>325</v>
      </c>
      <c r="C563" s="1205">
        <v>24</v>
      </c>
      <c r="D563" s="1206" t="s">
        <v>330</v>
      </c>
      <c r="E563" s="494" t="s">
        <v>136</v>
      </c>
      <c r="F563" s="496" t="s">
        <v>327</v>
      </c>
      <c r="G563" s="494" t="s">
        <v>40</v>
      </c>
      <c r="H563" s="501" t="s">
        <v>41</v>
      </c>
      <c r="I563" s="1248">
        <v>46082</v>
      </c>
      <c r="J563" s="955" t="str">
        <f t="shared" si="47"/>
        <v>-</v>
      </c>
      <c r="K563" s="959"/>
      <c r="L563" s="946" t="s">
        <v>41</v>
      </c>
      <c r="M563" s="957"/>
      <c r="N563" s="943"/>
      <c r="O563" s="944"/>
      <c r="P563" s="945"/>
      <c r="Q563" s="946"/>
      <c r="R563" s="541"/>
      <c r="S563" s="561"/>
    </row>
    <row r="564" spans="1:21" s="492" customFormat="1" ht="48.6">
      <c r="A564" s="1229" t="s">
        <v>309</v>
      </c>
      <c r="B564" s="1206" t="s">
        <v>325</v>
      </c>
      <c r="C564" s="1205">
        <v>25</v>
      </c>
      <c r="D564" s="1206" t="s">
        <v>331</v>
      </c>
      <c r="E564" s="494" t="s">
        <v>38</v>
      </c>
      <c r="F564" s="496" t="s">
        <v>327</v>
      </c>
      <c r="G564" s="494" t="s">
        <v>332</v>
      </c>
      <c r="H564" s="501">
        <v>0</v>
      </c>
      <c r="I564" s="1248">
        <v>46082</v>
      </c>
      <c r="J564" s="958">
        <f>1+3</f>
        <v>4</v>
      </c>
      <c r="K564" s="959"/>
      <c r="L564" s="2447" t="s">
        <v>41</v>
      </c>
      <c r="M564" s="957"/>
      <c r="N564" s="943"/>
      <c r="O564" s="944" t="s">
        <v>453</v>
      </c>
      <c r="P564" s="945"/>
      <c r="Q564" s="946"/>
      <c r="R564" s="541"/>
      <c r="S564" s="561"/>
      <c r="T564" s="492">
        <v>1</v>
      </c>
      <c r="U564" s="492">
        <v>3</v>
      </c>
    </row>
    <row r="565" spans="1:21" s="492" customFormat="1" ht="48.6">
      <c r="A565" s="1229" t="s">
        <v>309</v>
      </c>
      <c r="B565" s="1206" t="s">
        <v>325</v>
      </c>
      <c r="C565" s="1205">
        <v>26</v>
      </c>
      <c r="D565" s="1216" t="s">
        <v>331</v>
      </c>
      <c r="E565" s="494" t="s">
        <v>136</v>
      </c>
      <c r="F565" s="496" t="s">
        <v>327</v>
      </c>
      <c r="G565" s="494" t="s">
        <v>332</v>
      </c>
      <c r="H565" s="501">
        <v>0</v>
      </c>
      <c r="I565" s="1248">
        <v>46082</v>
      </c>
      <c r="J565" s="1010">
        <f>0.52+0.6</f>
        <v>1.1200000000000001</v>
      </c>
      <c r="K565" s="959"/>
      <c r="L565" s="2435">
        <f>+L517-J565</f>
        <v>-2.6645352591003757E-15</v>
      </c>
      <c r="M565" s="957"/>
      <c r="N565" s="943"/>
      <c r="O565" s="944"/>
      <c r="P565" s="945"/>
      <c r="Q565" s="946"/>
      <c r="R565" s="541"/>
      <c r="S565" s="561"/>
      <c r="T565" s="492">
        <v>0.52</v>
      </c>
      <c r="U565" s="492">
        <v>0.6</v>
      </c>
    </row>
    <row r="566" spans="1:21" s="492" customFormat="1" ht="48.6">
      <c r="A566" s="1229" t="s">
        <v>309</v>
      </c>
      <c r="B566" s="1206" t="s">
        <v>325</v>
      </c>
      <c r="C566" s="1205">
        <v>27</v>
      </c>
      <c r="D566" s="1216" t="s">
        <v>334</v>
      </c>
      <c r="E566" s="494" t="s">
        <v>38</v>
      </c>
      <c r="F566" s="496" t="s">
        <v>327</v>
      </c>
      <c r="G566" s="494" t="s">
        <v>332</v>
      </c>
      <c r="H566" s="501">
        <v>0</v>
      </c>
      <c r="I566" s="1248">
        <v>46082</v>
      </c>
      <c r="J566" s="958">
        <v>2</v>
      </c>
      <c r="K566" s="959"/>
      <c r="L566" s="2447">
        <f>+L518-J566</f>
        <v>0</v>
      </c>
      <c r="M566" s="957"/>
      <c r="N566" s="943"/>
      <c r="O566" s="944" t="s">
        <v>454</v>
      </c>
      <c r="P566" s="945"/>
      <c r="Q566" s="946"/>
      <c r="R566" s="541"/>
      <c r="S566" s="561"/>
      <c r="T566" s="492">
        <v>2</v>
      </c>
    </row>
    <row r="567" spans="1:21" s="492" customFormat="1" ht="48.6">
      <c r="A567" s="1229" t="s">
        <v>309</v>
      </c>
      <c r="B567" s="1206" t="s">
        <v>325</v>
      </c>
      <c r="C567" s="1205">
        <v>28</v>
      </c>
      <c r="D567" s="1216" t="s">
        <v>334</v>
      </c>
      <c r="E567" s="494" t="s">
        <v>136</v>
      </c>
      <c r="F567" s="496" t="s">
        <v>327</v>
      </c>
      <c r="G567" s="494" t="s">
        <v>332</v>
      </c>
      <c r="H567" s="501">
        <v>0</v>
      </c>
      <c r="I567" s="1248">
        <v>46082</v>
      </c>
      <c r="J567" s="997">
        <v>0.33</v>
      </c>
      <c r="K567" s="959"/>
      <c r="L567" s="971">
        <f>L519-J567</f>
        <v>0</v>
      </c>
      <c r="M567" s="957"/>
      <c r="N567" s="943"/>
      <c r="O567" s="944"/>
      <c r="P567" s="945"/>
      <c r="Q567" s="946"/>
      <c r="R567" s="541"/>
      <c r="S567" s="561"/>
      <c r="T567" s="492">
        <v>0.33</v>
      </c>
    </row>
    <row r="568" spans="1:21" s="492" customFormat="1" ht="48.6">
      <c r="A568" s="1229" t="s">
        <v>309</v>
      </c>
      <c r="B568" s="1206" t="s">
        <v>325</v>
      </c>
      <c r="C568" s="1205">
        <v>29</v>
      </c>
      <c r="D568" s="1206" t="s">
        <v>336</v>
      </c>
      <c r="E568" s="494" t="s">
        <v>38</v>
      </c>
      <c r="F568" s="496" t="s">
        <v>316</v>
      </c>
      <c r="G568" s="494" t="s">
        <v>40</v>
      </c>
      <c r="H568" s="501">
        <v>0</v>
      </c>
      <c r="I568" s="1248">
        <v>46082</v>
      </c>
      <c r="J568" s="958">
        <f t="shared" si="47"/>
        <v>0</v>
      </c>
      <c r="K568" s="959"/>
      <c r="L568" s="2447">
        <f>L519-J568</f>
        <v>0.33000000000000007</v>
      </c>
      <c r="M568" s="957"/>
      <c r="N568" s="943"/>
      <c r="O568" s="944" t="s">
        <v>370</v>
      </c>
      <c r="P568" s="945"/>
      <c r="Q568" s="946"/>
      <c r="R568" s="541"/>
      <c r="S568" s="561"/>
    </row>
    <row r="569" spans="1:21" s="492" customFormat="1" ht="48.6">
      <c r="A569" s="1229" t="s">
        <v>309</v>
      </c>
      <c r="B569" s="1206" t="s">
        <v>325</v>
      </c>
      <c r="C569" s="1205">
        <v>30</v>
      </c>
      <c r="D569" s="1206" t="s">
        <v>336</v>
      </c>
      <c r="E569" s="494" t="s">
        <v>136</v>
      </c>
      <c r="F569" s="496" t="s">
        <v>316</v>
      </c>
      <c r="G569" s="494" t="s">
        <v>40</v>
      </c>
      <c r="H569" s="501">
        <v>0</v>
      </c>
      <c r="I569" s="1248">
        <v>46082</v>
      </c>
      <c r="J569" s="958">
        <f t="shared" si="47"/>
        <v>0</v>
      </c>
      <c r="K569" s="959"/>
      <c r="L569" s="971">
        <v>0</v>
      </c>
      <c r="M569" s="957"/>
      <c r="N569" s="943"/>
      <c r="O569" s="944"/>
      <c r="P569" s="945"/>
      <c r="Q569" s="946"/>
      <c r="R569" s="541"/>
      <c r="S569" s="561"/>
    </row>
    <row r="570" spans="1:21" s="492" customFormat="1" ht="48.6">
      <c r="A570" s="1229" t="s">
        <v>309</v>
      </c>
      <c r="B570" s="1206" t="s">
        <v>325</v>
      </c>
      <c r="C570" s="1205">
        <v>31</v>
      </c>
      <c r="D570" s="1206" t="s">
        <v>338</v>
      </c>
      <c r="E570" s="494" t="s">
        <v>38</v>
      </c>
      <c r="F570" s="496" t="s">
        <v>316</v>
      </c>
      <c r="G570" s="494" t="s">
        <v>40</v>
      </c>
      <c r="H570" s="501">
        <v>0</v>
      </c>
      <c r="I570" s="1248">
        <v>46082</v>
      </c>
      <c r="J570" s="958">
        <f t="shared" si="47"/>
        <v>0</v>
      </c>
      <c r="K570" s="959"/>
      <c r="L570" s="971">
        <v>0</v>
      </c>
      <c r="M570" s="957"/>
      <c r="N570" s="943"/>
      <c r="O570" s="944" t="s">
        <v>396</v>
      </c>
      <c r="P570" s="945"/>
      <c r="Q570" s="946"/>
      <c r="R570" s="541"/>
      <c r="S570" s="561"/>
    </row>
    <row r="571" spans="1:21" s="492" customFormat="1" ht="48.6">
      <c r="A571" s="1229" t="s">
        <v>309</v>
      </c>
      <c r="B571" s="1206" t="s">
        <v>325</v>
      </c>
      <c r="C571" s="1205">
        <v>32</v>
      </c>
      <c r="D571" s="1206" t="s">
        <v>338</v>
      </c>
      <c r="E571" s="494" t="s">
        <v>136</v>
      </c>
      <c r="F571" s="496" t="s">
        <v>316</v>
      </c>
      <c r="G571" s="494" t="s">
        <v>40</v>
      </c>
      <c r="H571" s="501">
        <v>0</v>
      </c>
      <c r="I571" s="1248">
        <v>46082</v>
      </c>
      <c r="J571" s="958">
        <f t="shared" si="47"/>
        <v>0</v>
      </c>
      <c r="K571" s="959"/>
      <c r="L571" s="971">
        <v>0</v>
      </c>
      <c r="M571" s="957"/>
      <c r="N571" s="943"/>
      <c r="O571" s="944"/>
      <c r="P571" s="945"/>
      <c r="Q571" s="946"/>
      <c r="R571" s="541"/>
      <c r="S571" s="561"/>
    </row>
    <row r="572" spans="1:21" s="492" customFormat="1" ht="48.6">
      <c r="A572" s="1229" t="s">
        <v>309</v>
      </c>
      <c r="B572" s="1206" t="s">
        <v>325</v>
      </c>
      <c r="C572" s="1205">
        <v>33</v>
      </c>
      <c r="D572" s="1206" t="s">
        <v>339</v>
      </c>
      <c r="E572" s="494" t="s">
        <v>133</v>
      </c>
      <c r="F572" s="496" t="s">
        <v>340</v>
      </c>
      <c r="G572" s="494" t="s">
        <v>341</v>
      </c>
      <c r="H572" s="502">
        <v>5.0000000000000001E-3</v>
      </c>
      <c r="I572" s="1248">
        <v>46082</v>
      </c>
      <c r="J572" s="1045"/>
      <c r="K572" s="959"/>
      <c r="L572" s="2446">
        <v>0</v>
      </c>
      <c r="M572" s="957"/>
      <c r="N572" s="943"/>
      <c r="O572" s="944"/>
      <c r="P572" s="945"/>
      <c r="Q572" s="946"/>
      <c r="R572" s="541"/>
      <c r="S572" s="561"/>
    </row>
    <row r="573" spans="1:21" s="492" customFormat="1" ht="48.6">
      <c r="A573" s="1229" t="s">
        <v>309</v>
      </c>
      <c r="B573" s="1206" t="s">
        <v>325</v>
      </c>
      <c r="C573" s="1205">
        <v>34</v>
      </c>
      <c r="D573" s="1206" t="s">
        <v>339</v>
      </c>
      <c r="E573" s="494" t="s">
        <v>136</v>
      </c>
      <c r="F573" s="496" t="s">
        <v>340</v>
      </c>
      <c r="G573" s="494" t="s">
        <v>341</v>
      </c>
      <c r="H573" s="503" t="s">
        <v>41</v>
      </c>
      <c r="I573" s="1248">
        <v>46082</v>
      </c>
      <c r="J573" s="955" t="str">
        <f t="shared" ref="J573" si="48">IF(H573=0,0,IF(H573="-","-",ROUND(H573/12,2)))</f>
        <v>-</v>
      </c>
      <c r="K573" s="959"/>
      <c r="L573" s="2448">
        <v>-5.0000000000000001E-3</v>
      </c>
      <c r="M573" s="957"/>
      <c r="N573" s="943"/>
      <c r="O573" s="944"/>
      <c r="P573" s="945"/>
      <c r="Q573" s="946"/>
      <c r="R573" s="541"/>
      <c r="S573" s="561"/>
    </row>
    <row r="574" spans="1:21" s="492" customFormat="1" ht="48.6">
      <c r="A574" s="1229" t="s">
        <v>309</v>
      </c>
      <c r="B574" s="1206" t="s">
        <v>325</v>
      </c>
      <c r="C574" s="1205">
        <v>35</v>
      </c>
      <c r="D574" s="1206" t="s">
        <v>342</v>
      </c>
      <c r="E574" s="494" t="s">
        <v>133</v>
      </c>
      <c r="F574" s="496" t="s">
        <v>106</v>
      </c>
      <c r="G574" s="494" t="s">
        <v>285</v>
      </c>
      <c r="H574" s="504">
        <v>3.5000000000000003E-2</v>
      </c>
      <c r="I574" s="1248">
        <v>46082</v>
      </c>
      <c r="J574" s="974">
        <v>3.5000000000000003E-2</v>
      </c>
      <c r="K574" s="959"/>
      <c r="L574" s="2445" t="s">
        <v>41</v>
      </c>
      <c r="M574" s="957"/>
      <c r="N574" s="943"/>
      <c r="O574" s="944"/>
      <c r="P574" s="945"/>
      <c r="Q574" s="946"/>
      <c r="R574" s="541"/>
      <c r="S574" s="561"/>
    </row>
    <row r="575" spans="1:21" s="492" customFormat="1" ht="48.6">
      <c r="A575" s="1229" t="s">
        <v>309</v>
      </c>
      <c r="B575" s="1206" t="s">
        <v>325</v>
      </c>
      <c r="C575" s="1205">
        <v>36</v>
      </c>
      <c r="D575" s="1206" t="s">
        <v>342</v>
      </c>
      <c r="E575" s="494" t="s">
        <v>136</v>
      </c>
      <c r="F575" s="496" t="s">
        <v>106</v>
      </c>
      <c r="G575" s="494" t="s">
        <v>285</v>
      </c>
      <c r="H575" s="506">
        <v>642.05999999999995</v>
      </c>
      <c r="I575" s="1248">
        <v>46082</v>
      </c>
      <c r="J575" s="955">
        <v>642.05999999999995</v>
      </c>
      <c r="K575" s="959"/>
      <c r="L575" s="2449">
        <f>J575</f>
        <v>642.05999999999995</v>
      </c>
      <c r="M575" s="957"/>
      <c r="N575" s="943"/>
      <c r="O575" s="944"/>
      <c r="P575" s="945"/>
      <c r="Q575" s="946"/>
      <c r="R575" s="541"/>
      <c r="S575" s="561"/>
    </row>
    <row r="576" spans="1:21" s="492" customFormat="1" ht="48.6">
      <c r="A576" s="1229" t="s">
        <v>309</v>
      </c>
      <c r="B576" s="1206" t="s">
        <v>325</v>
      </c>
      <c r="C576" s="1205">
        <v>37</v>
      </c>
      <c r="D576" s="1206" t="s">
        <v>343</v>
      </c>
      <c r="E576" s="494" t="s">
        <v>38</v>
      </c>
      <c r="F576" s="496" t="s">
        <v>105</v>
      </c>
      <c r="G576" s="494"/>
      <c r="H576" s="500" t="s">
        <v>41</v>
      </c>
      <c r="I576" s="1248">
        <v>46082</v>
      </c>
      <c r="J576" s="955" t="s">
        <v>41</v>
      </c>
      <c r="K576" s="959"/>
      <c r="L576" s="946" t="str">
        <f>J576</f>
        <v>-</v>
      </c>
      <c r="M576" s="957"/>
      <c r="N576" s="943"/>
      <c r="O576" s="944"/>
      <c r="P576" s="945"/>
      <c r="Q576" s="946"/>
      <c r="R576" s="541"/>
      <c r="S576" s="561"/>
    </row>
    <row r="577" spans="1:19" s="492" customFormat="1" ht="48.6">
      <c r="A577" s="1229" t="s">
        <v>309</v>
      </c>
      <c r="B577" s="1206" t="s">
        <v>325</v>
      </c>
      <c r="C577" s="1205">
        <v>38</v>
      </c>
      <c r="D577" s="1206" t="s">
        <v>343</v>
      </c>
      <c r="E577" s="494" t="s">
        <v>136</v>
      </c>
      <c r="F577" s="496" t="s">
        <v>105</v>
      </c>
      <c r="G577" s="494"/>
      <c r="H577" s="505">
        <f>84578725.86/10^6</f>
        <v>84.578725860000006</v>
      </c>
      <c r="I577" s="1248">
        <v>46082</v>
      </c>
      <c r="J577" s="955">
        <f>2272914.6/10^6</f>
        <v>2.2729146</v>
      </c>
      <c r="K577" s="959"/>
      <c r="L577" s="946">
        <f>J577+L529</f>
        <v>84.57872586000002</v>
      </c>
      <c r="M577" s="957"/>
      <c r="N577" s="943"/>
      <c r="O577" s="944"/>
      <c r="P577" s="945"/>
      <c r="Q577" s="946"/>
      <c r="R577" s="541"/>
      <c r="S577" s="561"/>
    </row>
    <row r="578" spans="1:19" s="492" customFormat="1" ht="48.6">
      <c r="A578" s="1229" t="s">
        <v>309</v>
      </c>
      <c r="B578" s="1206" t="s">
        <v>325</v>
      </c>
      <c r="C578" s="1205">
        <v>39</v>
      </c>
      <c r="D578" s="1206" t="s">
        <v>344</v>
      </c>
      <c r="E578" s="494" t="s">
        <v>136</v>
      </c>
      <c r="F578" s="496" t="s">
        <v>110</v>
      </c>
      <c r="G578" s="494" t="s">
        <v>345</v>
      </c>
      <c r="H578" s="500">
        <v>3.17</v>
      </c>
      <c r="I578" s="1248">
        <v>46082</v>
      </c>
      <c r="J578" s="955"/>
      <c r="K578" s="959"/>
      <c r="L578" s="2447">
        <f>L529+J578</f>
        <v>82.305811260000013</v>
      </c>
      <c r="M578" s="957"/>
      <c r="N578" s="943"/>
      <c r="O578" s="944"/>
      <c r="P578" s="945"/>
      <c r="Q578" s="946"/>
      <c r="R578" s="541"/>
      <c r="S578" s="561"/>
    </row>
    <row r="579" spans="1:19" s="492" customFormat="1" ht="48.6">
      <c r="A579" s="1229" t="s">
        <v>309</v>
      </c>
      <c r="B579" s="1206" t="s">
        <v>325</v>
      </c>
      <c r="C579" s="1205">
        <v>40</v>
      </c>
      <c r="D579" s="1206" t="s">
        <v>346</v>
      </c>
      <c r="E579" s="494" t="s">
        <v>136</v>
      </c>
      <c r="F579" s="496" t="s">
        <v>110</v>
      </c>
      <c r="G579" s="494" t="s">
        <v>345</v>
      </c>
      <c r="H579" s="500">
        <v>5.84</v>
      </c>
      <c r="I579" s="1248">
        <v>46082</v>
      </c>
      <c r="J579" s="955"/>
      <c r="K579" s="959"/>
      <c r="L579" s="962">
        <v>3.17</v>
      </c>
      <c r="M579" s="957"/>
      <c r="N579" s="943"/>
      <c r="O579" s="944"/>
      <c r="P579" s="945"/>
      <c r="Q579" s="946"/>
      <c r="R579" s="541"/>
      <c r="S579" s="561"/>
    </row>
    <row r="580" spans="1:19" s="492" customFormat="1" ht="48.6">
      <c r="A580" s="1229" t="s">
        <v>309</v>
      </c>
      <c r="B580" s="1206" t="s">
        <v>325</v>
      </c>
      <c r="C580" s="1205">
        <v>41</v>
      </c>
      <c r="D580" s="1206" t="s">
        <v>347</v>
      </c>
      <c r="E580" s="494" t="s">
        <v>38</v>
      </c>
      <c r="F580" s="496" t="s">
        <v>106</v>
      </c>
      <c r="G580" s="494" t="s">
        <v>285</v>
      </c>
      <c r="H580" s="500" t="s">
        <v>41</v>
      </c>
      <c r="I580" s="1248">
        <v>46082</v>
      </c>
      <c r="J580" s="955" t="s">
        <v>41</v>
      </c>
      <c r="K580" s="959"/>
      <c r="L580" s="2445">
        <v>5.84</v>
      </c>
      <c r="M580" s="957"/>
      <c r="N580" s="943"/>
      <c r="O580" s="944" t="s">
        <v>387</v>
      </c>
      <c r="P580" s="945"/>
      <c r="Q580" s="946"/>
      <c r="R580" s="541"/>
      <c r="S580" s="561"/>
    </row>
    <row r="581" spans="1:19" s="492" customFormat="1" ht="48.6">
      <c r="A581" s="1229" t="s">
        <v>309</v>
      </c>
      <c r="B581" s="1206" t="s">
        <v>325</v>
      </c>
      <c r="C581" s="1205">
        <v>42</v>
      </c>
      <c r="D581" s="1206" t="s">
        <v>347</v>
      </c>
      <c r="E581" s="494" t="s">
        <v>136</v>
      </c>
      <c r="F581" s="496" t="s">
        <v>106</v>
      </c>
      <c r="G581" s="494" t="s">
        <v>285</v>
      </c>
      <c r="H581" s="506">
        <v>155.07</v>
      </c>
      <c r="I581" s="1248">
        <v>46082</v>
      </c>
      <c r="J581" s="955">
        <v>155.07</v>
      </c>
      <c r="K581" s="959"/>
      <c r="L581" s="946" t="s">
        <v>41</v>
      </c>
      <c r="M581" s="957"/>
      <c r="N581" s="943"/>
      <c r="O581" s="944" t="s">
        <v>387</v>
      </c>
      <c r="P581" s="945"/>
      <c r="Q581" s="946"/>
      <c r="R581" s="541"/>
      <c r="S581" s="561"/>
    </row>
    <row r="582" spans="1:19" s="492" customFormat="1" ht="48.6">
      <c r="A582" s="1229" t="s">
        <v>309</v>
      </c>
      <c r="B582" s="1206" t="s">
        <v>325</v>
      </c>
      <c r="C582" s="1205">
        <v>43</v>
      </c>
      <c r="D582" s="1206" t="s">
        <v>349</v>
      </c>
      <c r="E582" s="494" t="s">
        <v>136</v>
      </c>
      <c r="F582" s="496" t="s">
        <v>340</v>
      </c>
      <c r="G582" s="494" t="s">
        <v>134</v>
      </c>
      <c r="H582" s="500">
        <v>5.4</v>
      </c>
      <c r="I582" s="1248">
        <v>46082</v>
      </c>
      <c r="J582" s="955"/>
      <c r="K582" s="959"/>
      <c r="L582" s="946"/>
      <c r="M582" s="957">
        <v>1.75</v>
      </c>
      <c r="N582" s="943"/>
      <c r="O582" s="944"/>
      <c r="P582" s="945"/>
      <c r="Q582" s="946"/>
      <c r="R582" s="541"/>
      <c r="S582" s="561"/>
    </row>
    <row r="583" spans="1:19" s="492" customFormat="1" ht="48.6">
      <c r="A583" s="1229" t="s">
        <v>309</v>
      </c>
      <c r="B583" s="1206" t="s">
        <v>325</v>
      </c>
      <c r="C583" s="1205">
        <v>44</v>
      </c>
      <c r="D583" s="1206" t="s">
        <v>350</v>
      </c>
      <c r="E583" s="494" t="s">
        <v>38</v>
      </c>
      <c r="F583" s="496" t="s">
        <v>106</v>
      </c>
      <c r="G583" s="494" t="s">
        <v>134</v>
      </c>
      <c r="H583" s="500" t="s">
        <v>41</v>
      </c>
      <c r="I583" s="1248">
        <v>46082</v>
      </c>
      <c r="J583" s="955" t="s">
        <v>41</v>
      </c>
      <c r="K583" s="959"/>
      <c r="L583" s="946" t="s">
        <v>41</v>
      </c>
      <c r="M583" s="957"/>
      <c r="N583" s="943"/>
      <c r="O583" s="944" t="s">
        <v>361</v>
      </c>
      <c r="P583" s="945"/>
      <c r="Q583" s="946"/>
      <c r="R583" s="541"/>
      <c r="S583" s="561"/>
    </row>
    <row r="584" spans="1:19" s="492" customFormat="1" ht="48.6">
      <c r="A584" s="1229" t="s">
        <v>309</v>
      </c>
      <c r="B584" s="1206" t="s">
        <v>325</v>
      </c>
      <c r="C584" s="1205">
        <v>45</v>
      </c>
      <c r="D584" s="1206" t="s">
        <v>350</v>
      </c>
      <c r="E584" s="494" t="s">
        <v>136</v>
      </c>
      <c r="F584" s="496" t="s">
        <v>106</v>
      </c>
      <c r="G584" s="494" t="s">
        <v>134</v>
      </c>
      <c r="H584" s="506">
        <v>3</v>
      </c>
      <c r="I584" s="1248">
        <v>46082</v>
      </c>
      <c r="J584" s="955">
        <v>3</v>
      </c>
      <c r="K584" s="959"/>
      <c r="L584" s="946" t="s">
        <v>41</v>
      </c>
      <c r="M584" s="957"/>
      <c r="N584" s="943"/>
      <c r="O584" s="944" t="s">
        <v>361</v>
      </c>
      <c r="P584" s="945"/>
      <c r="Q584" s="946"/>
      <c r="R584" s="541"/>
      <c r="S584" s="561"/>
    </row>
    <row r="585" spans="1:19" s="492" customFormat="1" ht="48.6">
      <c r="A585" s="1229" t="s">
        <v>309</v>
      </c>
      <c r="B585" s="1221" t="s">
        <v>351</v>
      </c>
      <c r="C585" s="1205">
        <v>46</v>
      </c>
      <c r="D585" s="1227" t="s">
        <v>352</v>
      </c>
      <c r="E585" s="494" t="s">
        <v>353</v>
      </c>
      <c r="F585" s="496" t="s">
        <v>312</v>
      </c>
      <c r="G585" s="497" t="s">
        <v>40</v>
      </c>
      <c r="H585" s="500">
        <v>1.2</v>
      </c>
      <c r="I585" s="1248">
        <v>46082</v>
      </c>
      <c r="J585" s="955" t="s">
        <v>41</v>
      </c>
      <c r="K585" s="959"/>
      <c r="L585" s="2447" t="s">
        <v>41</v>
      </c>
      <c r="M585" s="957"/>
      <c r="N585" s="943"/>
      <c r="O585" s="944"/>
      <c r="P585" s="945"/>
      <c r="Q585" s="946"/>
      <c r="R585" s="541"/>
      <c r="S585" s="561"/>
    </row>
    <row r="586" spans="1:19" s="492" customFormat="1" ht="48.6">
      <c r="A586" s="1229" t="s">
        <v>309</v>
      </c>
      <c r="B586" s="1221" t="s">
        <v>354</v>
      </c>
      <c r="C586" s="1205">
        <v>47</v>
      </c>
      <c r="D586" s="1221" t="s">
        <v>355</v>
      </c>
      <c r="E586" s="494" t="s">
        <v>353</v>
      </c>
      <c r="F586" s="496" t="s">
        <v>327</v>
      </c>
      <c r="G586" s="497" t="s">
        <v>40</v>
      </c>
      <c r="H586" s="501">
        <v>0</v>
      </c>
      <c r="I586" s="1248">
        <v>46082</v>
      </c>
      <c r="J586" s="955" t="s">
        <v>41</v>
      </c>
      <c r="K586" s="959"/>
      <c r="L586" s="2445" t="s">
        <v>41</v>
      </c>
      <c r="M586" s="957">
        <v>4.71</v>
      </c>
      <c r="N586" s="943"/>
      <c r="O586" s="944"/>
      <c r="P586" s="945"/>
      <c r="Q586" s="946"/>
      <c r="R586" s="541"/>
      <c r="S586" s="561"/>
    </row>
    <row r="587" spans="1:19" s="492" customFormat="1" ht="48.6">
      <c r="A587" s="1229" t="s">
        <v>309</v>
      </c>
      <c r="B587" s="1221" t="s">
        <v>356</v>
      </c>
      <c r="C587" s="1205">
        <v>48</v>
      </c>
      <c r="D587" s="1221" t="s">
        <v>355</v>
      </c>
      <c r="E587" s="494" t="s">
        <v>353</v>
      </c>
      <c r="F587" s="496" t="s">
        <v>321</v>
      </c>
      <c r="G587" s="497" t="s">
        <v>40</v>
      </c>
      <c r="H587" s="501">
        <v>0</v>
      </c>
      <c r="I587" s="1248">
        <v>46082</v>
      </c>
      <c r="J587" s="955" t="s">
        <v>41</v>
      </c>
      <c r="K587" s="959"/>
      <c r="L587" s="960">
        <v>0</v>
      </c>
      <c r="M587" s="957">
        <v>0</v>
      </c>
      <c r="N587" s="943"/>
      <c r="O587" s="944"/>
      <c r="P587" s="945"/>
      <c r="Q587" s="946"/>
      <c r="R587" s="541"/>
      <c r="S587" s="561"/>
    </row>
    <row r="588" spans="1:19" s="492" customFormat="1" ht="48.6">
      <c r="A588" s="1236" t="s">
        <v>309</v>
      </c>
      <c r="B588" s="1237" t="s">
        <v>357</v>
      </c>
      <c r="C588" s="1238">
        <v>49</v>
      </c>
      <c r="D588" s="1239" t="s">
        <v>41</v>
      </c>
      <c r="E588" s="495" t="s">
        <v>38</v>
      </c>
      <c r="F588" s="498" t="s">
        <v>312</v>
      </c>
      <c r="G588" s="499" t="s">
        <v>41</v>
      </c>
      <c r="H588" s="507"/>
      <c r="I588" s="1252">
        <v>46082</v>
      </c>
      <c r="J588" s="1046"/>
      <c r="K588" s="1047"/>
      <c r="L588" s="2450">
        <v>0</v>
      </c>
      <c r="M588" s="1048"/>
      <c r="N588" s="1049"/>
      <c r="O588" s="1050"/>
      <c r="P588" s="1051"/>
      <c r="Q588" s="1052"/>
      <c r="R588" s="547"/>
      <c r="S588" s="561"/>
    </row>
    <row r="589" spans="1:19" ht="34.35" customHeight="1">
      <c r="L589" s="2442">
        <f>J589+L540</f>
        <v>271</v>
      </c>
    </row>
    <row r="590" spans="1:19" ht="34.35" customHeight="1">
      <c r="M590" s="1580"/>
    </row>
    <row r="591" spans="1:19" ht="34.35" customHeight="1">
      <c r="N591" s="2553">
        <f>+M521+[1]Compliance!$N$339</f>
        <v>15.676</v>
      </c>
    </row>
  </sheetData>
  <sheetProtection formatCells="0" formatColumns="0" formatRows="0" sort="0" autoFilter="0" pivotTables="0"/>
  <autoFilter ref="A1:V589" xr:uid="{B2B17E62-ECF1-4FB9-844A-324939FF038C}"/>
  <mergeCells count="10">
    <mergeCell ref="O224:O225"/>
    <mergeCell ref="O222:O223"/>
    <mergeCell ref="O173:O174"/>
    <mergeCell ref="O175:O176"/>
    <mergeCell ref="O126:O127"/>
    <mergeCell ref="O26:O27"/>
    <mergeCell ref="O28:O29"/>
    <mergeCell ref="O75:O76"/>
    <mergeCell ref="O77:O78"/>
    <mergeCell ref="O124:O125"/>
  </mergeCells>
  <conditionalFormatting sqref="J2:S25 A2:H26 I2:I519 J26:R26 A27:S71 A72:R218 S72:S588 A219:O222 P222:R237 A223:N223 L224:O224 A224:K225 L225:N225 A226:O237 A238:R327 A328:M329 Q329:R329 A330:R333 N334:O334 Q334:R334 A334:M337 A338:R417 E418:K420 A418:D421 L419:R420 E421:R421 A422:R466 E467:K469 A467:D470 L468:R469 E470:R470 A471:R491 L492:R515 A492:K588 L517:R540 L541:L564 M541:R588 L566:L589">
    <cfRule type="expression" dxfId="34" priority="63">
      <formula>MONTH($I2)=MONTH(TODAY()-29)</formula>
    </cfRule>
  </conditionalFormatting>
  <conditionalFormatting sqref="L565">
    <cfRule type="expression" dxfId="33" priority="2">
      <formula>MONTH(#REF!)=MONTH(TODAY()-29)</formula>
    </cfRule>
  </conditionalFormatting>
  <conditionalFormatting sqref="L516:N516 P516:R516">
    <cfRule type="expression" dxfId="32" priority="3">
      <formula>MONTH(#REF!)=MONTH(TODAY()-29)</formula>
    </cfRule>
  </conditionalFormatting>
  <conditionalFormatting sqref="L418:R418">
    <cfRule type="expression" dxfId="31" priority="26">
      <formula>MONTH(#REF!)=MONTH(TODAY()-29)</formula>
    </cfRule>
  </conditionalFormatting>
  <conditionalFormatting sqref="L467:R467">
    <cfRule type="expression" dxfId="30" priority="24">
      <formula>MONTH(#REF!)=MONTH(TODAY()-29)</formula>
    </cfRule>
  </conditionalFormatting>
  <conditionalFormatting sqref="N1">
    <cfRule type="expression" dxfId="29" priority="4">
      <formula>MONTH(I1)&lt;&gt;MONTH(TODAY())</formula>
    </cfRule>
  </conditionalFormatting>
  <conditionalFormatting sqref="N2:N588">
    <cfRule type="expression" dxfId="28" priority="127">
      <formula>MONTH(#REF!)&lt;&gt;MONTH(TODAY())</formula>
    </cfRule>
  </conditionalFormatting>
  <conditionalFormatting sqref="N329:O329">
    <cfRule type="expression" dxfId="27" priority="123">
      <formula>MONTH(#REF!)=MONTH(TODAY()-29)</formula>
    </cfRule>
  </conditionalFormatting>
  <conditionalFormatting sqref="N328:R328">
    <cfRule type="expression" dxfId="26" priority="110">
      <formula>MONTH(#REF!)=MONTH(TODAY()-29)</formula>
    </cfRule>
  </conditionalFormatting>
  <conditionalFormatting sqref="N335:R337">
    <cfRule type="expression" dxfId="25" priority="30">
      <formula>MONTH(#REF!)=MONTH(TODAY()-29)</formula>
    </cfRule>
  </conditionalFormatting>
  <conditionalFormatting sqref="O226">
    <cfRule type="expression" dxfId="24" priority="122">
      <formula>MONTH($H226)=MONTH(TODAY()-29)</formula>
    </cfRule>
  </conditionalFormatting>
  <conditionalFormatting sqref="O272">
    <cfRule type="expression" dxfId="23" priority="115">
      <formula>MONTH(J272)&lt;&gt;MONTH(TODAY())</formula>
    </cfRule>
  </conditionalFormatting>
  <conditionalFormatting sqref="O516">
    <cfRule type="expression" dxfId="22" priority="1">
      <formula>MONTH($I516)=MONTH(TODAY()-29)</formula>
    </cfRule>
  </conditionalFormatting>
  <conditionalFormatting sqref="P334">
    <cfRule type="expression" dxfId="21" priority="140">
      <formula>MONTH(#REF!)=MONTH(TODAY()-29)</formula>
    </cfRule>
  </conditionalFormatting>
  <conditionalFormatting sqref="P219:R221">
    <cfRule type="expression" dxfId="20" priority="124">
      <formula>MONTH(#REF!)=MONTH(TODAY()-29)</formula>
    </cfRule>
  </conditionalFormatting>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66C8C-505D-480A-B8D1-AB053D996A98}">
  <sheetPr codeName="Sheet9"/>
  <dimension ref="A1:AI589"/>
  <sheetViews>
    <sheetView zoomScale="70" zoomScaleNormal="70" workbookViewId="0">
      <pane xSplit="9" ySplit="1" topLeftCell="J511" activePane="bottomRight" state="frozen"/>
      <selection pane="topRight" activeCell="D69" sqref="D69"/>
      <selection pane="bottomLeft" activeCell="D69" sqref="D69"/>
      <selection pane="bottomRight" activeCell="L528" sqref="L528"/>
    </sheetView>
  </sheetViews>
  <sheetFormatPr defaultColWidth="8.109375" defaultRowHeight="34.35" customHeight="1"/>
  <cols>
    <col min="1" max="1" width="17.6640625" style="56" customWidth="1"/>
    <col min="2" max="2" width="38.109375" style="65" customWidth="1"/>
    <col min="3" max="3" width="7.33203125" style="52" customWidth="1"/>
    <col min="4" max="4" width="28.109375" style="66" customWidth="1"/>
    <col min="5" max="5" width="18.6640625" style="50" customWidth="1"/>
    <col min="6" max="6" width="13.109375" customWidth="1"/>
    <col min="7" max="7" width="22.109375" customWidth="1"/>
    <col min="8" max="8" width="10.6640625" style="893" customWidth="1"/>
    <col min="9" max="9" width="12.109375" style="743" customWidth="1"/>
    <col min="10" max="13" width="8.109375" style="893" customWidth="1"/>
    <col min="14" max="14" width="10.109375" style="893" customWidth="1"/>
    <col min="15" max="15" width="9.109375" style="893" customWidth="1"/>
    <col min="16" max="18" width="8.109375" style="893" customWidth="1"/>
    <col min="19" max="19" width="14.6640625" style="893" customWidth="1"/>
    <col min="20" max="20" width="8.109375" style="893" bestFit="1" customWidth="1"/>
    <col min="21" max="22" width="8.109375" style="893"/>
    <col min="23" max="23" width="11.6640625" style="893" bestFit="1" customWidth="1"/>
    <col min="24" max="24" width="9.109375" style="893" customWidth="1"/>
    <col min="25" max="25" width="10" style="893" customWidth="1"/>
    <col min="26" max="28" width="8.109375" style="893"/>
    <col min="29" max="29" width="10.109375" style="1461" customWidth="1"/>
    <col min="30" max="35" width="8.109375" style="743"/>
  </cols>
  <sheetData>
    <row r="1" spans="1:29" ht="34.35" customHeight="1">
      <c r="A1" s="58" t="s">
        <v>1</v>
      </c>
      <c r="B1" s="58" t="s">
        <v>19</v>
      </c>
      <c r="C1" s="34" t="s">
        <v>93</v>
      </c>
      <c r="D1" s="58" t="s">
        <v>21</v>
      </c>
      <c r="E1" s="34" t="s">
        <v>22</v>
      </c>
      <c r="F1" s="35" t="s">
        <v>23</v>
      </c>
      <c r="G1" s="35" t="s">
        <v>24</v>
      </c>
      <c r="H1" s="867" t="s">
        <v>25</v>
      </c>
      <c r="I1" s="918" t="s">
        <v>26</v>
      </c>
      <c r="J1" s="919" t="s">
        <v>94</v>
      </c>
      <c r="K1" s="2451" t="s">
        <v>95</v>
      </c>
      <c r="L1" s="919" t="s">
        <v>96</v>
      </c>
      <c r="M1" s="919" t="s">
        <v>97</v>
      </c>
      <c r="N1" s="919" t="s">
        <v>98</v>
      </c>
      <c r="O1" s="919" t="s">
        <v>99</v>
      </c>
      <c r="P1" s="919" t="s">
        <v>100</v>
      </c>
      <c r="Q1" s="919" t="s">
        <v>101</v>
      </c>
      <c r="R1" s="919" t="s">
        <v>102</v>
      </c>
      <c r="S1" s="1415" t="s">
        <v>455</v>
      </c>
      <c r="T1" s="1416" t="s">
        <v>104</v>
      </c>
      <c r="U1" s="1416" t="s">
        <v>105</v>
      </c>
      <c r="V1" s="1416" t="s">
        <v>456</v>
      </c>
      <c r="W1" s="1416" t="s">
        <v>107</v>
      </c>
      <c r="X1" s="1416" t="s">
        <v>108</v>
      </c>
      <c r="Y1" s="1416" t="s">
        <v>109</v>
      </c>
      <c r="Z1" s="1416" t="s">
        <v>110</v>
      </c>
      <c r="AA1" s="1416" t="s">
        <v>457</v>
      </c>
      <c r="AB1" s="1416" t="s">
        <v>39</v>
      </c>
      <c r="AC1" s="1453" t="s">
        <v>308</v>
      </c>
    </row>
    <row r="2" spans="1:29" ht="34.35" customHeight="1">
      <c r="A2" s="59" t="s">
        <v>309</v>
      </c>
      <c r="B2" s="60" t="s">
        <v>310</v>
      </c>
      <c r="C2" s="29">
        <v>1</v>
      </c>
      <c r="D2" s="5" t="s">
        <v>311</v>
      </c>
      <c r="E2" s="14" t="s">
        <v>38</v>
      </c>
      <c r="F2" s="2" t="s">
        <v>312</v>
      </c>
      <c r="G2" s="2" t="s">
        <v>40</v>
      </c>
      <c r="H2" s="89">
        <v>0</v>
      </c>
      <c r="I2" s="57">
        <v>45748</v>
      </c>
      <c r="J2" s="921"/>
      <c r="K2" s="884"/>
      <c r="L2" s="884"/>
      <c r="M2" s="884"/>
      <c r="N2" s="884"/>
      <c r="O2" s="884"/>
      <c r="P2" s="884"/>
      <c r="Q2" s="884"/>
      <c r="R2" s="884"/>
      <c r="S2" s="1417"/>
      <c r="T2" s="883"/>
      <c r="U2" s="884"/>
      <c r="V2" s="884"/>
      <c r="W2" s="884"/>
      <c r="X2" s="884"/>
      <c r="Y2" s="884"/>
      <c r="Z2" s="884"/>
      <c r="AA2" s="884"/>
      <c r="AB2" s="1417"/>
      <c r="AC2" s="1454"/>
    </row>
    <row r="3" spans="1:29" ht="34.35" customHeight="1">
      <c r="A3" s="59" t="s">
        <v>309</v>
      </c>
      <c r="B3" s="60" t="s">
        <v>310</v>
      </c>
      <c r="C3" s="29">
        <v>2</v>
      </c>
      <c r="D3" s="5" t="s">
        <v>313</v>
      </c>
      <c r="E3" s="14" t="s">
        <v>38</v>
      </c>
      <c r="F3" s="2" t="s">
        <v>312</v>
      </c>
      <c r="G3" s="2" t="s">
        <v>40</v>
      </c>
      <c r="H3" s="89">
        <v>0</v>
      </c>
      <c r="I3" s="57">
        <v>45748</v>
      </c>
      <c r="J3" s="921"/>
      <c r="K3" s="884"/>
      <c r="L3" s="884"/>
      <c r="M3" s="884"/>
      <c r="N3" s="884"/>
      <c r="O3" s="884"/>
      <c r="P3" s="884"/>
      <c r="Q3" s="884"/>
      <c r="R3" s="884"/>
      <c r="S3" s="1417"/>
      <c r="T3" s="883"/>
      <c r="U3" s="884"/>
      <c r="V3" s="884"/>
      <c r="W3" s="884"/>
      <c r="X3" s="884"/>
      <c r="Y3" s="884"/>
      <c r="Z3" s="884"/>
      <c r="AA3" s="884"/>
      <c r="AB3" s="1417"/>
      <c r="AC3" s="1454"/>
    </row>
    <row r="4" spans="1:29" ht="34.35" customHeight="1">
      <c r="A4" s="59" t="s">
        <v>309</v>
      </c>
      <c r="B4" s="60" t="s">
        <v>310</v>
      </c>
      <c r="C4" s="29">
        <v>3</v>
      </c>
      <c r="D4" s="6" t="s">
        <v>314</v>
      </c>
      <c r="E4" s="14" t="s">
        <v>38</v>
      </c>
      <c r="F4" s="2" t="s">
        <v>312</v>
      </c>
      <c r="G4" s="2" t="s">
        <v>40</v>
      </c>
      <c r="H4" s="89">
        <v>0</v>
      </c>
      <c r="I4" s="57">
        <v>45748</v>
      </c>
      <c r="J4" s="921"/>
      <c r="K4" s="884"/>
      <c r="L4" s="884"/>
      <c r="M4" s="884"/>
      <c r="N4" s="884"/>
      <c r="O4" s="884"/>
      <c r="P4" s="884"/>
      <c r="Q4" s="884"/>
      <c r="R4" s="884"/>
      <c r="S4" s="1417"/>
      <c r="T4" s="883"/>
      <c r="U4" s="884"/>
      <c r="V4" s="884"/>
      <c r="W4" s="884"/>
      <c r="X4" s="884"/>
      <c r="Y4" s="884"/>
      <c r="Z4" s="884"/>
      <c r="AA4" s="884"/>
      <c r="AB4" s="1428"/>
      <c r="AC4" s="1455"/>
    </row>
    <row r="5" spans="1:29" ht="34.35" customHeight="1">
      <c r="A5" s="59" t="s">
        <v>309</v>
      </c>
      <c r="B5" s="60" t="s">
        <v>310</v>
      </c>
      <c r="C5" s="29">
        <v>4</v>
      </c>
      <c r="D5" s="5" t="s">
        <v>315</v>
      </c>
      <c r="E5" s="14" t="s">
        <v>38</v>
      </c>
      <c r="F5" s="2" t="s">
        <v>316</v>
      </c>
      <c r="G5" s="2" t="s">
        <v>40</v>
      </c>
      <c r="H5" s="89">
        <v>280</v>
      </c>
      <c r="I5" s="57">
        <v>45748</v>
      </c>
      <c r="J5" s="921"/>
      <c r="K5" s="884"/>
      <c r="L5" s="884"/>
      <c r="M5" s="884"/>
      <c r="N5" s="884"/>
      <c r="O5" s="884"/>
      <c r="P5" s="884">
        <v>2</v>
      </c>
      <c r="Q5" s="884"/>
      <c r="R5" s="884"/>
      <c r="S5" s="922"/>
      <c r="T5" s="883"/>
      <c r="U5" s="884"/>
      <c r="V5" s="884">
        <v>10</v>
      </c>
      <c r="W5" s="884"/>
      <c r="X5" s="884"/>
      <c r="Y5" s="884">
        <v>7</v>
      </c>
      <c r="Z5" s="884"/>
      <c r="AA5" s="922"/>
      <c r="AB5" s="1417"/>
      <c r="AC5" s="1456" t="s">
        <v>458</v>
      </c>
    </row>
    <row r="6" spans="1:29" ht="34.35" customHeight="1">
      <c r="A6" s="59" t="s">
        <v>309</v>
      </c>
      <c r="B6" s="60" t="s">
        <v>310</v>
      </c>
      <c r="C6" s="29">
        <v>5</v>
      </c>
      <c r="D6" s="5" t="s">
        <v>315</v>
      </c>
      <c r="E6" s="14" t="s">
        <v>136</v>
      </c>
      <c r="F6" s="2" t="s">
        <v>316</v>
      </c>
      <c r="G6" s="2" t="s">
        <v>40</v>
      </c>
      <c r="H6" s="920">
        <v>106</v>
      </c>
      <c r="I6" s="879">
        <v>45748</v>
      </c>
      <c r="J6" s="921"/>
      <c r="K6" s="884"/>
      <c r="L6" s="884"/>
      <c r="M6" s="884"/>
      <c r="N6" s="884"/>
      <c r="O6" s="884"/>
      <c r="P6" s="884">
        <v>6.2E-2</v>
      </c>
      <c r="Q6" s="884"/>
      <c r="R6" s="884"/>
      <c r="S6" s="922"/>
      <c r="T6" s="883"/>
      <c r="U6" s="884"/>
      <c r="V6" s="884">
        <f>1.063+0.04</f>
        <v>1.103</v>
      </c>
      <c r="W6" s="884"/>
      <c r="X6" s="884"/>
      <c r="Y6" s="887">
        <v>2.3250000000000002</v>
      </c>
      <c r="Z6" s="884"/>
      <c r="AA6" s="922"/>
      <c r="AB6" s="1417"/>
      <c r="AC6" s="1456" t="s">
        <v>459</v>
      </c>
    </row>
    <row r="7" spans="1:29" ht="34.35" customHeight="1">
      <c r="A7" s="59" t="s">
        <v>309</v>
      </c>
      <c r="B7" s="60" t="s">
        <v>310</v>
      </c>
      <c r="C7" s="29">
        <v>6</v>
      </c>
      <c r="D7" s="5" t="s">
        <v>317</v>
      </c>
      <c r="E7" s="14" t="s">
        <v>38</v>
      </c>
      <c r="F7" s="2" t="s">
        <v>316</v>
      </c>
      <c r="G7" s="2" t="s">
        <v>40</v>
      </c>
      <c r="H7" s="89">
        <v>0</v>
      </c>
      <c r="I7" s="57">
        <v>45748</v>
      </c>
      <c r="J7" s="921">
        <v>0</v>
      </c>
      <c r="K7" s="884">
        <v>0</v>
      </c>
      <c r="L7" s="884">
        <v>0</v>
      </c>
      <c r="M7" s="884">
        <v>0</v>
      </c>
      <c r="N7" s="884">
        <v>0</v>
      </c>
      <c r="O7" s="884">
        <v>0</v>
      </c>
      <c r="P7" s="884">
        <v>0</v>
      </c>
      <c r="Q7" s="884">
        <v>0</v>
      </c>
      <c r="R7" s="884">
        <v>0</v>
      </c>
      <c r="S7" s="1417">
        <v>0</v>
      </c>
      <c r="T7" s="883">
        <v>0</v>
      </c>
      <c r="U7" s="884">
        <v>0</v>
      </c>
      <c r="V7" s="884">
        <v>0</v>
      </c>
      <c r="W7" s="884">
        <v>0</v>
      </c>
      <c r="X7" s="884">
        <v>0</v>
      </c>
      <c r="Y7" s="884">
        <v>0</v>
      </c>
      <c r="Z7" s="884">
        <v>0</v>
      </c>
      <c r="AA7" s="884">
        <v>0</v>
      </c>
      <c r="AB7" s="1424">
        <v>0</v>
      </c>
      <c r="AC7" s="1454"/>
    </row>
    <row r="8" spans="1:29" ht="34.35" customHeight="1">
      <c r="A8" s="59" t="s">
        <v>309</v>
      </c>
      <c r="B8" s="60" t="s">
        <v>310</v>
      </c>
      <c r="C8" s="29">
        <v>7</v>
      </c>
      <c r="D8" s="5" t="s">
        <v>317</v>
      </c>
      <c r="E8" s="14" t="s">
        <v>136</v>
      </c>
      <c r="F8" s="2" t="s">
        <v>316</v>
      </c>
      <c r="G8" s="2" t="s">
        <v>40</v>
      </c>
      <c r="H8" s="89">
        <v>0</v>
      </c>
      <c r="I8" s="57">
        <v>45748</v>
      </c>
      <c r="J8" s="921">
        <v>0</v>
      </c>
      <c r="K8" s="884">
        <v>0</v>
      </c>
      <c r="L8" s="884">
        <v>0</v>
      </c>
      <c r="M8" s="884">
        <v>0</v>
      </c>
      <c r="N8" s="884">
        <v>0</v>
      </c>
      <c r="O8" s="884">
        <v>0</v>
      </c>
      <c r="P8" s="884">
        <v>0</v>
      </c>
      <c r="Q8" s="884">
        <v>0</v>
      </c>
      <c r="R8" s="884">
        <v>0</v>
      </c>
      <c r="S8" s="1417">
        <v>0</v>
      </c>
      <c r="T8" s="883">
        <v>0</v>
      </c>
      <c r="U8" s="884">
        <v>0</v>
      </c>
      <c r="V8" s="884">
        <v>0</v>
      </c>
      <c r="W8" s="884">
        <v>0</v>
      </c>
      <c r="X8" s="884">
        <v>0</v>
      </c>
      <c r="Y8" s="884">
        <v>0</v>
      </c>
      <c r="Z8" s="884">
        <v>0</v>
      </c>
      <c r="AA8" s="884">
        <v>0</v>
      </c>
      <c r="AB8" s="1417">
        <v>0</v>
      </c>
      <c r="AC8" s="1454"/>
    </row>
    <row r="9" spans="1:29" ht="34.35" customHeight="1">
      <c r="A9" s="59" t="s">
        <v>309</v>
      </c>
      <c r="B9" s="60" t="s">
        <v>310</v>
      </c>
      <c r="C9" s="29">
        <v>8</v>
      </c>
      <c r="D9" s="5" t="s">
        <v>318</v>
      </c>
      <c r="E9" s="14" t="s">
        <v>38</v>
      </c>
      <c r="F9" s="2" t="s">
        <v>316</v>
      </c>
      <c r="G9" s="2" t="s">
        <v>40</v>
      </c>
      <c r="H9" s="89">
        <v>192</v>
      </c>
      <c r="I9" s="57">
        <v>45748</v>
      </c>
      <c r="J9" s="921">
        <v>0</v>
      </c>
      <c r="K9" s="884">
        <v>0</v>
      </c>
      <c r="L9" s="884">
        <v>0</v>
      </c>
      <c r="M9" s="884">
        <v>0</v>
      </c>
      <c r="N9" s="884">
        <v>0</v>
      </c>
      <c r="O9" s="884">
        <v>0</v>
      </c>
      <c r="P9" s="884">
        <v>0</v>
      </c>
      <c r="Q9" s="884">
        <v>0</v>
      </c>
      <c r="R9" s="884">
        <v>0</v>
      </c>
      <c r="S9" s="1417">
        <v>0</v>
      </c>
      <c r="T9" s="883">
        <v>0</v>
      </c>
      <c r="U9" s="884">
        <v>0</v>
      </c>
      <c r="V9" s="884">
        <v>0</v>
      </c>
      <c r="W9" s="884">
        <v>0</v>
      </c>
      <c r="X9" s="884">
        <v>0</v>
      </c>
      <c r="Y9" s="884">
        <v>5</v>
      </c>
      <c r="Z9" s="884">
        <v>0</v>
      </c>
      <c r="AA9" s="884">
        <v>0</v>
      </c>
      <c r="AB9" s="1417">
        <v>2</v>
      </c>
      <c r="AC9" s="1456" t="s">
        <v>460</v>
      </c>
    </row>
    <row r="10" spans="1:29" ht="34.35" customHeight="1">
      <c r="A10" s="59" t="s">
        <v>309</v>
      </c>
      <c r="B10" s="60" t="s">
        <v>310</v>
      </c>
      <c r="C10" s="29">
        <v>9</v>
      </c>
      <c r="D10" s="5" t="s">
        <v>318</v>
      </c>
      <c r="E10" s="14" t="s">
        <v>136</v>
      </c>
      <c r="F10" s="2" t="s">
        <v>316</v>
      </c>
      <c r="G10" s="2" t="s">
        <v>40</v>
      </c>
      <c r="H10" s="89">
        <v>307</v>
      </c>
      <c r="I10" s="57">
        <v>45748</v>
      </c>
      <c r="J10" s="921">
        <v>0</v>
      </c>
      <c r="K10" s="884">
        <v>0</v>
      </c>
      <c r="L10" s="884">
        <v>0</v>
      </c>
      <c r="M10" s="884">
        <v>0</v>
      </c>
      <c r="N10" s="884">
        <v>0</v>
      </c>
      <c r="O10" s="884">
        <v>0</v>
      </c>
      <c r="P10" s="884">
        <v>0</v>
      </c>
      <c r="Q10" s="884">
        <v>0</v>
      </c>
      <c r="R10" s="884">
        <v>0</v>
      </c>
      <c r="S10" s="1417">
        <v>0</v>
      </c>
      <c r="T10" s="883">
        <v>0</v>
      </c>
      <c r="U10" s="884">
        <v>0</v>
      </c>
      <c r="V10" s="884">
        <v>0</v>
      </c>
      <c r="W10" s="884">
        <v>0</v>
      </c>
      <c r="X10" s="884">
        <v>0</v>
      </c>
      <c r="Y10" s="884">
        <v>1.63</v>
      </c>
      <c r="Z10" s="884">
        <v>0</v>
      </c>
      <c r="AA10" s="884">
        <v>0</v>
      </c>
      <c r="AB10" s="1417">
        <v>0.17</v>
      </c>
      <c r="AC10" s="1456" t="s">
        <v>461</v>
      </c>
    </row>
    <row r="11" spans="1:29" ht="34.35" customHeight="1">
      <c r="A11" s="59" t="s">
        <v>309</v>
      </c>
      <c r="B11" s="60" t="s">
        <v>319</v>
      </c>
      <c r="C11" s="29">
        <v>10</v>
      </c>
      <c r="D11" s="5" t="s">
        <v>320</v>
      </c>
      <c r="E11" s="14" t="s">
        <v>38</v>
      </c>
      <c r="F11" s="2" t="s">
        <v>321</v>
      </c>
      <c r="G11" s="2" t="s">
        <v>40</v>
      </c>
      <c r="H11" s="89">
        <v>0</v>
      </c>
      <c r="I11" s="57">
        <v>45748</v>
      </c>
      <c r="J11" s="921">
        <v>0</v>
      </c>
      <c r="K11" s="884">
        <v>0</v>
      </c>
      <c r="L11" s="884">
        <v>0</v>
      </c>
      <c r="M11" s="884">
        <v>0</v>
      </c>
      <c r="N11" s="884">
        <v>0</v>
      </c>
      <c r="O11" s="884">
        <v>0</v>
      </c>
      <c r="P11" s="884">
        <v>0</v>
      </c>
      <c r="Q11" s="884">
        <v>0</v>
      </c>
      <c r="R11" s="884">
        <v>0</v>
      </c>
      <c r="S11" s="1417">
        <v>0</v>
      </c>
      <c r="T11" s="883">
        <v>0</v>
      </c>
      <c r="U11" s="884">
        <v>0</v>
      </c>
      <c r="V11" s="884">
        <v>0</v>
      </c>
      <c r="W11" s="884">
        <v>0</v>
      </c>
      <c r="X11" s="884">
        <v>0</v>
      </c>
      <c r="Y11" s="884">
        <v>0</v>
      </c>
      <c r="Z11" s="884">
        <v>0</v>
      </c>
      <c r="AA11" s="884">
        <v>0</v>
      </c>
      <c r="AB11" s="1417">
        <v>0</v>
      </c>
      <c r="AC11" s="1454"/>
    </row>
    <row r="12" spans="1:29" ht="34.35" customHeight="1">
      <c r="A12" s="59" t="s">
        <v>309</v>
      </c>
      <c r="B12" s="60" t="s">
        <v>319</v>
      </c>
      <c r="C12" s="29">
        <v>11</v>
      </c>
      <c r="D12" s="5" t="s">
        <v>322</v>
      </c>
      <c r="E12" s="14" t="s">
        <v>38</v>
      </c>
      <c r="F12" s="2" t="s">
        <v>321</v>
      </c>
      <c r="G12" s="2" t="s">
        <v>40</v>
      </c>
      <c r="H12" s="89">
        <v>0</v>
      </c>
      <c r="I12" s="57">
        <v>45748</v>
      </c>
      <c r="J12" s="921">
        <v>0</v>
      </c>
      <c r="K12" s="884">
        <v>0</v>
      </c>
      <c r="L12" s="884">
        <v>0</v>
      </c>
      <c r="M12" s="884">
        <v>0</v>
      </c>
      <c r="N12" s="884">
        <v>0</v>
      </c>
      <c r="O12" s="884">
        <v>0</v>
      </c>
      <c r="P12" s="884">
        <v>0</v>
      </c>
      <c r="Q12" s="884">
        <v>0</v>
      </c>
      <c r="R12" s="884">
        <v>0</v>
      </c>
      <c r="S12" s="1417">
        <v>0</v>
      </c>
      <c r="T12" s="883">
        <v>0</v>
      </c>
      <c r="U12" s="884">
        <v>0</v>
      </c>
      <c r="V12" s="884">
        <v>0</v>
      </c>
      <c r="W12" s="884">
        <v>0</v>
      </c>
      <c r="X12" s="884">
        <v>0</v>
      </c>
      <c r="Y12" s="884">
        <v>0</v>
      </c>
      <c r="Z12" s="884">
        <v>0</v>
      </c>
      <c r="AA12" s="884">
        <v>0</v>
      </c>
      <c r="AB12" s="1417">
        <v>0</v>
      </c>
      <c r="AC12" s="1454"/>
    </row>
    <row r="13" spans="1:29" ht="34.35" customHeight="1">
      <c r="A13" s="59" t="s">
        <v>309</v>
      </c>
      <c r="B13" s="60" t="s">
        <v>319</v>
      </c>
      <c r="C13" s="29">
        <v>12</v>
      </c>
      <c r="D13" s="5" t="s">
        <v>313</v>
      </c>
      <c r="E13" s="14" t="s">
        <v>38</v>
      </c>
      <c r="F13" s="2" t="s">
        <v>321</v>
      </c>
      <c r="G13" s="2" t="s">
        <v>40</v>
      </c>
      <c r="H13" s="89">
        <v>0</v>
      </c>
      <c r="I13" s="57">
        <v>45748</v>
      </c>
      <c r="J13" s="921">
        <v>0</v>
      </c>
      <c r="K13" s="884">
        <v>0</v>
      </c>
      <c r="L13" s="884">
        <v>0</v>
      </c>
      <c r="M13" s="884">
        <v>0</v>
      </c>
      <c r="N13" s="884">
        <v>0</v>
      </c>
      <c r="O13" s="884">
        <v>0</v>
      </c>
      <c r="P13" s="884">
        <v>0</v>
      </c>
      <c r="Q13" s="884">
        <v>0</v>
      </c>
      <c r="R13" s="884">
        <v>0</v>
      </c>
      <c r="S13" s="1417">
        <v>0</v>
      </c>
      <c r="T13" s="883">
        <v>0</v>
      </c>
      <c r="U13" s="884">
        <v>0</v>
      </c>
      <c r="V13" s="884">
        <v>0</v>
      </c>
      <c r="W13" s="884">
        <v>0</v>
      </c>
      <c r="X13" s="884">
        <v>0</v>
      </c>
      <c r="Y13" s="884">
        <v>0</v>
      </c>
      <c r="Z13" s="884">
        <v>0</v>
      </c>
      <c r="AA13" s="884">
        <v>0</v>
      </c>
      <c r="AB13" s="1417">
        <v>0</v>
      </c>
      <c r="AC13" s="1454"/>
    </row>
    <row r="14" spans="1:29" ht="34.35" customHeight="1">
      <c r="A14" s="59" t="s">
        <v>309</v>
      </c>
      <c r="B14" s="60" t="s">
        <v>319</v>
      </c>
      <c r="C14" s="29">
        <v>13</v>
      </c>
      <c r="D14" s="5" t="s">
        <v>323</v>
      </c>
      <c r="E14" s="14" t="s">
        <v>38</v>
      </c>
      <c r="F14" s="2" t="s">
        <v>321</v>
      </c>
      <c r="G14" s="2" t="s">
        <v>40</v>
      </c>
      <c r="H14" s="89">
        <v>5</v>
      </c>
      <c r="I14" s="57">
        <v>45748</v>
      </c>
      <c r="J14" s="921" t="s">
        <v>41</v>
      </c>
      <c r="K14" s="884" t="s">
        <v>41</v>
      </c>
      <c r="L14" s="884" t="s">
        <v>41</v>
      </c>
      <c r="M14" s="884" t="s">
        <v>41</v>
      </c>
      <c r="N14" s="884" t="s">
        <v>41</v>
      </c>
      <c r="O14" s="884" t="s">
        <v>41</v>
      </c>
      <c r="P14" s="884" t="s">
        <v>41</v>
      </c>
      <c r="Q14" s="884" t="s">
        <v>41</v>
      </c>
      <c r="R14" s="884" t="s">
        <v>41</v>
      </c>
      <c r="S14" s="1417" t="s">
        <v>41</v>
      </c>
      <c r="T14" s="883" t="s">
        <v>41</v>
      </c>
      <c r="U14" s="884" t="s">
        <v>41</v>
      </c>
      <c r="V14" s="884" t="s">
        <v>41</v>
      </c>
      <c r="W14" s="884" t="s">
        <v>41</v>
      </c>
      <c r="X14" s="884" t="s">
        <v>41</v>
      </c>
      <c r="Y14" s="884" t="s">
        <v>41</v>
      </c>
      <c r="Z14" s="884" t="s">
        <v>41</v>
      </c>
      <c r="AA14" s="884" t="s">
        <v>41</v>
      </c>
      <c r="AB14" s="1417" t="s">
        <v>41</v>
      </c>
      <c r="AC14" s="1454"/>
    </row>
    <row r="15" spans="1:29" ht="34.35" customHeight="1">
      <c r="A15" s="59" t="s">
        <v>309</v>
      </c>
      <c r="B15" s="61" t="s">
        <v>324</v>
      </c>
      <c r="C15" s="29">
        <v>14</v>
      </c>
      <c r="D15" s="5" t="s">
        <v>311</v>
      </c>
      <c r="E15" s="14" t="s">
        <v>38</v>
      </c>
      <c r="F15" s="2" t="s">
        <v>312</v>
      </c>
      <c r="G15" s="2" t="s">
        <v>40</v>
      </c>
      <c r="H15" s="922">
        <v>0</v>
      </c>
      <c r="I15" s="879">
        <v>45748</v>
      </c>
      <c r="J15" s="921"/>
      <c r="K15" s="884"/>
      <c r="L15" s="884"/>
      <c r="M15" s="884"/>
      <c r="N15" s="884"/>
      <c r="O15" s="884"/>
      <c r="P15" s="884"/>
      <c r="Q15" s="884"/>
      <c r="R15" s="884"/>
      <c r="S15" s="1417"/>
      <c r="T15" s="883"/>
      <c r="U15" s="884"/>
      <c r="V15" s="884"/>
      <c r="W15" s="884"/>
      <c r="X15" s="884"/>
      <c r="Y15" s="884"/>
      <c r="Z15" s="884"/>
      <c r="AA15" s="884"/>
      <c r="AB15" s="1417"/>
      <c r="AC15" s="1454"/>
    </row>
    <row r="16" spans="1:29" ht="34.35" customHeight="1">
      <c r="A16" s="59" t="s">
        <v>309</v>
      </c>
      <c r="B16" s="61" t="s">
        <v>324</v>
      </c>
      <c r="C16" s="29">
        <v>15</v>
      </c>
      <c r="D16" s="5" t="s">
        <v>313</v>
      </c>
      <c r="E16" s="14" t="s">
        <v>38</v>
      </c>
      <c r="F16" s="2" t="s">
        <v>312</v>
      </c>
      <c r="G16" s="2" t="s">
        <v>40</v>
      </c>
      <c r="H16" s="84">
        <v>0</v>
      </c>
      <c r="I16" s="57">
        <v>45748</v>
      </c>
      <c r="J16" s="921"/>
      <c r="K16" s="884"/>
      <c r="L16" s="884"/>
      <c r="M16" s="884"/>
      <c r="N16" s="884"/>
      <c r="O16" s="884"/>
      <c r="P16" s="884"/>
      <c r="Q16" s="884"/>
      <c r="R16" s="884"/>
      <c r="S16" s="1417"/>
      <c r="T16" s="883"/>
      <c r="U16" s="884"/>
      <c r="V16" s="884"/>
      <c r="W16" s="884"/>
      <c r="X16" s="884"/>
      <c r="Y16" s="884"/>
      <c r="Z16" s="884"/>
      <c r="AA16" s="884"/>
      <c r="AB16" s="1417"/>
      <c r="AC16" s="1454"/>
    </row>
    <row r="17" spans="1:29" ht="34.35" customHeight="1">
      <c r="A17" s="59" t="s">
        <v>309</v>
      </c>
      <c r="B17" s="61" t="s">
        <v>324</v>
      </c>
      <c r="C17" s="29">
        <v>16</v>
      </c>
      <c r="D17" s="6" t="s">
        <v>314</v>
      </c>
      <c r="E17" s="14" t="s">
        <v>38</v>
      </c>
      <c r="F17" s="2" t="s">
        <v>312</v>
      </c>
      <c r="G17" s="2" t="s">
        <v>40</v>
      </c>
      <c r="H17" s="84">
        <v>0</v>
      </c>
      <c r="I17" s="57">
        <v>45748</v>
      </c>
      <c r="J17" s="921"/>
      <c r="K17" s="884"/>
      <c r="L17" s="884"/>
      <c r="M17" s="884"/>
      <c r="N17" s="884"/>
      <c r="O17" s="884"/>
      <c r="P17" s="884"/>
      <c r="Q17" s="884"/>
      <c r="R17" s="884"/>
      <c r="S17" s="1417"/>
      <c r="T17" s="883"/>
      <c r="U17" s="884"/>
      <c r="V17" s="884"/>
      <c r="W17" s="884"/>
      <c r="X17" s="884"/>
      <c r="Y17" s="884"/>
      <c r="Z17" s="884"/>
      <c r="AA17" s="884"/>
      <c r="AB17" s="1417"/>
      <c r="AC17" s="1455"/>
    </row>
    <row r="18" spans="1:29" ht="34.35" customHeight="1">
      <c r="A18" s="59" t="s">
        <v>309</v>
      </c>
      <c r="B18" s="61" t="s">
        <v>325</v>
      </c>
      <c r="C18" s="29">
        <v>17</v>
      </c>
      <c r="D18" s="5" t="s">
        <v>326</v>
      </c>
      <c r="E18" s="14" t="s">
        <v>38</v>
      </c>
      <c r="F18" s="2" t="s">
        <v>327</v>
      </c>
      <c r="G18" s="2" t="s">
        <v>40</v>
      </c>
      <c r="H18" s="84">
        <v>0</v>
      </c>
      <c r="I18" s="57">
        <v>45748</v>
      </c>
      <c r="J18" s="921"/>
      <c r="K18" s="884"/>
      <c r="L18" s="884"/>
      <c r="M18" s="884"/>
      <c r="N18" s="884"/>
      <c r="O18" s="884"/>
      <c r="P18" s="884"/>
      <c r="Q18" s="884"/>
      <c r="R18" s="884"/>
      <c r="S18" s="1417"/>
      <c r="T18" s="883"/>
      <c r="U18" s="884"/>
      <c r="V18" s="884"/>
      <c r="W18" s="884"/>
      <c r="X18" s="884"/>
      <c r="Y18" s="884"/>
      <c r="Z18" s="884"/>
      <c r="AA18" s="884"/>
      <c r="AB18" s="1417"/>
      <c r="AC18" s="1454"/>
    </row>
    <row r="19" spans="1:29" ht="34.35" customHeight="1">
      <c r="A19" s="59" t="s">
        <v>309</v>
      </c>
      <c r="B19" s="61" t="s">
        <v>325</v>
      </c>
      <c r="C19" s="29">
        <v>18</v>
      </c>
      <c r="D19" s="5" t="s">
        <v>326</v>
      </c>
      <c r="E19" s="14" t="s">
        <v>136</v>
      </c>
      <c r="F19" s="2" t="s">
        <v>327</v>
      </c>
      <c r="G19" s="2" t="s">
        <v>40</v>
      </c>
      <c r="H19" s="84">
        <v>0</v>
      </c>
      <c r="I19" s="57">
        <v>45748</v>
      </c>
      <c r="J19" s="921"/>
      <c r="K19" s="884"/>
      <c r="L19" s="884"/>
      <c r="M19" s="884"/>
      <c r="N19" s="884"/>
      <c r="O19" s="884"/>
      <c r="P19" s="884"/>
      <c r="Q19" s="884"/>
      <c r="R19" s="884"/>
      <c r="S19" s="1417"/>
      <c r="T19" s="883"/>
      <c r="U19" s="884"/>
      <c r="V19" s="884"/>
      <c r="W19" s="884"/>
      <c r="X19" s="884"/>
      <c r="Y19" s="884"/>
      <c r="Z19" s="884"/>
      <c r="AA19" s="884"/>
      <c r="AB19" s="1417"/>
      <c r="AC19" s="1454"/>
    </row>
    <row r="20" spans="1:29" ht="34.35" customHeight="1">
      <c r="A20" s="59" t="s">
        <v>309</v>
      </c>
      <c r="B20" s="61" t="s">
        <v>325</v>
      </c>
      <c r="C20" s="29">
        <v>19</v>
      </c>
      <c r="D20" s="6" t="s">
        <v>328</v>
      </c>
      <c r="E20" s="14" t="s">
        <v>38</v>
      </c>
      <c r="F20" s="2" t="s">
        <v>327</v>
      </c>
      <c r="G20" s="2" t="s">
        <v>40</v>
      </c>
      <c r="H20" s="84" t="s">
        <v>41</v>
      </c>
      <c r="I20" s="57">
        <v>45748</v>
      </c>
      <c r="J20" s="921"/>
      <c r="K20" s="884"/>
      <c r="L20" s="884"/>
      <c r="M20" s="884"/>
      <c r="N20" s="884"/>
      <c r="O20" s="884"/>
      <c r="P20" s="884"/>
      <c r="Q20" s="884"/>
      <c r="R20" s="884"/>
      <c r="S20" s="1417"/>
      <c r="T20" s="883"/>
      <c r="U20" s="884"/>
      <c r="V20" s="884"/>
      <c r="W20" s="884"/>
      <c r="X20" s="884"/>
      <c r="Y20" s="884">
        <v>88</v>
      </c>
      <c r="Z20" s="884"/>
      <c r="AA20" s="884"/>
      <c r="AB20" s="1417"/>
      <c r="AC20" s="1455"/>
    </row>
    <row r="21" spans="1:29" ht="34.35" customHeight="1">
      <c r="A21" s="59" t="s">
        <v>309</v>
      </c>
      <c r="B21" s="61" t="s">
        <v>325</v>
      </c>
      <c r="C21" s="29">
        <v>20</v>
      </c>
      <c r="D21" s="6" t="s">
        <v>328</v>
      </c>
      <c r="E21" s="14" t="s">
        <v>136</v>
      </c>
      <c r="F21" s="2" t="s">
        <v>327</v>
      </c>
      <c r="G21" s="2" t="s">
        <v>40</v>
      </c>
      <c r="H21" s="84" t="s">
        <v>41</v>
      </c>
      <c r="I21" s="57">
        <v>45748</v>
      </c>
      <c r="J21" s="921"/>
      <c r="K21" s="884"/>
      <c r="L21" s="884"/>
      <c r="M21" s="884"/>
      <c r="N21" s="884"/>
      <c r="O21" s="884"/>
      <c r="P21" s="884"/>
      <c r="Q21" s="884"/>
      <c r="R21" s="884"/>
      <c r="S21" s="1417"/>
      <c r="T21" s="883"/>
      <c r="U21" s="884"/>
      <c r="V21" s="884"/>
      <c r="W21" s="884"/>
      <c r="X21" s="884"/>
      <c r="Y21" s="884">
        <v>371</v>
      </c>
      <c r="Z21" s="884"/>
      <c r="AA21" s="884"/>
      <c r="AB21" s="1417"/>
      <c r="AC21" s="1455"/>
    </row>
    <row r="22" spans="1:29" ht="34.35" customHeight="1">
      <c r="A22" s="59" t="s">
        <v>309</v>
      </c>
      <c r="B22" s="61" t="s">
        <v>325</v>
      </c>
      <c r="C22" s="29">
        <v>21</v>
      </c>
      <c r="D22" s="6" t="s">
        <v>329</v>
      </c>
      <c r="E22" s="14" t="s">
        <v>38</v>
      </c>
      <c r="F22" s="2" t="s">
        <v>327</v>
      </c>
      <c r="G22" s="2" t="s">
        <v>40</v>
      </c>
      <c r="H22" s="84" t="s">
        <v>41</v>
      </c>
      <c r="I22" s="57">
        <v>45748</v>
      </c>
      <c r="J22" s="921"/>
      <c r="K22" s="884">
        <v>11</v>
      </c>
      <c r="L22" s="884">
        <v>36</v>
      </c>
      <c r="M22" s="884">
        <v>4</v>
      </c>
      <c r="N22" s="884"/>
      <c r="O22" s="884"/>
      <c r="P22" s="884"/>
      <c r="Q22" s="884">
        <v>4</v>
      </c>
      <c r="R22" s="884"/>
      <c r="S22" s="1417"/>
      <c r="T22" s="883"/>
      <c r="U22" s="884"/>
      <c r="V22" s="884">
        <v>11</v>
      </c>
      <c r="W22" s="884">
        <v>1</v>
      </c>
      <c r="X22" s="884">
        <v>7</v>
      </c>
      <c r="Y22" s="884">
        <v>450</v>
      </c>
      <c r="Z22" s="884">
        <v>5</v>
      </c>
      <c r="AA22" s="884">
        <v>3</v>
      </c>
      <c r="AB22" s="1417">
        <v>4</v>
      </c>
      <c r="AC22" s="1455"/>
    </row>
    <row r="23" spans="1:29" ht="34.35" customHeight="1">
      <c r="A23" s="59" t="s">
        <v>309</v>
      </c>
      <c r="B23" s="61" t="s">
        <v>325</v>
      </c>
      <c r="C23" s="29">
        <v>22</v>
      </c>
      <c r="D23" s="6" t="s">
        <v>329</v>
      </c>
      <c r="E23" s="14" t="s">
        <v>136</v>
      </c>
      <c r="F23" s="2" t="s">
        <v>327</v>
      </c>
      <c r="G23" s="2" t="s">
        <v>40</v>
      </c>
      <c r="H23" s="84" t="s">
        <v>41</v>
      </c>
      <c r="I23" s="57">
        <v>45748</v>
      </c>
      <c r="J23" s="921"/>
      <c r="K23" s="884">
        <v>1.65</v>
      </c>
      <c r="L23" s="884">
        <v>11.09</v>
      </c>
      <c r="M23" s="884">
        <v>1.69</v>
      </c>
      <c r="N23" s="884"/>
      <c r="O23" s="884"/>
      <c r="P23" s="884"/>
      <c r="Q23" s="884">
        <v>3.31</v>
      </c>
      <c r="R23" s="884"/>
      <c r="S23" s="1417"/>
      <c r="T23" s="883"/>
      <c r="U23" s="884"/>
      <c r="V23" s="884">
        <v>8.09</v>
      </c>
      <c r="W23" s="884">
        <v>0.43</v>
      </c>
      <c r="X23" s="884">
        <v>107.59</v>
      </c>
      <c r="Y23" s="884">
        <v>293.83999999999997</v>
      </c>
      <c r="Z23" s="884">
        <v>2.1800000000000002</v>
      </c>
      <c r="AA23" s="884">
        <v>8.3000000000000007</v>
      </c>
      <c r="AB23" s="1417">
        <v>2.19</v>
      </c>
      <c r="AC23" s="1455"/>
    </row>
    <row r="24" spans="1:29" ht="34.35" customHeight="1">
      <c r="A24" s="59" t="s">
        <v>309</v>
      </c>
      <c r="B24" s="61" t="s">
        <v>325</v>
      </c>
      <c r="C24" s="29">
        <v>23</v>
      </c>
      <c r="D24" s="6" t="s">
        <v>462</v>
      </c>
      <c r="E24" s="14" t="s">
        <v>38</v>
      </c>
      <c r="F24" s="2" t="s">
        <v>327</v>
      </c>
      <c r="G24" s="2" t="s">
        <v>40</v>
      </c>
      <c r="H24" s="922" t="s">
        <v>41</v>
      </c>
      <c r="I24" s="879">
        <v>45748</v>
      </c>
      <c r="J24" s="921">
        <v>3</v>
      </c>
      <c r="K24" s="884">
        <v>4</v>
      </c>
      <c r="L24" s="884">
        <v>21</v>
      </c>
      <c r="M24" s="884">
        <v>3</v>
      </c>
      <c r="N24" s="884"/>
      <c r="O24" s="884"/>
      <c r="P24" s="884"/>
      <c r="Q24" s="884">
        <v>4</v>
      </c>
      <c r="R24" s="884">
        <v>2</v>
      </c>
      <c r="S24" s="1417"/>
      <c r="T24" s="883">
        <v>1</v>
      </c>
      <c r="U24" s="884"/>
      <c r="V24" s="884">
        <v>4</v>
      </c>
      <c r="W24" s="884">
        <v>2</v>
      </c>
      <c r="X24" s="884"/>
      <c r="Y24" s="884">
        <v>307</v>
      </c>
      <c r="Z24" s="884">
        <v>1</v>
      </c>
      <c r="AA24" s="884">
        <v>4</v>
      </c>
      <c r="AB24" s="1417">
        <v>4</v>
      </c>
      <c r="AC24" s="1455"/>
    </row>
    <row r="25" spans="1:29" ht="34.35" customHeight="1">
      <c r="A25" s="59" t="s">
        <v>309</v>
      </c>
      <c r="B25" s="61" t="s">
        <v>325</v>
      </c>
      <c r="C25" s="29">
        <v>24</v>
      </c>
      <c r="D25" s="6" t="s">
        <v>462</v>
      </c>
      <c r="E25" s="14" t="s">
        <v>136</v>
      </c>
      <c r="F25" s="2" t="s">
        <v>327</v>
      </c>
      <c r="G25" s="2" t="s">
        <v>40</v>
      </c>
      <c r="H25" s="84" t="s">
        <v>41</v>
      </c>
      <c r="I25" s="57">
        <v>45748</v>
      </c>
      <c r="J25" s="921">
        <v>1.78</v>
      </c>
      <c r="K25" s="884">
        <v>1.61</v>
      </c>
      <c r="L25" s="884">
        <v>6.21</v>
      </c>
      <c r="M25" s="884">
        <v>1.33</v>
      </c>
      <c r="N25" s="884"/>
      <c r="O25" s="884"/>
      <c r="P25" s="884"/>
      <c r="Q25" s="884">
        <v>0.79</v>
      </c>
      <c r="R25" s="884">
        <v>0.99</v>
      </c>
      <c r="S25" s="1417"/>
      <c r="T25" s="883">
        <v>0.39</v>
      </c>
      <c r="U25" s="884"/>
      <c r="V25" s="884">
        <v>2.56</v>
      </c>
      <c r="W25" s="884">
        <v>0.46</v>
      </c>
      <c r="X25" s="884"/>
      <c r="Y25" s="884">
        <v>260.89</v>
      </c>
      <c r="Z25" s="884">
        <v>0.24</v>
      </c>
      <c r="AA25" s="884">
        <v>7.01</v>
      </c>
      <c r="AB25" s="1417">
        <v>0.69</v>
      </c>
      <c r="AC25" s="1455"/>
    </row>
    <row r="26" spans="1:29" ht="34.35" customHeight="1">
      <c r="A26" s="59" t="s">
        <v>309</v>
      </c>
      <c r="B26" s="61" t="s">
        <v>325</v>
      </c>
      <c r="C26" s="29">
        <v>25</v>
      </c>
      <c r="D26" s="5" t="s">
        <v>331</v>
      </c>
      <c r="E26" s="14" t="s">
        <v>38</v>
      </c>
      <c r="F26" s="2" t="s">
        <v>327</v>
      </c>
      <c r="G26" s="2" t="s">
        <v>332</v>
      </c>
      <c r="H26" s="84">
        <v>0</v>
      </c>
      <c r="I26" s="57">
        <v>45748</v>
      </c>
      <c r="J26" s="921"/>
      <c r="K26" s="884"/>
      <c r="L26" s="884"/>
      <c r="M26" s="884"/>
      <c r="N26" s="884"/>
      <c r="O26" s="884"/>
      <c r="P26" s="884"/>
      <c r="Q26" s="884"/>
      <c r="R26" s="884"/>
      <c r="S26" s="1417"/>
      <c r="T26" s="883"/>
      <c r="U26" s="884"/>
      <c r="V26" s="884">
        <v>2</v>
      </c>
      <c r="W26" s="884">
        <v>1</v>
      </c>
      <c r="X26" s="884">
        <v>2</v>
      </c>
      <c r="Y26" s="884">
        <v>30</v>
      </c>
      <c r="Z26" s="884"/>
      <c r="AA26" s="884"/>
      <c r="AB26" s="1417"/>
      <c r="AC26" s="1454"/>
    </row>
    <row r="27" spans="1:29" ht="34.35" customHeight="1">
      <c r="A27" s="59" t="s">
        <v>309</v>
      </c>
      <c r="B27" s="61" t="s">
        <v>325</v>
      </c>
      <c r="C27" s="29">
        <v>26</v>
      </c>
      <c r="D27" s="5" t="s">
        <v>463</v>
      </c>
      <c r="E27" s="14" t="s">
        <v>136</v>
      </c>
      <c r="F27" s="2" t="s">
        <v>327</v>
      </c>
      <c r="G27" s="2" t="s">
        <v>332</v>
      </c>
      <c r="H27" s="84">
        <v>0</v>
      </c>
      <c r="I27" s="57">
        <v>45748</v>
      </c>
      <c r="J27" s="921"/>
      <c r="K27" s="884"/>
      <c r="L27" s="884"/>
      <c r="M27" s="884"/>
      <c r="N27" s="884"/>
      <c r="O27" s="884"/>
      <c r="P27" s="884"/>
      <c r="Q27" s="884"/>
      <c r="R27" s="884"/>
      <c r="S27" s="1417"/>
      <c r="T27" s="883"/>
      <c r="U27" s="884"/>
      <c r="V27" s="884">
        <v>0.51</v>
      </c>
      <c r="W27" s="884">
        <v>8.85</v>
      </c>
      <c r="X27" s="884">
        <v>64.23</v>
      </c>
      <c r="Y27" s="884">
        <v>18.010000000000002</v>
      </c>
      <c r="Z27" s="884"/>
      <c r="AA27" s="884"/>
      <c r="AB27" s="1417"/>
      <c r="AC27" s="1454"/>
    </row>
    <row r="28" spans="1:29" ht="34.35" customHeight="1">
      <c r="A28" s="59" t="s">
        <v>309</v>
      </c>
      <c r="B28" s="61" t="s">
        <v>325</v>
      </c>
      <c r="C28" s="29">
        <v>27</v>
      </c>
      <c r="D28" s="5" t="s">
        <v>464</v>
      </c>
      <c r="E28" s="14" t="s">
        <v>38</v>
      </c>
      <c r="F28" s="2" t="s">
        <v>327</v>
      </c>
      <c r="G28" s="2" t="s">
        <v>332</v>
      </c>
      <c r="H28" s="84">
        <v>0</v>
      </c>
      <c r="I28" s="57">
        <v>45748</v>
      </c>
      <c r="J28" s="921"/>
      <c r="K28" s="884"/>
      <c r="L28" s="884"/>
      <c r="M28" s="884"/>
      <c r="N28" s="884"/>
      <c r="O28" s="884"/>
      <c r="P28" s="884"/>
      <c r="Q28" s="884"/>
      <c r="R28" s="884"/>
      <c r="S28" s="1417"/>
      <c r="T28" s="883"/>
      <c r="U28" s="884"/>
      <c r="V28" s="884">
        <v>1</v>
      </c>
      <c r="W28" s="884">
        <v>9</v>
      </c>
      <c r="X28" s="884"/>
      <c r="Y28" s="884"/>
      <c r="Z28" s="884"/>
      <c r="AA28" s="884"/>
      <c r="AB28" s="1417"/>
      <c r="AC28" s="1454"/>
    </row>
    <row r="29" spans="1:29" ht="34.35" customHeight="1">
      <c r="A29" s="59" t="s">
        <v>309</v>
      </c>
      <c r="B29" s="61" t="s">
        <v>325</v>
      </c>
      <c r="C29" s="29">
        <v>28</v>
      </c>
      <c r="D29" s="5" t="s">
        <v>464</v>
      </c>
      <c r="E29" s="14" t="s">
        <v>136</v>
      </c>
      <c r="F29" s="2" t="s">
        <v>327</v>
      </c>
      <c r="G29" s="2" t="s">
        <v>332</v>
      </c>
      <c r="H29" s="84">
        <v>0</v>
      </c>
      <c r="I29" s="57">
        <v>45748</v>
      </c>
      <c r="J29" s="921"/>
      <c r="K29" s="884"/>
      <c r="L29" s="884"/>
      <c r="M29" s="884"/>
      <c r="N29" s="884"/>
      <c r="O29" s="884"/>
      <c r="P29" s="884"/>
      <c r="Q29" s="884"/>
      <c r="R29" s="884"/>
      <c r="S29" s="1417"/>
      <c r="T29" s="883"/>
      <c r="U29" s="884"/>
      <c r="V29" s="884">
        <v>2.93</v>
      </c>
      <c r="W29" s="884">
        <v>9.74</v>
      </c>
      <c r="X29" s="884"/>
      <c r="Y29" s="884"/>
      <c r="Z29" s="884"/>
      <c r="AA29" s="884"/>
      <c r="AB29" s="1417"/>
      <c r="AC29" s="1454"/>
    </row>
    <row r="30" spans="1:29" ht="34.35" customHeight="1">
      <c r="A30" s="59" t="s">
        <v>309</v>
      </c>
      <c r="B30" s="61" t="s">
        <v>325</v>
      </c>
      <c r="C30" s="29">
        <v>29</v>
      </c>
      <c r="D30" s="5" t="s">
        <v>336</v>
      </c>
      <c r="E30" s="14" t="s">
        <v>38</v>
      </c>
      <c r="F30" s="2" t="s">
        <v>316</v>
      </c>
      <c r="G30" s="2" t="s">
        <v>40</v>
      </c>
      <c r="H30" s="84">
        <v>0</v>
      </c>
      <c r="I30" s="57">
        <v>45748</v>
      </c>
      <c r="J30" s="923">
        <v>143</v>
      </c>
      <c r="K30" s="884"/>
      <c r="L30" s="884"/>
      <c r="M30" s="884"/>
      <c r="N30" s="884"/>
      <c r="O30" s="884"/>
      <c r="P30" s="884"/>
      <c r="Q30" s="884"/>
      <c r="R30" s="884"/>
      <c r="S30" s="1417"/>
      <c r="T30" s="921">
        <v>12</v>
      </c>
      <c r="U30" s="884">
        <v>60</v>
      </c>
      <c r="V30" s="884">
        <v>355</v>
      </c>
      <c r="W30" s="884">
        <v>10</v>
      </c>
      <c r="X30" s="884">
        <v>29</v>
      </c>
      <c r="Y30" s="884">
        <v>29</v>
      </c>
      <c r="Z30" s="884">
        <v>0</v>
      </c>
      <c r="AA30" s="884">
        <v>0</v>
      </c>
      <c r="AB30" s="1417">
        <v>1</v>
      </c>
      <c r="AC30" s="1454"/>
    </row>
    <row r="31" spans="1:29" ht="34.35" customHeight="1">
      <c r="A31" s="59" t="s">
        <v>309</v>
      </c>
      <c r="B31" s="61" t="s">
        <v>325</v>
      </c>
      <c r="C31" s="29">
        <v>30</v>
      </c>
      <c r="D31" s="5" t="s">
        <v>336</v>
      </c>
      <c r="E31" s="14" t="s">
        <v>136</v>
      </c>
      <c r="F31" s="2" t="s">
        <v>316</v>
      </c>
      <c r="G31" s="2" t="s">
        <v>40</v>
      </c>
      <c r="H31" s="84">
        <v>0</v>
      </c>
      <c r="I31" s="57">
        <v>45748</v>
      </c>
      <c r="J31" s="923">
        <v>21.096315000000001</v>
      </c>
      <c r="K31" s="884"/>
      <c r="L31" s="884"/>
      <c r="M31" s="884"/>
      <c r="N31" s="884"/>
      <c r="O31" s="884"/>
      <c r="P31" s="884"/>
      <c r="Q31" s="884"/>
      <c r="R31" s="884"/>
      <c r="S31" s="1417"/>
      <c r="T31" s="934">
        <v>2.2134</v>
      </c>
      <c r="U31" s="887">
        <v>1.3906090500000001</v>
      </c>
      <c r="V31" s="887">
        <v>4.3252974999999996</v>
      </c>
      <c r="W31" s="887">
        <v>5.5164999999999999E-2</v>
      </c>
      <c r="X31" s="887">
        <v>1.4283677100000001</v>
      </c>
      <c r="Y31" s="887">
        <v>2.4888629500000001</v>
      </c>
      <c r="Z31" s="887">
        <v>0</v>
      </c>
      <c r="AA31" s="887">
        <v>0</v>
      </c>
      <c r="AB31" s="1429">
        <v>7.1999999999999998E-3</v>
      </c>
      <c r="AC31" s="1454"/>
    </row>
    <row r="32" spans="1:29" ht="34.35" customHeight="1">
      <c r="A32" s="59" t="s">
        <v>309</v>
      </c>
      <c r="B32" s="61" t="s">
        <v>325</v>
      </c>
      <c r="C32" s="29">
        <v>31</v>
      </c>
      <c r="D32" s="5" t="s">
        <v>338</v>
      </c>
      <c r="E32" s="14" t="s">
        <v>38</v>
      </c>
      <c r="F32" s="2" t="s">
        <v>316</v>
      </c>
      <c r="G32" s="2" t="s">
        <v>40</v>
      </c>
      <c r="H32" s="84">
        <v>0</v>
      </c>
      <c r="I32" s="57">
        <v>45748</v>
      </c>
      <c r="J32" s="923">
        <v>6</v>
      </c>
      <c r="K32" s="884"/>
      <c r="L32" s="884"/>
      <c r="M32" s="884"/>
      <c r="N32" s="884"/>
      <c r="O32" s="884"/>
      <c r="P32" s="884"/>
      <c r="Q32" s="884"/>
      <c r="R32" s="884"/>
      <c r="S32" s="1417"/>
      <c r="T32" s="921">
        <v>3</v>
      </c>
      <c r="U32" s="884">
        <v>0</v>
      </c>
      <c r="V32" s="884">
        <v>3</v>
      </c>
      <c r="W32" s="1430">
        <v>2</v>
      </c>
      <c r="X32" s="884">
        <v>13</v>
      </c>
      <c r="Y32" s="884">
        <v>174</v>
      </c>
      <c r="Z32" s="884">
        <v>1</v>
      </c>
      <c r="AA32" s="884">
        <v>0</v>
      </c>
      <c r="AB32" s="1417">
        <v>0</v>
      </c>
      <c r="AC32" s="1454"/>
    </row>
    <row r="33" spans="1:29" ht="34.35" customHeight="1">
      <c r="A33" s="59" t="s">
        <v>309</v>
      </c>
      <c r="B33" s="61" t="s">
        <v>325</v>
      </c>
      <c r="C33" s="29">
        <v>32</v>
      </c>
      <c r="D33" s="5" t="s">
        <v>338</v>
      </c>
      <c r="E33" s="14" t="s">
        <v>136</v>
      </c>
      <c r="F33" s="2" t="s">
        <v>316</v>
      </c>
      <c r="G33" s="2" t="s">
        <v>40</v>
      </c>
      <c r="H33" s="922">
        <v>0</v>
      </c>
      <c r="I33" s="879">
        <v>45748</v>
      </c>
      <c r="J33" s="923">
        <v>2.2849200000000001</v>
      </c>
      <c r="K33" s="884"/>
      <c r="L33" s="884"/>
      <c r="M33" s="884"/>
      <c r="N33" s="884"/>
      <c r="O33" s="884"/>
      <c r="P33" s="884"/>
      <c r="Q33" s="884"/>
      <c r="R33" s="884"/>
      <c r="S33" s="1417"/>
      <c r="T33" s="934">
        <v>0.95931999999999995</v>
      </c>
      <c r="U33" s="887">
        <v>0</v>
      </c>
      <c r="V33" s="887">
        <v>1.0205</v>
      </c>
      <c r="W33" s="1431">
        <v>0.19400000000000001</v>
      </c>
      <c r="X33" s="887">
        <v>8.0981223599999996</v>
      </c>
      <c r="Y33" s="887">
        <v>49.62760978</v>
      </c>
      <c r="Z33" s="887">
        <v>0.24389880000000005</v>
      </c>
      <c r="AA33" s="887">
        <v>0</v>
      </c>
      <c r="AB33" s="1429">
        <v>0</v>
      </c>
      <c r="AC33" s="1454"/>
    </row>
    <row r="34" spans="1:29" ht="34.35" customHeight="1">
      <c r="A34" s="59" t="s">
        <v>309</v>
      </c>
      <c r="B34" s="61" t="s">
        <v>325</v>
      </c>
      <c r="C34" s="29">
        <v>33</v>
      </c>
      <c r="D34" s="5" t="s">
        <v>339</v>
      </c>
      <c r="E34" s="14" t="s">
        <v>133</v>
      </c>
      <c r="F34" s="2" t="s">
        <v>340</v>
      </c>
      <c r="G34" s="2" t="s">
        <v>341</v>
      </c>
      <c r="H34" s="90">
        <v>5.0000000000000001E-3</v>
      </c>
      <c r="I34" s="57">
        <v>45748</v>
      </c>
      <c r="J34" s="921"/>
      <c r="K34" s="884"/>
      <c r="L34" s="884"/>
      <c r="M34" s="884"/>
      <c r="N34" s="884"/>
      <c r="O34" s="884"/>
      <c r="P34" s="884"/>
      <c r="Q34" s="884"/>
      <c r="R34" s="884"/>
      <c r="S34" s="1417"/>
      <c r="T34" s="883"/>
      <c r="U34" s="884"/>
      <c r="V34" s="884"/>
      <c r="W34" s="884"/>
      <c r="X34" s="884"/>
      <c r="Y34" s="884"/>
      <c r="Z34" s="884"/>
      <c r="AA34" s="884"/>
      <c r="AB34" s="1417"/>
      <c r="AC34" s="1457" t="s">
        <v>465</v>
      </c>
    </row>
    <row r="35" spans="1:29" ht="34.35" customHeight="1">
      <c r="A35" s="59" t="s">
        <v>309</v>
      </c>
      <c r="B35" s="61" t="s">
        <v>325</v>
      </c>
      <c r="C35" s="29">
        <v>34</v>
      </c>
      <c r="D35" s="5" t="s">
        <v>339</v>
      </c>
      <c r="E35" s="14" t="s">
        <v>136</v>
      </c>
      <c r="F35" s="2" t="s">
        <v>340</v>
      </c>
      <c r="G35" s="2" t="s">
        <v>341</v>
      </c>
      <c r="H35" s="91" t="s">
        <v>41</v>
      </c>
      <c r="I35" s="57">
        <v>45748</v>
      </c>
      <c r="J35" s="921"/>
      <c r="K35" s="884"/>
      <c r="L35" s="884"/>
      <c r="M35" s="884"/>
      <c r="N35" s="884"/>
      <c r="O35" s="884"/>
      <c r="P35" s="884"/>
      <c r="Q35" s="884"/>
      <c r="R35" s="884"/>
      <c r="S35" s="1417"/>
      <c r="T35" s="883"/>
      <c r="U35" s="884"/>
      <c r="V35" s="884"/>
      <c r="W35" s="884"/>
      <c r="X35" s="884"/>
      <c r="Y35" s="884"/>
      <c r="Z35" s="884"/>
      <c r="AA35" s="884"/>
      <c r="AB35" s="1417"/>
      <c r="AC35" s="1454"/>
    </row>
    <row r="36" spans="1:29" ht="34.35" customHeight="1">
      <c r="A36" s="59" t="s">
        <v>309</v>
      </c>
      <c r="B36" s="61" t="s">
        <v>325</v>
      </c>
      <c r="C36" s="29">
        <v>35</v>
      </c>
      <c r="D36" s="5" t="s">
        <v>342</v>
      </c>
      <c r="E36" s="14" t="s">
        <v>133</v>
      </c>
      <c r="F36" s="2" t="s">
        <v>106</v>
      </c>
      <c r="G36" s="2" t="s">
        <v>285</v>
      </c>
      <c r="H36" s="92"/>
      <c r="I36" s="57">
        <v>45748</v>
      </c>
      <c r="J36" s="921"/>
      <c r="K36" s="884"/>
      <c r="L36" s="884"/>
      <c r="M36" s="884"/>
      <c r="N36" s="884"/>
      <c r="O36" s="884"/>
      <c r="P36" s="884"/>
      <c r="Q36" s="884"/>
      <c r="R36" s="884"/>
      <c r="S36" s="1417"/>
      <c r="T36" s="883"/>
      <c r="U36" s="884"/>
      <c r="V36" s="884"/>
      <c r="W36" s="884"/>
      <c r="X36" s="884"/>
      <c r="Y36" s="884"/>
      <c r="Z36" s="884"/>
      <c r="AA36" s="884"/>
      <c r="AB36" s="1417"/>
      <c r="AC36" s="1454"/>
    </row>
    <row r="37" spans="1:29" ht="34.35" customHeight="1">
      <c r="A37" s="59" t="s">
        <v>309</v>
      </c>
      <c r="B37" s="61" t="s">
        <v>325</v>
      </c>
      <c r="C37" s="29">
        <v>36</v>
      </c>
      <c r="D37" s="5" t="s">
        <v>342</v>
      </c>
      <c r="E37" s="14" t="s">
        <v>136</v>
      </c>
      <c r="F37" s="2" t="s">
        <v>106</v>
      </c>
      <c r="G37" s="2" t="s">
        <v>285</v>
      </c>
      <c r="H37" s="93"/>
      <c r="I37" s="57">
        <v>45748</v>
      </c>
      <c r="J37" s="921"/>
      <c r="K37" s="884"/>
      <c r="L37" s="884"/>
      <c r="M37" s="884"/>
      <c r="N37" s="884"/>
      <c r="O37" s="884"/>
      <c r="P37" s="884"/>
      <c r="Q37" s="884"/>
      <c r="R37" s="884"/>
      <c r="S37" s="1417"/>
      <c r="T37" s="883"/>
      <c r="U37" s="884"/>
      <c r="V37" s="884"/>
      <c r="W37" s="884"/>
      <c r="X37" s="884"/>
      <c r="Y37" s="884"/>
      <c r="Z37" s="884"/>
      <c r="AA37" s="884"/>
      <c r="AB37" s="1417"/>
      <c r="AC37" s="1454"/>
    </row>
    <row r="38" spans="1:29" ht="34.35" customHeight="1">
      <c r="A38" s="59" t="s">
        <v>309</v>
      </c>
      <c r="B38" s="61" t="s">
        <v>325</v>
      </c>
      <c r="C38" s="29">
        <v>37</v>
      </c>
      <c r="D38" s="6" t="s">
        <v>343</v>
      </c>
      <c r="E38" s="14" t="s">
        <v>38</v>
      </c>
      <c r="F38" s="2" t="s">
        <v>105</v>
      </c>
      <c r="G38" s="2"/>
      <c r="H38" s="44" t="s">
        <v>41</v>
      </c>
      <c r="I38" s="57">
        <v>45748</v>
      </c>
      <c r="J38" s="921"/>
      <c r="K38" s="884"/>
      <c r="L38" s="884"/>
      <c r="M38" s="884"/>
      <c r="N38" s="884"/>
      <c r="O38" s="884"/>
      <c r="P38" s="884"/>
      <c r="Q38" s="884"/>
      <c r="R38" s="884"/>
      <c r="S38" s="1417"/>
      <c r="T38" s="883"/>
      <c r="U38" s="884"/>
      <c r="V38" s="884"/>
      <c r="W38" s="884"/>
      <c r="X38" s="884"/>
      <c r="Y38" s="884"/>
      <c r="Z38" s="884"/>
      <c r="AA38" s="884"/>
      <c r="AB38" s="1417"/>
      <c r="AC38" s="1455"/>
    </row>
    <row r="39" spans="1:29" ht="34.35" customHeight="1">
      <c r="A39" s="59" t="s">
        <v>309</v>
      </c>
      <c r="B39" s="61" t="s">
        <v>325</v>
      </c>
      <c r="C39" s="29">
        <v>38</v>
      </c>
      <c r="D39" s="6" t="s">
        <v>343</v>
      </c>
      <c r="E39" s="14" t="s">
        <v>136</v>
      </c>
      <c r="F39" s="2" t="s">
        <v>105</v>
      </c>
      <c r="G39" s="2"/>
      <c r="H39" s="94">
        <f>84578725.86/10^6</f>
        <v>84.578725860000006</v>
      </c>
      <c r="I39" s="57">
        <v>45748</v>
      </c>
      <c r="J39" s="930">
        <f>70245.91/10^6</f>
        <v>7.0245910000000009E-2</v>
      </c>
      <c r="K39" s="885" t="s">
        <v>41</v>
      </c>
      <c r="L39" s="930">
        <f>569277.45/10^6</f>
        <v>0.56927744999999996</v>
      </c>
      <c r="M39" s="885" t="s">
        <v>41</v>
      </c>
      <c r="N39" s="930">
        <f>116028.18/10^6</f>
        <v>0.11602817999999999</v>
      </c>
      <c r="O39" s="930">
        <f>12810.37/10^6</f>
        <v>1.2810370000000001E-2</v>
      </c>
      <c r="P39" s="930">
        <f>101428.17/10^6</f>
        <v>0.10142817</v>
      </c>
      <c r="Q39" s="885" t="s">
        <v>41</v>
      </c>
      <c r="R39" s="930">
        <f>126504.05/10^6</f>
        <v>0.12650405000000001</v>
      </c>
      <c r="S39" s="930">
        <f>304805.34/10^6</f>
        <v>0.30480534000000004</v>
      </c>
      <c r="T39" s="883"/>
      <c r="U39" s="884"/>
      <c r="V39" s="884"/>
      <c r="W39" s="884"/>
      <c r="X39" s="884"/>
      <c r="Y39" s="884"/>
      <c r="Z39" s="884"/>
      <c r="AA39" s="884"/>
      <c r="AB39" s="1417"/>
      <c r="AC39" s="1455"/>
    </row>
    <row r="40" spans="1:29" ht="34.35" customHeight="1">
      <c r="A40" s="59" t="s">
        <v>309</v>
      </c>
      <c r="B40" s="61" t="s">
        <v>325</v>
      </c>
      <c r="C40" s="29">
        <v>39</v>
      </c>
      <c r="D40" s="5" t="s">
        <v>344</v>
      </c>
      <c r="E40" s="14" t="s">
        <v>136</v>
      </c>
      <c r="F40" s="2" t="s">
        <v>110</v>
      </c>
      <c r="G40" s="2" t="s">
        <v>345</v>
      </c>
      <c r="H40" s="89">
        <v>3.17</v>
      </c>
      <c r="I40" s="57">
        <v>45748</v>
      </c>
      <c r="J40" s="921"/>
      <c r="K40" s="884"/>
      <c r="L40" s="884"/>
      <c r="M40" s="884"/>
      <c r="N40" s="884"/>
      <c r="O40" s="884"/>
      <c r="P40" s="884"/>
      <c r="Q40" s="884"/>
      <c r="R40" s="884"/>
      <c r="S40" s="1417"/>
      <c r="T40" s="883"/>
      <c r="U40" s="884"/>
      <c r="V40" s="884"/>
      <c r="W40" s="884"/>
      <c r="X40" s="884"/>
      <c r="Y40" s="884"/>
      <c r="Z40" s="884"/>
      <c r="AA40" s="884"/>
      <c r="AB40" s="1417"/>
      <c r="AC40" s="1454"/>
    </row>
    <row r="41" spans="1:29" ht="34.35" customHeight="1">
      <c r="A41" s="59" t="s">
        <v>309</v>
      </c>
      <c r="B41" s="61" t="s">
        <v>325</v>
      </c>
      <c r="C41" s="29">
        <v>40</v>
      </c>
      <c r="D41" s="5" t="s">
        <v>346</v>
      </c>
      <c r="E41" s="14" t="s">
        <v>136</v>
      </c>
      <c r="F41" s="2" t="s">
        <v>110</v>
      </c>
      <c r="G41" s="2" t="s">
        <v>345</v>
      </c>
      <c r="H41" s="89">
        <v>5.84</v>
      </c>
      <c r="I41" s="57">
        <v>45748</v>
      </c>
      <c r="J41" s="921"/>
      <c r="K41" s="884"/>
      <c r="L41" s="884"/>
      <c r="M41" s="884"/>
      <c r="N41" s="884"/>
      <c r="O41" s="884"/>
      <c r="P41" s="884"/>
      <c r="Q41" s="884"/>
      <c r="R41" s="884"/>
      <c r="S41" s="1417"/>
      <c r="T41" s="883"/>
      <c r="U41" s="884"/>
      <c r="V41" s="884"/>
      <c r="W41" s="884"/>
      <c r="X41" s="884"/>
      <c r="Y41" s="884"/>
      <c r="Z41" s="884"/>
      <c r="AA41" s="884"/>
      <c r="AB41" s="1417"/>
      <c r="AC41" s="1454"/>
    </row>
    <row r="42" spans="1:29" ht="34.35" customHeight="1">
      <c r="A42" s="59" t="s">
        <v>309</v>
      </c>
      <c r="B42" s="61" t="s">
        <v>325</v>
      </c>
      <c r="C42" s="29">
        <v>41</v>
      </c>
      <c r="D42" s="5" t="s">
        <v>347</v>
      </c>
      <c r="E42" s="14" t="s">
        <v>38</v>
      </c>
      <c r="F42" s="2" t="s">
        <v>106</v>
      </c>
      <c r="G42" s="2" t="s">
        <v>285</v>
      </c>
      <c r="H42" s="924"/>
      <c r="I42" s="879">
        <v>45748</v>
      </c>
      <c r="J42" s="921"/>
      <c r="K42" s="884"/>
      <c r="L42" s="884"/>
      <c r="M42" s="884"/>
      <c r="N42" s="884"/>
      <c r="O42" s="884"/>
      <c r="P42" s="884"/>
      <c r="Q42" s="884"/>
      <c r="R42" s="884"/>
      <c r="S42" s="1417"/>
      <c r="T42" s="883"/>
      <c r="U42" s="884"/>
      <c r="V42" s="884"/>
      <c r="W42" s="884"/>
      <c r="X42" s="884"/>
      <c r="Y42" s="884"/>
      <c r="Z42" s="884"/>
      <c r="AA42" s="884"/>
      <c r="AB42" s="1417"/>
      <c r="AC42" s="1454"/>
    </row>
    <row r="43" spans="1:29" ht="34.35" customHeight="1">
      <c r="A43" s="59" t="s">
        <v>309</v>
      </c>
      <c r="B43" s="61" t="s">
        <v>325</v>
      </c>
      <c r="C43" s="29">
        <v>42</v>
      </c>
      <c r="D43" s="5" t="s">
        <v>347</v>
      </c>
      <c r="E43" s="14" t="s">
        <v>136</v>
      </c>
      <c r="F43" s="2" t="s">
        <v>106</v>
      </c>
      <c r="G43" s="2" t="s">
        <v>285</v>
      </c>
      <c r="H43" s="93"/>
      <c r="I43" s="57">
        <v>45748</v>
      </c>
      <c r="J43" s="921"/>
      <c r="K43" s="884"/>
      <c r="L43" s="884"/>
      <c r="M43" s="884"/>
      <c r="N43" s="884"/>
      <c r="O43" s="884"/>
      <c r="P43" s="884"/>
      <c r="Q43" s="884"/>
      <c r="R43" s="884"/>
      <c r="S43" s="1417"/>
      <c r="T43" s="883"/>
      <c r="U43" s="884"/>
      <c r="V43" s="884"/>
      <c r="W43" s="884"/>
      <c r="X43" s="884"/>
      <c r="Y43" s="884"/>
      <c r="Z43" s="884"/>
      <c r="AA43" s="884"/>
      <c r="AB43" s="1417"/>
      <c r="AC43" s="1454"/>
    </row>
    <row r="44" spans="1:29" ht="34.35" customHeight="1">
      <c r="A44" s="59" t="s">
        <v>309</v>
      </c>
      <c r="B44" s="61" t="s">
        <v>325</v>
      </c>
      <c r="C44" s="29">
        <v>43</v>
      </c>
      <c r="D44" s="5" t="s">
        <v>349</v>
      </c>
      <c r="E44" s="14" t="s">
        <v>136</v>
      </c>
      <c r="F44" s="2" t="s">
        <v>340</v>
      </c>
      <c r="G44" s="2" t="s">
        <v>134</v>
      </c>
      <c r="H44" s="89">
        <v>5.4</v>
      </c>
      <c r="I44" s="57">
        <v>45748</v>
      </c>
      <c r="J44" s="921"/>
      <c r="K44" s="884"/>
      <c r="L44" s="884"/>
      <c r="M44" s="884"/>
      <c r="N44" s="884"/>
      <c r="O44" s="884"/>
      <c r="P44" s="884"/>
      <c r="Q44" s="884"/>
      <c r="R44" s="884"/>
      <c r="S44" s="1417"/>
      <c r="T44" s="883"/>
      <c r="U44" s="884"/>
      <c r="V44" s="884"/>
      <c r="W44" s="884"/>
      <c r="X44" s="884"/>
      <c r="Y44" s="884"/>
      <c r="Z44" s="884"/>
      <c r="AA44" s="884"/>
      <c r="AB44" s="1417"/>
      <c r="AC44" s="1454"/>
    </row>
    <row r="45" spans="1:29" ht="34.35" customHeight="1">
      <c r="A45" s="59" t="s">
        <v>309</v>
      </c>
      <c r="B45" s="61" t="s">
        <v>325</v>
      </c>
      <c r="C45" s="29">
        <v>44</v>
      </c>
      <c r="D45" s="5" t="s">
        <v>350</v>
      </c>
      <c r="E45" s="14" t="s">
        <v>38</v>
      </c>
      <c r="F45" s="2" t="s">
        <v>106</v>
      </c>
      <c r="G45" s="2" t="s">
        <v>134</v>
      </c>
      <c r="H45" s="93">
        <v>200</v>
      </c>
      <c r="I45" s="57">
        <v>45748</v>
      </c>
      <c r="J45" s="921"/>
      <c r="K45" s="884"/>
      <c r="L45" s="884"/>
      <c r="M45" s="884"/>
      <c r="N45" s="884"/>
      <c r="O45" s="884"/>
      <c r="P45" s="884"/>
      <c r="Q45" s="884"/>
      <c r="R45" s="884"/>
      <c r="S45" s="1417"/>
      <c r="T45" s="883"/>
      <c r="U45" s="884"/>
      <c r="V45" s="884"/>
      <c r="W45" s="884"/>
      <c r="X45" s="884"/>
      <c r="Y45" s="884"/>
      <c r="Z45" s="884"/>
      <c r="AA45" s="884"/>
      <c r="AB45" s="1417"/>
      <c r="AC45" s="1454"/>
    </row>
    <row r="46" spans="1:29" ht="34.35" customHeight="1">
      <c r="A46" s="59" t="s">
        <v>309</v>
      </c>
      <c r="B46" s="61" t="s">
        <v>325</v>
      </c>
      <c r="C46" s="29">
        <v>45</v>
      </c>
      <c r="D46" s="5" t="s">
        <v>350</v>
      </c>
      <c r="E46" s="14" t="s">
        <v>136</v>
      </c>
      <c r="F46" s="2" t="s">
        <v>106</v>
      </c>
      <c r="G46" s="2" t="s">
        <v>134</v>
      </c>
      <c r="H46" s="93">
        <v>90</v>
      </c>
      <c r="I46" s="57">
        <v>45748</v>
      </c>
      <c r="J46" s="921"/>
      <c r="K46" s="884"/>
      <c r="L46" s="884"/>
      <c r="M46" s="884"/>
      <c r="N46" s="884"/>
      <c r="O46" s="884"/>
      <c r="P46" s="884"/>
      <c r="Q46" s="884"/>
      <c r="R46" s="884"/>
      <c r="S46" s="1417"/>
      <c r="T46" s="883"/>
      <c r="U46" s="884"/>
      <c r="V46" s="884"/>
      <c r="W46" s="884"/>
      <c r="X46" s="884"/>
      <c r="Y46" s="884"/>
      <c r="Z46" s="884"/>
      <c r="AA46" s="884"/>
      <c r="AB46" s="1417"/>
      <c r="AC46" s="1454"/>
    </row>
    <row r="47" spans="1:29" ht="34.35" customHeight="1">
      <c r="A47" s="59" t="s">
        <v>309</v>
      </c>
      <c r="B47" s="62" t="s">
        <v>351</v>
      </c>
      <c r="C47" s="29">
        <v>46</v>
      </c>
      <c r="D47" s="63" t="s">
        <v>41</v>
      </c>
      <c r="E47" s="14" t="s">
        <v>353</v>
      </c>
      <c r="F47" s="2" t="s">
        <v>312</v>
      </c>
      <c r="G47" s="1" t="s">
        <v>40</v>
      </c>
      <c r="H47" s="89">
        <v>1.2</v>
      </c>
      <c r="I47" s="57">
        <v>45748</v>
      </c>
      <c r="J47" s="921"/>
      <c r="K47" s="884"/>
      <c r="L47" s="884"/>
      <c r="M47" s="884"/>
      <c r="N47" s="884"/>
      <c r="O47" s="884"/>
      <c r="P47" s="884"/>
      <c r="Q47" s="884"/>
      <c r="R47" s="884"/>
      <c r="S47" s="1417"/>
      <c r="T47" s="883"/>
      <c r="U47" s="884"/>
      <c r="V47" s="884"/>
      <c r="W47" s="884"/>
      <c r="X47" s="884"/>
      <c r="Y47" s="884"/>
      <c r="Z47" s="884"/>
      <c r="AA47" s="884"/>
      <c r="AB47" s="1417"/>
      <c r="AC47" s="1456" t="s">
        <v>352</v>
      </c>
    </row>
    <row r="48" spans="1:29" ht="34.35" customHeight="1">
      <c r="A48" s="59" t="s">
        <v>309</v>
      </c>
      <c r="B48" s="64" t="s">
        <v>354</v>
      </c>
      <c r="C48" s="29">
        <v>47</v>
      </c>
      <c r="D48" s="63" t="s">
        <v>41</v>
      </c>
      <c r="E48" s="14" t="s">
        <v>353</v>
      </c>
      <c r="F48" s="2" t="s">
        <v>327</v>
      </c>
      <c r="G48" s="1" t="s">
        <v>40</v>
      </c>
      <c r="H48" s="84">
        <v>0</v>
      </c>
      <c r="I48" s="57">
        <v>45748</v>
      </c>
      <c r="J48" s="921"/>
      <c r="K48" s="884"/>
      <c r="L48" s="884"/>
      <c r="M48" s="884"/>
      <c r="N48" s="884"/>
      <c r="O48" s="884"/>
      <c r="P48" s="884"/>
      <c r="Q48" s="884"/>
      <c r="R48" s="884"/>
      <c r="S48" s="1417"/>
      <c r="T48" s="883"/>
      <c r="U48" s="884"/>
      <c r="V48" s="884"/>
      <c r="W48" s="884"/>
      <c r="X48" s="884"/>
      <c r="Y48" s="884"/>
      <c r="Z48" s="884"/>
      <c r="AA48" s="884"/>
      <c r="AB48" s="1417"/>
      <c r="AC48" s="1457" t="s">
        <v>466</v>
      </c>
    </row>
    <row r="49" spans="1:29" ht="34.35" customHeight="1">
      <c r="A49" s="59" t="s">
        <v>309</v>
      </c>
      <c r="B49" s="64" t="s">
        <v>356</v>
      </c>
      <c r="C49" s="29">
        <v>48</v>
      </c>
      <c r="D49" s="63" t="s">
        <v>41</v>
      </c>
      <c r="E49" s="14" t="s">
        <v>353</v>
      </c>
      <c r="F49" s="2" t="s">
        <v>321</v>
      </c>
      <c r="G49" s="1" t="s">
        <v>40</v>
      </c>
      <c r="H49" s="84">
        <v>0</v>
      </c>
      <c r="I49" s="57">
        <v>45748</v>
      </c>
      <c r="J49" s="921" t="s">
        <v>41</v>
      </c>
      <c r="K49" s="884" t="s">
        <v>41</v>
      </c>
      <c r="L49" s="884" t="s">
        <v>41</v>
      </c>
      <c r="M49" s="884" t="s">
        <v>41</v>
      </c>
      <c r="N49" s="884" t="s">
        <v>41</v>
      </c>
      <c r="O49" s="884" t="s">
        <v>41</v>
      </c>
      <c r="P49" s="884" t="s">
        <v>41</v>
      </c>
      <c r="Q49" s="884" t="s">
        <v>41</v>
      </c>
      <c r="R49" s="884" t="s">
        <v>41</v>
      </c>
      <c r="S49" s="1417" t="s">
        <v>41</v>
      </c>
      <c r="T49" s="883" t="s">
        <v>41</v>
      </c>
      <c r="U49" s="884" t="s">
        <v>41</v>
      </c>
      <c r="V49" s="884" t="s">
        <v>41</v>
      </c>
      <c r="W49" s="884" t="s">
        <v>41</v>
      </c>
      <c r="X49" s="884" t="s">
        <v>41</v>
      </c>
      <c r="Y49" s="884" t="s">
        <v>41</v>
      </c>
      <c r="Z49" s="884" t="s">
        <v>41</v>
      </c>
      <c r="AA49" s="884" t="s">
        <v>41</v>
      </c>
      <c r="AB49" s="1417" t="s">
        <v>41</v>
      </c>
      <c r="AC49" s="1457" t="s">
        <v>466</v>
      </c>
    </row>
    <row r="50" spans="1:29" ht="34.35" customHeight="1">
      <c r="A50" s="69" t="s">
        <v>309</v>
      </c>
      <c r="B50" s="11" t="s">
        <v>357</v>
      </c>
      <c r="C50" s="73">
        <v>49</v>
      </c>
      <c r="D50" s="7" t="s">
        <v>41</v>
      </c>
      <c r="E50" s="71" t="s">
        <v>38</v>
      </c>
      <c r="F50" s="2" t="s">
        <v>312</v>
      </c>
      <c r="G50" s="1">
        <f>SUBTOTAL(9,J50:AB50)</f>
        <v>6</v>
      </c>
      <c r="H50" s="84"/>
      <c r="I50" s="57">
        <v>45748</v>
      </c>
      <c r="J50" s="1432"/>
      <c r="K50" s="1433"/>
      <c r="L50" s="1433"/>
      <c r="M50" s="1433"/>
      <c r="N50" s="1433"/>
      <c r="O50" s="1433"/>
      <c r="P50" s="1433"/>
      <c r="Q50" s="1433"/>
      <c r="R50" s="1433">
        <v>3</v>
      </c>
      <c r="S50" s="1417" t="s">
        <v>41</v>
      </c>
      <c r="T50" s="883" t="s">
        <v>41</v>
      </c>
      <c r="U50" s="884" t="s">
        <v>41</v>
      </c>
      <c r="V50" s="1433">
        <v>1</v>
      </c>
      <c r="W50" s="1433">
        <v>1</v>
      </c>
      <c r="X50" s="1433"/>
      <c r="Y50" s="1433"/>
      <c r="Z50" s="1433"/>
      <c r="AA50" s="1433">
        <v>1</v>
      </c>
      <c r="AB50" s="1417" t="s">
        <v>41</v>
      </c>
      <c r="AC50" s="1458"/>
    </row>
    <row r="51" spans="1:29" ht="34.35" customHeight="1">
      <c r="A51" s="59" t="s">
        <v>309</v>
      </c>
      <c r="B51" s="60" t="s">
        <v>310</v>
      </c>
      <c r="C51" s="29">
        <v>1</v>
      </c>
      <c r="D51" s="5" t="s">
        <v>311</v>
      </c>
      <c r="E51" s="14" t="s">
        <v>38</v>
      </c>
      <c r="F51" s="2" t="s">
        <v>312</v>
      </c>
      <c r="G51" s="2" t="s">
        <v>40</v>
      </c>
      <c r="H51" s="920">
        <v>0</v>
      </c>
      <c r="I51" s="879">
        <v>45778</v>
      </c>
      <c r="J51" s="921"/>
      <c r="K51" s="884"/>
      <c r="L51" s="884"/>
      <c r="M51" s="884"/>
      <c r="N51" s="884"/>
      <c r="O51" s="884"/>
      <c r="P51" s="884"/>
      <c r="Q51" s="884"/>
      <c r="R51" s="884"/>
      <c r="S51" s="1417"/>
      <c r="T51" s="883"/>
      <c r="U51" s="884"/>
      <c r="V51" s="884"/>
      <c r="W51" s="884"/>
      <c r="X51" s="884"/>
      <c r="Y51" s="884"/>
      <c r="Z51" s="884"/>
      <c r="AA51" s="884"/>
      <c r="AB51" s="1417"/>
      <c r="AC51" s="1454"/>
    </row>
    <row r="52" spans="1:29" ht="34.35" customHeight="1">
      <c r="A52" s="59" t="s">
        <v>309</v>
      </c>
      <c r="B52" s="60" t="s">
        <v>310</v>
      </c>
      <c r="C52" s="29">
        <v>2</v>
      </c>
      <c r="D52" s="5" t="s">
        <v>313</v>
      </c>
      <c r="E52" s="14" t="s">
        <v>38</v>
      </c>
      <c r="F52" s="2" t="s">
        <v>312</v>
      </c>
      <c r="G52" s="2" t="s">
        <v>40</v>
      </c>
      <c r="H52" s="89">
        <v>0</v>
      </c>
      <c r="I52" s="57">
        <v>45778</v>
      </c>
      <c r="J52" s="921"/>
      <c r="K52" s="884"/>
      <c r="L52" s="884"/>
      <c r="M52" s="884"/>
      <c r="N52" s="884"/>
      <c r="O52" s="884"/>
      <c r="P52" s="884"/>
      <c r="Q52" s="884"/>
      <c r="R52" s="884"/>
      <c r="S52" s="1417"/>
      <c r="T52" s="883"/>
      <c r="U52" s="884"/>
      <c r="V52" s="884"/>
      <c r="W52" s="884"/>
      <c r="X52" s="884"/>
      <c r="Y52" s="884"/>
      <c r="Z52" s="884"/>
      <c r="AA52" s="884"/>
      <c r="AB52" s="1417"/>
      <c r="AC52" s="1454"/>
    </row>
    <row r="53" spans="1:29" ht="34.35" customHeight="1">
      <c r="A53" s="59" t="s">
        <v>309</v>
      </c>
      <c r="B53" s="60" t="s">
        <v>310</v>
      </c>
      <c r="C53" s="29">
        <v>3</v>
      </c>
      <c r="D53" s="6" t="s">
        <v>314</v>
      </c>
      <c r="E53" s="14" t="s">
        <v>38</v>
      </c>
      <c r="F53" s="2" t="s">
        <v>312</v>
      </c>
      <c r="G53" s="2" t="s">
        <v>40</v>
      </c>
      <c r="H53" s="89">
        <v>0</v>
      </c>
      <c r="I53" s="57">
        <v>45778</v>
      </c>
      <c r="J53" s="921"/>
      <c r="K53" s="884"/>
      <c r="L53" s="884"/>
      <c r="M53" s="884"/>
      <c r="N53" s="884"/>
      <c r="O53" s="884"/>
      <c r="P53" s="884"/>
      <c r="Q53" s="884"/>
      <c r="R53" s="884"/>
      <c r="S53" s="1417"/>
      <c r="T53" s="883"/>
      <c r="U53" s="884"/>
      <c r="V53" s="884"/>
      <c r="W53" s="884"/>
      <c r="X53" s="884"/>
      <c r="Y53" s="884"/>
      <c r="Z53" s="884"/>
      <c r="AA53" s="884"/>
      <c r="AB53" s="1428"/>
      <c r="AC53" s="1455"/>
    </row>
    <row r="54" spans="1:29" ht="34.35" customHeight="1">
      <c r="A54" s="59" t="s">
        <v>309</v>
      </c>
      <c r="B54" s="60" t="s">
        <v>310</v>
      </c>
      <c r="C54" s="29">
        <v>4</v>
      </c>
      <c r="D54" s="5" t="s">
        <v>315</v>
      </c>
      <c r="E54" s="14" t="s">
        <v>38</v>
      </c>
      <c r="F54" s="2" t="s">
        <v>316</v>
      </c>
      <c r="G54" s="2" t="s">
        <v>40</v>
      </c>
      <c r="H54" s="89">
        <v>280</v>
      </c>
      <c r="I54" s="57">
        <v>45778</v>
      </c>
      <c r="J54" s="883"/>
      <c r="K54" s="884"/>
      <c r="L54" s="884">
        <v>1</v>
      </c>
      <c r="M54" s="884"/>
      <c r="N54" s="884">
        <v>2</v>
      </c>
      <c r="O54" s="884"/>
      <c r="P54" s="884"/>
      <c r="Q54" s="884"/>
      <c r="R54" s="884">
        <v>1</v>
      </c>
      <c r="S54" s="922"/>
      <c r="T54" s="883"/>
      <c r="U54" s="884"/>
      <c r="V54" s="884">
        <v>8</v>
      </c>
      <c r="W54" s="884">
        <v>3</v>
      </c>
      <c r="X54" s="884"/>
      <c r="Y54" s="884">
        <v>1</v>
      </c>
      <c r="Z54" s="884"/>
      <c r="AA54" s="922"/>
      <c r="AB54" s="1417"/>
      <c r="AC54" s="1456" t="s">
        <v>458</v>
      </c>
    </row>
    <row r="55" spans="1:29" ht="34.35" customHeight="1">
      <c r="A55" s="59" t="s">
        <v>309</v>
      </c>
      <c r="B55" s="60" t="s">
        <v>310</v>
      </c>
      <c r="C55" s="29">
        <v>5</v>
      </c>
      <c r="D55" s="5" t="s">
        <v>315</v>
      </c>
      <c r="E55" s="14" t="s">
        <v>136</v>
      </c>
      <c r="F55" s="2" t="s">
        <v>316</v>
      </c>
      <c r="G55" s="2" t="s">
        <v>40</v>
      </c>
      <c r="H55" s="89">
        <v>106</v>
      </c>
      <c r="I55" s="57">
        <v>45778</v>
      </c>
      <c r="J55" s="883"/>
      <c r="K55" s="884"/>
      <c r="L55" s="884">
        <v>1.9910000000000001</v>
      </c>
      <c r="M55" s="884"/>
      <c r="N55" s="884">
        <f>0.164+0.1825</f>
        <v>0.34650000000000003</v>
      </c>
      <c r="O55" s="884"/>
      <c r="P55" s="884"/>
      <c r="Q55" s="884"/>
      <c r="R55" s="885">
        <v>2.5000000000000001E-2</v>
      </c>
      <c r="S55" s="1418"/>
      <c r="T55" s="889"/>
      <c r="U55" s="885"/>
      <c r="V55" s="885">
        <v>0.92900000000000005</v>
      </c>
      <c r="W55" s="885">
        <f>0.205+0.01995+0.01135</f>
        <v>0.23629999999999998</v>
      </c>
      <c r="X55" s="885"/>
      <c r="Y55" s="885">
        <v>3.7799999999999999E-3</v>
      </c>
      <c r="Z55" s="884"/>
      <c r="AA55" s="922"/>
      <c r="AB55" s="1417"/>
      <c r="AC55" s="1456" t="s">
        <v>459</v>
      </c>
    </row>
    <row r="56" spans="1:29" ht="34.35" customHeight="1">
      <c r="A56" s="59" t="s">
        <v>309</v>
      </c>
      <c r="B56" s="60" t="s">
        <v>310</v>
      </c>
      <c r="C56" s="29">
        <v>6</v>
      </c>
      <c r="D56" s="5" t="s">
        <v>317</v>
      </c>
      <c r="E56" s="14" t="s">
        <v>38</v>
      </c>
      <c r="F56" s="2" t="s">
        <v>316</v>
      </c>
      <c r="G56" s="2" t="s">
        <v>40</v>
      </c>
      <c r="H56" s="89">
        <v>0</v>
      </c>
      <c r="I56" s="57">
        <v>45778</v>
      </c>
      <c r="J56" s="1434">
        <v>0</v>
      </c>
      <c r="K56" s="1435">
        <v>0</v>
      </c>
      <c r="L56" s="1435">
        <v>0</v>
      </c>
      <c r="M56" s="1435">
        <v>0</v>
      </c>
      <c r="N56" s="1435">
        <v>0</v>
      </c>
      <c r="O56" s="1435">
        <v>0</v>
      </c>
      <c r="P56" s="1435">
        <v>0</v>
      </c>
      <c r="Q56" s="1435">
        <v>0</v>
      </c>
      <c r="R56" s="1435">
        <v>0</v>
      </c>
      <c r="S56" s="1436">
        <v>0</v>
      </c>
      <c r="T56" s="883">
        <v>0</v>
      </c>
      <c r="U56" s="884">
        <v>0</v>
      </c>
      <c r="V56" s="884">
        <v>0</v>
      </c>
      <c r="W56" s="884">
        <v>0</v>
      </c>
      <c r="X56" s="884">
        <v>0</v>
      </c>
      <c r="Y56" s="884">
        <v>0</v>
      </c>
      <c r="Z56" s="884">
        <v>0</v>
      </c>
      <c r="AA56" s="884">
        <v>0</v>
      </c>
      <c r="AB56" s="1437">
        <v>0</v>
      </c>
      <c r="AC56" s="1454"/>
    </row>
    <row r="57" spans="1:29" ht="34.35" customHeight="1">
      <c r="A57" s="59" t="s">
        <v>309</v>
      </c>
      <c r="B57" s="60" t="s">
        <v>310</v>
      </c>
      <c r="C57" s="29">
        <v>7</v>
      </c>
      <c r="D57" s="5" t="s">
        <v>317</v>
      </c>
      <c r="E57" s="14" t="s">
        <v>136</v>
      </c>
      <c r="F57" s="2" t="s">
        <v>316</v>
      </c>
      <c r="G57" s="2" t="s">
        <v>40</v>
      </c>
      <c r="H57" s="89">
        <v>0</v>
      </c>
      <c r="I57" s="57">
        <v>45778</v>
      </c>
      <c r="J57" s="1434">
        <v>0</v>
      </c>
      <c r="K57" s="1435">
        <v>0</v>
      </c>
      <c r="L57" s="1435">
        <v>0</v>
      </c>
      <c r="M57" s="1435">
        <v>0</v>
      </c>
      <c r="N57" s="1435">
        <v>0</v>
      </c>
      <c r="O57" s="1435">
        <v>0</v>
      </c>
      <c r="P57" s="1435">
        <v>0</v>
      </c>
      <c r="Q57" s="1435">
        <v>0</v>
      </c>
      <c r="R57" s="1435">
        <v>0</v>
      </c>
      <c r="S57" s="1436">
        <v>0</v>
      </c>
      <c r="T57" s="883">
        <v>0</v>
      </c>
      <c r="U57" s="884">
        <v>0</v>
      </c>
      <c r="V57" s="884">
        <v>0</v>
      </c>
      <c r="W57" s="884">
        <v>0</v>
      </c>
      <c r="X57" s="884">
        <v>0</v>
      </c>
      <c r="Y57" s="884">
        <v>0</v>
      </c>
      <c r="Z57" s="884">
        <v>0</v>
      </c>
      <c r="AA57" s="884">
        <v>0</v>
      </c>
      <c r="AB57" s="884">
        <v>0</v>
      </c>
      <c r="AC57" s="1454"/>
    </row>
    <row r="58" spans="1:29" ht="34.35" customHeight="1">
      <c r="A58" s="59" t="s">
        <v>309</v>
      </c>
      <c r="B58" s="60" t="s">
        <v>310</v>
      </c>
      <c r="C58" s="29">
        <v>8</v>
      </c>
      <c r="D58" s="5" t="s">
        <v>318</v>
      </c>
      <c r="E58" s="14" t="s">
        <v>38</v>
      </c>
      <c r="F58" s="2" t="s">
        <v>316</v>
      </c>
      <c r="G58" s="2" t="s">
        <v>40</v>
      </c>
      <c r="H58" s="89">
        <v>192</v>
      </c>
      <c r="I58" s="57">
        <v>45778</v>
      </c>
      <c r="J58" s="1434">
        <v>0</v>
      </c>
      <c r="K58" s="1435">
        <v>0</v>
      </c>
      <c r="L58" s="1435">
        <v>0</v>
      </c>
      <c r="M58" s="1435">
        <v>0</v>
      </c>
      <c r="N58" s="1435">
        <v>0</v>
      </c>
      <c r="O58" s="1435">
        <v>0</v>
      </c>
      <c r="P58" s="1435">
        <v>0</v>
      </c>
      <c r="Q58" s="1435">
        <v>0</v>
      </c>
      <c r="R58" s="1435">
        <v>0</v>
      </c>
      <c r="S58" s="1436">
        <v>0</v>
      </c>
      <c r="T58" s="883">
        <v>0</v>
      </c>
      <c r="U58" s="884">
        <v>0</v>
      </c>
      <c r="V58" s="884">
        <v>4</v>
      </c>
      <c r="W58" s="884">
        <v>0</v>
      </c>
      <c r="X58" s="884">
        <v>0</v>
      </c>
      <c r="Y58" s="884">
        <v>6</v>
      </c>
      <c r="Z58" s="884">
        <v>0</v>
      </c>
      <c r="AA58" s="884">
        <v>0</v>
      </c>
      <c r="AB58" s="884">
        <v>0</v>
      </c>
      <c r="AC58" s="1456" t="s">
        <v>460</v>
      </c>
    </row>
    <row r="59" spans="1:29" ht="34.35" customHeight="1">
      <c r="A59" s="59" t="s">
        <v>309</v>
      </c>
      <c r="B59" s="60" t="s">
        <v>310</v>
      </c>
      <c r="C59" s="29">
        <v>9</v>
      </c>
      <c r="D59" s="5" t="s">
        <v>318</v>
      </c>
      <c r="E59" s="14" t="s">
        <v>136</v>
      </c>
      <c r="F59" s="2" t="s">
        <v>316</v>
      </c>
      <c r="G59" s="2" t="s">
        <v>40</v>
      </c>
      <c r="H59" s="89">
        <v>307</v>
      </c>
      <c r="I59" s="57">
        <v>45778</v>
      </c>
      <c r="J59" s="1434">
        <v>0</v>
      </c>
      <c r="K59" s="1435">
        <v>0</v>
      </c>
      <c r="L59" s="1435">
        <v>0</v>
      </c>
      <c r="M59" s="1435">
        <v>0</v>
      </c>
      <c r="N59" s="1435">
        <v>0</v>
      </c>
      <c r="O59" s="1435">
        <v>0</v>
      </c>
      <c r="P59" s="1435">
        <v>0</v>
      </c>
      <c r="Q59" s="1435">
        <v>0</v>
      </c>
      <c r="R59" s="1435">
        <v>0</v>
      </c>
      <c r="S59" s="1436">
        <v>0</v>
      </c>
      <c r="T59" s="883">
        <v>0</v>
      </c>
      <c r="U59" s="884">
        <v>0</v>
      </c>
      <c r="V59" s="884">
        <v>0.48</v>
      </c>
      <c r="W59" s="884">
        <v>0</v>
      </c>
      <c r="X59" s="884">
        <v>0</v>
      </c>
      <c r="Y59" s="884">
        <v>1.68</v>
      </c>
      <c r="Z59" s="884">
        <v>0</v>
      </c>
      <c r="AA59" s="884">
        <v>0</v>
      </c>
      <c r="AB59" s="884">
        <v>0</v>
      </c>
      <c r="AC59" s="1456" t="s">
        <v>461</v>
      </c>
    </row>
    <row r="60" spans="1:29" ht="34.35" customHeight="1">
      <c r="A60" s="59" t="s">
        <v>309</v>
      </c>
      <c r="B60" s="60" t="s">
        <v>319</v>
      </c>
      <c r="C60" s="29">
        <v>10</v>
      </c>
      <c r="D60" s="5" t="s">
        <v>320</v>
      </c>
      <c r="E60" s="14" t="s">
        <v>38</v>
      </c>
      <c r="F60" s="2" t="s">
        <v>321</v>
      </c>
      <c r="G60" s="2" t="s">
        <v>40</v>
      </c>
      <c r="H60" s="920">
        <v>0</v>
      </c>
      <c r="I60" s="879">
        <v>45778</v>
      </c>
      <c r="J60" s="921">
        <v>0</v>
      </c>
      <c r="K60" s="884">
        <v>0</v>
      </c>
      <c r="L60" s="884">
        <v>0</v>
      </c>
      <c r="M60" s="884">
        <v>0</v>
      </c>
      <c r="N60" s="884">
        <v>0</v>
      </c>
      <c r="O60" s="884">
        <v>0</v>
      </c>
      <c r="P60" s="884">
        <v>0</v>
      </c>
      <c r="Q60" s="884">
        <v>0</v>
      </c>
      <c r="R60" s="884">
        <v>0</v>
      </c>
      <c r="S60" s="1417">
        <v>0</v>
      </c>
      <c r="T60" s="883">
        <v>0</v>
      </c>
      <c r="U60" s="884">
        <v>0</v>
      </c>
      <c r="V60" s="884">
        <v>0</v>
      </c>
      <c r="W60" s="884">
        <v>0</v>
      </c>
      <c r="X60" s="884">
        <v>0</v>
      </c>
      <c r="Y60" s="884">
        <v>0</v>
      </c>
      <c r="Z60" s="884">
        <v>0</v>
      </c>
      <c r="AA60" s="884">
        <v>0</v>
      </c>
      <c r="AB60" s="1417">
        <v>0</v>
      </c>
      <c r="AC60" s="1454"/>
    </row>
    <row r="61" spans="1:29" ht="34.35" customHeight="1">
      <c r="A61" s="59" t="s">
        <v>309</v>
      </c>
      <c r="B61" s="60" t="s">
        <v>319</v>
      </c>
      <c r="C61" s="29">
        <v>11</v>
      </c>
      <c r="D61" s="5" t="s">
        <v>322</v>
      </c>
      <c r="E61" s="14" t="s">
        <v>38</v>
      </c>
      <c r="F61" s="2" t="s">
        <v>321</v>
      </c>
      <c r="G61" s="2" t="s">
        <v>40</v>
      </c>
      <c r="H61" s="89">
        <v>0</v>
      </c>
      <c r="I61" s="57">
        <v>45778</v>
      </c>
      <c r="J61" s="921">
        <v>0</v>
      </c>
      <c r="K61" s="884">
        <v>0</v>
      </c>
      <c r="L61" s="884">
        <v>0</v>
      </c>
      <c r="M61" s="884">
        <v>0</v>
      </c>
      <c r="N61" s="884">
        <v>0</v>
      </c>
      <c r="O61" s="884">
        <v>0</v>
      </c>
      <c r="P61" s="884">
        <v>0</v>
      </c>
      <c r="Q61" s="884">
        <v>0</v>
      </c>
      <c r="R61" s="884">
        <v>0</v>
      </c>
      <c r="S61" s="1417">
        <v>0</v>
      </c>
      <c r="T61" s="883">
        <v>0</v>
      </c>
      <c r="U61" s="884">
        <v>0</v>
      </c>
      <c r="V61" s="884">
        <v>0</v>
      </c>
      <c r="W61" s="884">
        <v>0</v>
      </c>
      <c r="X61" s="884">
        <v>0</v>
      </c>
      <c r="Y61" s="884">
        <v>0</v>
      </c>
      <c r="Z61" s="884">
        <v>0</v>
      </c>
      <c r="AA61" s="884">
        <v>0</v>
      </c>
      <c r="AB61" s="1417">
        <v>0</v>
      </c>
      <c r="AC61" s="1454"/>
    </row>
    <row r="62" spans="1:29" ht="34.35" customHeight="1">
      <c r="A62" s="59" t="s">
        <v>309</v>
      </c>
      <c r="B62" s="60" t="s">
        <v>319</v>
      </c>
      <c r="C62" s="29">
        <v>12</v>
      </c>
      <c r="D62" s="5" t="s">
        <v>313</v>
      </c>
      <c r="E62" s="14" t="s">
        <v>38</v>
      </c>
      <c r="F62" s="2" t="s">
        <v>321</v>
      </c>
      <c r="G62" s="2" t="s">
        <v>40</v>
      </c>
      <c r="H62" s="89">
        <v>0</v>
      </c>
      <c r="I62" s="57">
        <v>45778</v>
      </c>
      <c r="J62" s="921">
        <v>0</v>
      </c>
      <c r="K62" s="884">
        <v>0</v>
      </c>
      <c r="L62" s="884">
        <v>0</v>
      </c>
      <c r="M62" s="884">
        <v>0</v>
      </c>
      <c r="N62" s="884">
        <v>0</v>
      </c>
      <c r="O62" s="884">
        <v>0</v>
      </c>
      <c r="P62" s="884">
        <v>0</v>
      </c>
      <c r="Q62" s="884">
        <v>0</v>
      </c>
      <c r="R62" s="884">
        <v>0</v>
      </c>
      <c r="S62" s="1417">
        <v>0</v>
      </c>
      <c r="T62" s="883">
        <v>0</v>
      </c>
      <c r="U62" s="884">
        <v>0</v>
      </c>
      <c r="V62" s="884">
        <v>0</v>
      </c>
      <c r="W62" s="884">
        <v>0</v>
      </c>
      <c r="X62" s="884">
        <v>0</v>
      </c>
      <c r="Y62" s="884">
        <v>0</v>
      </c>
      <c r="Z62" s="884">
        <v>0</v>
      </c>
      <c r="AA62" s="884">
        <v>0</v>
      </c>
      <c r="AB62" s="1417">
        <v>0</v>
      </c>
      <c r="AC62" s="1454"/>
    </row>
    <row r="63" spans="1:29" ht="34.35" customHeight="1">
      <c r="A63" s="59" t="s">
        <v>309</v>
      </c>
      <c r="B63" s="60" t="s">
        <v>319</v>
      </c>
      <c r="C63" s="29">
        <v>13</v>
      </c>
      <c r="D63" s="5" t="s">
        <v>323</v>
      </c>
      <c r="E63" s="14" t="s">
        <v>38</v>
      </c>
      <c r="F63" s="2" t="s">
        <v>321</v>
      </c>
      <c r="G63" s="2" t="s">
        <v>40</v>
      </c>
      <c r="H63" s="89">
        <v>5</v>
      </c>
      <c r="I63" s="57">
        <v>45778</v>
      </c>
      <c r="J63" s="921" t="s">
        <v>41</v>
      </c>
      <c r="K63" s="884" t="s">
        <v>41</v>
      </c>
      <c r="L63" s="884" t="s">
        <v>41</v>
      </c>
      <c r="M63" s="884" t="s">
        <v>41</v>
      </c>
      <c r="N63" s="884" t="s">
        <v>41</v>
      </c>
      <c r="O63" s="884" t="s">
        <v>41</v>
      </c>
      <c r="P63" s="884" t="s">
        <v>41</v>
      </c>
      <c r="Q63" s="884" t="s">
        <v>41</v>
      </c>
      <c r="R63" s="884" t="s">
        <v>41</v>
      </c>
      <c r="S63" s="1417" t="s">
        <v>41</v>
      </c>
      <c r="T63" s="883" t="s">
        <v>41</v>
      </c>
      <c r="U63" s="884" t="s">
        <v>41</v>
      </c>
      <c r="V63" s="884" t="s">
        <v>41</v>
      </c>
      <c r="W63" s="884" t="s">
        <v>41</v>
      </c>
      <c r="X63" s="884" t="s">
        <v>41</v>
      </c>
      <c r="Y63" s="884" t="s">
        <v>41</v>
      </c>
      <c r="Z63" s="884" t="s">
        <v>41</v>
      </c>
      <c r="AA63" s="884" t="s">
        <v>41</v>
      </c>
      <c r="AB63" s="1417" t="s">
        <v>41</v>
      </c>
      <c r="AC63" s="1454"/>
    </row>
    <row r="64" spans="1:29" ht="34.35" customHeight="1">
      <c r="A64" s="59" t="s">
        <v>309</v>
      </c>
      <c r="B64" s="61" t="s">
        <v>324</v>
      </c>
      <c r="C64" s="29">
        <v>14</v>
      </c>
      <c r="D64" s="5" t="s">
        <v>311</v>
      </c>
      <c r="E64" s="14" t="s">
        <v>38</v>
      </c>
      <c r="F64" s="2" t="s">
        <v>312</v>
      </c>
      <c r="G64" s="2" t="s">
        <v>40</v>
      </c>
      <c r="H64" s="84">
        <v>0</v>
      </c>
      <c r="I64" s="57">
        <v>45778</v>
      </c>
      <c r="J64" s="921"/>
      <c r="K64" s="884"/>
      <c r="L64" s="884"/>
      <c r="M64" s="884"/>
      <c r="N64" s="884"/>
      <c r="O64" s="884"/>
      <c r="P64" s="884"/>
      <c r="Q64" s="884"/>
      <c r="R64" s="884"/>
      <c r="S64" s="1417"/>
      <c r="T64" s="883"/>
      <c r="U64" s="884"/>
      <c r="V64" s="884"/>
      <c r="W64" s="884"/>
      <c r="X64" s="884"/>
      <c r="Y64" s="884"/>
      <c r="Z64" s="884"/>
      <c r="AA64" s="884"/>
      <c r="AB64" s="1417"/>
      <c r="AC64" s="1454"/>
    </row>
    <row r="65" spans="1:29" ht="34.35" customHeight="1">
      <c r="A65" s="59" t="s">
        <v>309</v>
      </c>
      <c r="B65" s="61" t="s">
        <v>324</v>
      </c>
      <c r="C65" s="29">
        <v>15</v>
      </c>
      <c r="D65" s="5" t="s">
        <v>313</v>
      </c>
      <c r="E65" s="14" t="s">
        <v>38</v>
      </c>
      <c r="F65" s="2" t="s">
        <v>312</v>
      </c>
      <c r="G65" s="2" t="s">
        <v>40</v>
      </c>
      <c r="H65" s="84">
        <v>0</v>
      </c>
      <c r="I65" s="57">
        <v>45778</v>
      </c>
      <c r="J65" s="921"/>
      <c r="K65" s="884"/>
      <c r="L65" s="884"/>
      <c r="M65" s="884"/>
      <c r="N65" s="884"/>
      <c r="O65" s="884"/>
      <c r="P65" s="884"/>
      <c r="Q65" s="884"/>
      <c r="R65" s="884"/>
      <c r="S65" s="1417"/>
      <c r="T65" s="883"/>
      <c r="U65" s="884"/>
      <c r="V65" s="884"/>
      <c r="W65" s="884"/>
      <c r="X65" s="884"/>
      <c r="Y65" s="884"/>
      <c r="Z65" s="884"/>
      <c r="AA65" s="884"/>
      <c r="AB65" s="1417"/>
      <c r="AC65" s="1454"/>
    </row>
    <row r="66" spans="1:29" ht="34.35" customHeight="1">
      <c r="A66" s="59" t="s">
        <v>309</v>
      </c>
      <c r="B66" s="61" t="s">
        <v>324</v>
      </c>
      <c r="C66" s="29">
        <v>16</v>
      </c>
      <c r="D66" s="6" t="s">
        <v>314</v>
      </c>
      <c r="E66" s="14" t="s">
        <v>38</v>
      </c>
      <c r="F66" s="2" t="s">
        <v>312</v>
      </c>
      <c r="G66" s="2" t="s">
        <v>40</v>
      </c>
      <c r="H66" s="84">
        <v>0</v>
      </c>
      <c r="I66" s="57">
        <v>45778</v>
      </c>
      <c r="J66" s="921"/>
      <c r="K66" s="884"/>
      <c r="L66" s="884"/>
      <c r="M66" s="884"/>
      <c r="N66" s="884"/>
      <c r="O66" s="884"/>
      <c r="P66" s="884"/>
      <c r="Q66" s="884"/>
      <c r="R66" s="884"/>
      <c r="S66" s="1417"/>
      <c r="T66" s="883"/>
      <c r="U66" s="884"/>
      <c r="V66" s="884"/>
      <c r="W66" s="884"/>
      <c r="X66" s="884"/>
      <c r="Y66" s="884"/>
      <c r="Z66" s="884"/>
      <c r="AA66" s="884"/>
      <c r="AB66" s="1417"/>
      <c r="AC66" s="1455"/>
    </row>
    <row r="67" spans="1:29" ht="34.35" customHeight="1">
      <c r="A67" s="59" t="s">
        <v>309</v>
      </c>
      <c r="B67" s="61" t="s">
        <v>325</v>
      </c>
      <c r="C67" s="29">
        <v>17</v>
      </c>
      <c r="D67" s="5" t="s">
        <v>326</v>
      </c>
      <c r="E67" s="14" t="s">
        <v>38</v>
      </c>
      <c r="F67" s="2" t="s">
        <v>327</v>
      </c>
      <c r="G67" s="2" t="s">
        <v>40</v>
      </c>
      <c r="H67" s="84">
        <v>0</v>
      </c>
      <c r="I67" s="57">
        <v>45778</v>
      </c>
      <c r="J67" s="921"/>
      <c r="K67" s="884"/>
      <c r="L67" s="884"/>
      <c r="M67" s="884"/>
      <c r="N67" s="884"/>
      <c r="O67" s="884"/>
      <c r="P67" s="884"/>
      <c r="Q67" s="884"/>
      <c r="R67" s="884"/>
      <c r="S67" s="1417"/>
      <c r="T67" s="883"/>
      <c r="U67" s="884"/>
      <c r="V67" s="884"/>
      <c r="W67" s="884"/>
      <c r="X67" s="884"/>
      <c r="Y67" s="884"/>
      <c r="Z67" s="884"/>
      <c r="AA67" s="884"/>
      <c r="AB67" s="1417"/>
      <c r="AC67" s="1454"/>
    </row>
    <row r="68" spans="1:29" ht="34.35" customHeight="1">
      <c r="A68" s="59" t="s">
        <v>309</v>
      </c>
      <c r="B68" s="61" t="s">
        <v>325</v>
      </c>
      <c r="C68" s="29">
        <v>18</v>
      </c>
      <c r="D68" s="5" t="s">
        <v>326</v>
      </c>
      <c r="E68" s="14" t="s">
        <v>136</v>
      </c>
      <c r="F68" s="2" t="s">
        <v>327</v>
      </c>
      <c r="G68" s="2" t="s">
        <v>40</v>
      </c>
      <c r="H68" s="84">
        <v>0</v>
      </c>
      <c r="I68" s="57">
        <v>45778</v>
      </c>
      <c r="J68" s="921"/>
      <c r="K68" s="884"/>
      <c r="L68" s="884"/>
      <c r="M68" s="884"/>
      <c r="N68" s="884"/>
      <c r="O68" s="884"/>
      <c r="P68" s="884"/>
      <c r="Q68" s="884"/>
      <c r="R68" s="884"/>
      <c r="S68" s="1417"/>
      <c r="T68" s="883"/>
      <c r="U68" s="884"/>
      <c r="V68" s="884"/>
      <c r="W68" s="884"/>
      <c r="X68" s="884"/>
      <c r="Y68" s="884"/>
      <c r="Z68" s="884"/>
      <c r="AA68" s="884"/>
      <c r="AB68" s="1417"/>
      <c r="AC68" s="1454"/>
    </row>
    <row r="69" spans="1:29" ht="34.35" customHeight="1">
      <c r="A69" s="59" t="s">
        <v>309</v>
      </c>
      <c r="B69" s="61" t="s">
        <v>325</v>
      </c>
      <c r="C69" s="29">
        <v>19</v>
      </c>
      <c r="D69" s="6" t="s">
        <v>328</v>
      </c>
      <c r="E69" s="14" t="s">
        <v>38</v>
      </c>
      <c r="F69" s="2" t="s">
        <v>327</v>
      </c>
      <c r="G69" s="2" t="s">
        <v>40</v>
      </c>
      <c r="H69" s="922" t="s">
        <v>41</v>
      </c>
      <c r="I69" s="879">
        <v>45778</v>
      </c>
      <c r="J69" s="921"/>
      <c r="K69" s="884"/>
      <c r="L69" s="884"/>
      <c r="M69" s="884"/>
      <c r="N69" s="884">
        <v>0</v>
      </c>
      <c r="O69" s="884">
        <v>0</v>
      </c>
      <c r="P69" s="884"/>
      <c r="Q69" s="884"/>
      <c r="R69" s="884"/>
      <c r="S69" s="1417">
        <v>0</v>
      </c>
      <c r="T69" s="883"/>
      <c r="U69" s="884"/>
      <c r="V69" s="884"/>
      <c r="W69" s="884"/>
      <c r="X69" s="884"/>
      <c r="Y69" s="884">
        <v>88</v>
      </c>
      <c r="Z69" s="884"/>
      <c r="AA69" s="884"/>
      <c r="AB69" s="1417"/>
      <c r="AC69" s="1455"/>
    </row>
    <row r="70" spans="1:29" ht="34.35" customHeight="1">
      <c r="A70" s="59" t="s">
        <v>309</v>
      </c>
      <c r="B70" s="61" t="s">
        <v>325</v>
      </c>
      <c r="C70" s="29">
        <v>20</v>
      </c>
      <c r="D70" s="6" t="s">
        <v>328</v>
      </c>
      <c r="E70" s="14" t="s">
        <v>136</v>
      </c>
      <c r="F70" s="2" t="s">
        <v>327</v>
      </c>
      <c r="G70" s="2" t="s">
        <v>40</v>
      </c>
      <c r="H70" s="84" t="s">
        <v>41</v>
      </c>
      <c r="I70" s="57">
        <v>45778</v>
      </c>
      <c r="J70" s="921"/>
      <c r="K70" s="884"/>
      <c r="L70" s="884"/>
      <c r="M70" s="884"/>
      <c r="N70" s="884">
        <v>0</v>
      </c>
      <c r="O70" s="884">
        <v>0</v>
      </c>
      <c r="P70" s="884"/>
      <c r="Q70" s="884"/>
      <c r="R70" s="884"/>
      <c r="S70" s="1417">
        <v>0</v>
      </c>
      <c r="T70" s="883"/>
      <c r="U70" s="884"/>
      <c r="V70" s="884"/>
      <c r="W70" s="884"/>
      <c r="X70" s="884"/>
      <c r="Y70" s="884">
        <v>371</v>
      </c>
      <c r="Z70" s="884"/>
      <c r="AA70" s="884"/>
      <c r="AB70" s="1417"/>
      <c r="AC70" s="1455"/>
    </row>
    <row r="71" spans="1:29" ht="34.35" customHeight="1">
      <c r="A71" s="59" t="s">
        <v>309</v>
      </c>
      <c r="B71" s="61" t="s">
        <v>325</v>
      </c>
      <c r="C71" s="29">
        <v>21</v>
      </c>
      <c r="D71" s="6" t="s">
        <v>329</v>
      </c>
      <c r="E71" s="14" t="s">
        <v>38</v>
      </c>
      <c r="F71" s="2" t="s">
        <v>327</v>
      </c>
      <c r="G71" s="2" t="s">
        <v>40</v>
      </c>
      <c r="H71" s="84" t="s">
        <v>41</v>
      </c>
      <c r="I71" s="57">
        <v>45778</v>
      </c>
      <c r="J71" s="921"/>
      <c r="K71" s="884">
        <v>10</v>
      </c>
      <c r="L71" s="884">
        <v>18</v>
      </c>
      <c r="M71" s="884">
        <v>4</v>
      </c>
      <c r="N71" s="884">
        <v>10</v>
      </c>
      <c r="O71" s="884">
        <v>6</v>
      </c>
      <c r="P71" s="884"/>
      <c r="Q71" s="884">
        <v>1</v>
      </c>
      <c r="R71" s="884"/>
      <c r="S71" s="1417">
        <v>4</v>
      </c>
      <c r="T71" s="883"/>
      <c r="U71" s="884"/>
      <c r="V71" s="884">
        <f>3+86+1</f>
        <v>90</v>
      </c>
      <c r="W71" s="884">
        <v>1</v>
      </c>
      <c r="X71" s="884">
        <f>5+5+37</f>
        <v>47</v>
      </c>
      <c r="Y71" s="884">
        <f>141+122</f>
        <v>263</v>
      </c>
      <c r="Z71" s="884">
        <v>3</v>
      </c>
      <c r="AA71" s="884"/>
      <c r="AB71" s="1417">
        <f>2+2</f>
        <v>4</v>
      </c>
      <c r="AC71" s="1455"/>
    </row>
    <row r="72" spans="1:29" ht="34.35" customHeight="1">
      <c r="A72" s="59" t="s">
        <v>309</v>
      </c>
      <c r="B72" s="61" t="s">
        <v>325</v>
      </c>
      <c r="C72" s="29">
        <v>22</v>
      </c>
      <c r="D72" s="6" t="s">
        <v>329</v>
      </c>
      <c r="E72" s="14" t="s">
        <v>136</v>
      </c>
      <c r="F72" s="2" t="s">
        <v>327</v>
      </c>
      <c r="G72" s="2" t="s">
        <v>40</v>
      </c>
      <c r="H72" s="84" t="s">
        <v>41</v>
      </c>
      <c r="I72" s="57">
        <v>45778</v>
      </c>
      <c r="J72" s="921"/>
      <c r="K72" s="884">
        <v>5.0999999999999996</v>
      </c>
      <c r="L72" s="884">
        <v>5.76</v>
      </c>
      <c r="M72" s="884">
        <v>1.69</v>
      </c>
      <c r="N72" s="1438">
        <v>6</v>
      </c>
      <c r="O72" s="1438">
        <v>5.77</v>
      </c>
      <c r="P72" s="884"/>
      <c r="Q72" s="884">
        <v>0.06</v>
      </c>
      <c r="R72" s="884"/>
      <c r="S72" s="1439">
        <v>1.58</v>
      </c>
      <c r="T72" s="886"/>
      <c r="U72" s="887"/>
      <c r="V72" s="887">
        <f>0.55044175+9.08336+36.85</f>
        <v>46.483801749999998</v>
      </c>
      <c r="W72" s="887">
        <v>0.43113600000000002</v>
      </c>
      <c r="X72" s="887">
        <f>107.00922+3.10865+41.64</f>
        <v>151.75787</v>
      </c>
      <c r="Y72" s="887">
        <f>66.60837893+69.54</f>
        <v>136.14837893000001</v>
      </c>
      <c r="Z72" s="1433">
        <v>3.0004039999999996</v>
      </c>
      <c r="AA72" s="887"/>
      <c r="AB72" s="1429">
        <f>1.95+1.15</f>
        <v>3.0999999999999996</v>
      </c>
      <c r="AC72" s="1455"/>
    </row>
    <row r="73" spans="1:29" ht="34.35" customHeight="1">
      <c r="A73" s="59" t="s">
        <v>309</v>
      </c>
      <c r="B73" s="61" t="s">
        <v>325</v>
      </c>
      <c r="C73" s="29">
        <v>23</v>
      </c>
      <c r="D73" s="6" t="s">
        <v>462</v>
      </c>
      <c r="E73" s="14" t="s">
        <v>38</v>
      </c>
      <c r="F73" s="2" t="s">
        <v>327</v>
      </c>
      <c r="G73" s="2" t="s">
        <v>40</v>
      </c>
      <c r="H73" s="84" t="s">
        <v>41</v>
      </c>
      <c r="I73" s="57">
        <v>45778</v>
      </c>
      <c r="J73" s="921"/>
      <c r="K73" s="884">
        <v>1</v>
      </c>
      <c r="L73" s="884"/>
      <c r="M73" s="884"/>
      <c r="N73" s="884">
        <v>1</v>
      </c>
      <c r="O73" s="884">
        <v>1</v>
      </c>
      <c r="P73" s="884"/>
      <c r="Q73" s="884">
        <v>1</v>
      </c>
      <c r="R73" s="884"/>
      <c r="S73" s="1417">
        <v>3</v>
      </c>
      <c r="T73" s="883"/>
      <c r="U73" s="884"/>
      <c r="V73" s="884">
        <f>2+1</f>
        <v>3</v>
      </c>
      <c r="W73" s="884">
        <v>3</v>
      </c>
      <c r="X73" s="884">
        <f>1+1</f>
        <v>2</v>
      </c>
      <c r="Y73" s="884">
        <f>170+84</f>
        <v>254</v>
      </c>
      <c r="Z73" s="884"/>
      <c r="AA73" s="884"/>
      <c r="AB73" s="1417">
        <v>3</v>
      </c>
      <c r="AC73" s="1455"/>
    </row>
    <row r="74" spans="1:29" ht="34.35" customHeight="1">
      <c r="A74" s="59" t="s">
        <v>309</v>
      </c>
      <c r="B74" s="61" t="s">
        <v>325</v>
      </c>
      <c r="C74" s="29">
        <v>24</v>
      </c>
      <c r="D74" s="6" t="s">
        <v>462</v>
      </c>
      <c r="E74" s="14" t="s">
        <v>136</v>
      </c>
      <c r="F74" s="2" t="s">
        <v>327</v>
      </c>
      <c r="G74" s="2" t="s">
        <v>40</v>
      </c>
      <c r="H74" s="84" t="s">
        <v>41</v>
      </c>
      <c r="I74" s="57">
        <v>45778</v>
      </c>
      <c r="J74" s="921"/>
      <c r="K74" s="935">
        <v>9.9000000000000005E-2</v>
      </c>
      <c r="L74" s="884"/>
      <c r="M74" s="884"/>
      <c r="N74" s="884">
        <v>0.38700000000000001</v>
      </c>
      <c r="O74" s="884">
        <v>0.17</v>
      </c>
      <c r="P74" s="884"/>
      <c r="Q74" s="935">
        <v>0.39</v>
      </c>
      <c r="R74" s="884"/>
      <c r="S74" s="1417">
        <v>1.85</v>
      </c>
      <c r="T74" s="883"/>
      <c r="U74" s="884"/>
      <c r="V74" s="884">
        <f>0.38+0.54</f>
        <v>0.92</v>
      </c>
      <c r="W74" s="884">
        <v>2.1</v>
      </c>
      <c r="X74" s="884">
        <f>0.35+0.03</f>
        <v>0.38</v>
      </c>
      <c r="Y74" s="884">
        <f>66.98+49.62</f>
        <v>116.6</v>
      </c>
      <c r="Z74" s="884"/>
      <c r="AA74" s="884"/>
      <c r="AB74" s="1417">
        <v>2.39</v>
      </c>
      <c r="AC74" s="1455"/>
    </row>
    <row r="75" spans="1:29" ht="34.35" customHeight="1">
      <c r="A75" s="59" t="s">
        <v>309</v>
      </c>
      <c r="B75" s="61" t="s">
        <v>325</v>
      </c>
      <c r="C75" s="29">
        <v>25</v>
      </c>
      <c r="D75" s="5" t="s">
        <v>331</v>
      </c>
      <c r="E75" s="14" t="s">
        <v>38</v>
      </c>
      <c r="F75" s="2" t="s">
        <v>327</v>
      </c>
      <c r="G75" s="2" t="s">
        <v>332</v>
      </c>
      <c r="H75" s="84">
        <v>0</v>
      </c>
      <c r="I75" s="57">
        <v>45778</v>
      </c>
      <c r="J75" s="921"/>
      <c r="K75" s="884"/>
      <c r="L75" s="884"/>
      <c r="M75" s="884"/>
      <c r="N75" s="884"/>
      <c r="O75" s="884">
        <v>3</v>
      </c>
      <c r="P75" s="884"/>
      <c r="Q75" s="884"/>
      <c r="R75" s="884"/>
      <c r="S75" s="1417">
        <v>2</v>
      </c>
      <c r="T75" s="883"/>
      <c r="U75" s="884">
        <f>1+1</f>
        <v>2</v>
      </c>
      <c r="V75" s="884"/>
      <c r="W75" s="884">
        <v>1</v>
      </c>
      <c r="X75" s="884">
        <f>1+12</f>
        <v>13</v>
      </c>
      <c r="Y75" s="884">
        <f>23+41</f>
        <v>64</v>
      </c>
      <c r="Z75" s="884"/>
      <c r="AA75" s="884"/>
      <c r="AB75" s="1417"/>
      <c r="AC75" s="1454"/>
    </row>
    <row r="76" spans="1:29" ht="34.35" customHeight="1">
      <c r="A76" s="59" t="s">
        <v>309</v>
      </c>
      <c r="B76" s="61" t="s">
        <v>325</v>
      </c>
      <c r="C76" s="29">
        <v>26</v>
      </c>
      <c r="D76" s="5" t="s">
        <v>463</v>
      </c>
      <c r="E76" s="14" t="s">
        <v>136</v>
      </c>
      <c r="F76" s="2" t="s">
        <v>327</v>
      </c>
      <c r="G76" s="2" t="s">
        <v>332</v>
      </c>
      <c r="H76" s="84">
        <v>0</v>
      </c>
      <c r="I76" s="57">
        <v>45778</v>
      </c>
      <c r="J76" s="921"/>
      <c r="K76" s="884"/>
      <c r="L76" s="884"/>
      <c r="M76" s="884"/>
      <c r="N76" s="884"/>
      <c r="O76" s="884">
        <v>2.1419999999999999</v>
      </c>
      <c r="P76" s="884"/>
      <c r="Q76" s="884"/>
      <c r="R76" s="884"/>
      <c r="S76" s="1417">
        <v>0.874</v>
      </c>
      <c r="T76" s="883"/>
      <c r="U76" s="884">
        <f>4.2+0.39</f>
        <v>4.59</v>
      </c>
      <c r="V76" s="884"/>
      <c r="W76" s="884">
        <v>8.85</v>
      </c>
      <c r="X76" s="884">
        <f>58.37+16.65</f>
        <v>75.02</v>
      </c>
      <c r="Y76" s="884">
        <f>13.71+16.77</f>
        <v>30.48</v>
      </c>
      <c r="Z76" s="884"/>
      <c r="AA76" s="884"/>
      <c r="AB76" s="1417"/>
      <c r="AC76" s="1454"/>
    </row>
    <row r="77" spans="1:29" ht="34.35" customHeight="1">
      <c r="A77" s="59" t="s">
        <v>309</v>
      </c>
      <c r="B77" s="61" t="s">
        <v>325</v>
      </c>
      <c r="C77" s="29">
        <v>27</v>
      </c>
      <c r="D77" s="5" t="s">
        <v>464</v>
      </c>
      <c r="E77" s="14" t="s">
        <v>38</v>
      </c>
      <c r="F77" s="2" t="s">
        <v>327</v>
      </c>
      <c r="G77" s="2" t="s">
        <v>332</v>
      </c>
      <c r="H77" s="84">
        <v>0</v>
      </c>
      <c r="I77" s="57">
        <v>45778</v>
      </c>
      <c r="J77" s="921"/>
      <c r="K77" s="884"/>
      <c r="L77" s="884">
        <v>1</v>
      </c>
      <c r="M77" s="884"/>
      <c r="N77" s="884"/>
      <c r="O77" s="884"/>
      <c r="P77" s="884"/>
      <c r="Q77" s="884"/>
      <c r="R77" s="884"/>
      <c r="S77" s="1417"/>
      <c r="T77" s="883"/>
      <c r="U77" s="884"/>
      <c r="V77" s="884"/>
      <c r="W77" s="884"/>
      <c r="X77" s="884">
        <f>2+14</f>
        <v>16</v>
      </c>
      <c r="Y77" s="884">
        <f>14+13</f>
        <v>27</v>
      </c>
      <c r="Z77" s="884"/>
      <c r="AA77" s="884"/>
      <c r="AB77" s="1417"/>
      <c r="AC77" s="1454"/>
    </row>
    <row r="78" spans="1:29" ht="34.35" customHeight="1">
      <c r="A78" s="59" t="s">
        <v>309</v>
      </c>
      <c r="B78" s="61" t="s">
        <v>325</v>
      </c>
      <c r="C78" s="29">
        <v>28</v>
      </c>
      <c r="D78" s="5" t="s">
        <v>464</v>
      </c>
      <c r="E78" s="14" t="s">
        <v>136</v>
      </c>
      <c r="F78" s="2" t="s">
        <v>327</v>
      </c>
      <c r="G78" s="2" t="s">
        <v>332</v>
      </c>
      <c r="H78" s="922">
        <v>0</v>
      </c>
      <c r="I78" s="879">
        <v>45778</v>
      </c>
      <c r="J78" s="921"/>
      <c r="K78" s="884"/>
      <c r="L78" s="884">
        <v>0.5</v>
      </c>
      <c r="M78" s="884"/>
      <c r="N78" s="884"/>
      <c r="O78" s="884"/>
      <c r="P78" s="884"/>
      <c r="Q78" s="884"/>
      <c r="R78" s="884"/>
      <c r="S78" s="1417"/>
      <c r="T78" s="883"/>
      <c r="U78" s="884"/>
      <c r="V78" s="884"/>
      <c r="W78" s="884"/>
      <c r="X78" s="884">
        <f>8.79+15.62</f>
        <v>24.409999999999997</v>
      </c>
      <c r="Y78" s="884">
        <f>12.31+7.56</f>
        <v>19.87</v>
      </c>
      <c r="Z78" s="884"/>
      <c r="AA78" s="884"/>
      <c r="AB78" s="1417"/>
      <c r="AC78" s="1454"/>
    </row>
    <row r="79" spans="1:29" ht="34.35" customHeight="1">
      <c r="A79" s="59" t="s">
        <v>309</v>
      </c>
      <c r="B79" s="61" t="s">
        <v>325</v>
      </c>
      <c r="C79" s="29">
        <v>29</v>
      </c>
      <c r="D79" s="5" t="s">
        <v>336</v>
      </c>
      <c r="E79" s="14" t="s">
        <v>38</v>
      </c>
      <c r="F79" s="2" t="s">
        <v>316</v>
      </c>
      <c r="G79" s="2" t="s">
        <v>40</v>
      </c>
      <c r="H79" s="84">
        <v>0</v>
      </c>
      <c r="I79" s="57">
        <v>45778</v>
      </c>
      <c r="J79" s="1440">
        <v>106</v>
      </c>
      <c r="K79" s="1441"/>
      <c r="L79" s="1441"/>
      <c r="M79" s="1441"/>
      <c r="N79" s="1441"/>
      <c r="O79" s="1441"/>
      <c r="P79" s="1441"/>
      <c r="Q79" s="1441"/>
      <c r="R79" s="884"/>
      <c r="S79" s="1417"/>
      <c r="T79" s="883">
        <v>5</v>
      </c>
      <c r="U79" s="884">
        <v>50</v>
      </c>
      <c r="V79" s="884">
        <v>41</v>
      </c>
      <c r="W79" s="884">
        <v>3</v>
      </c>
      <c r="X79" s="884">
        <v>17</v>
      </c>
      <c r="Y79" s="884">
        <v>24</v>
      </c>
      <c r="Z79" s="884">
        <v>0</v>
      </c>
      <c r="AA79" s="884">
        <v>0</v>
      </c>
      <c r="AB79" s="1417">
        <v>1</v>
      </c>
      <c r="AC79" s="1454"/>
    </row>
    <row r="80" spans="1:29" ht="34.35" customHeight="1">
      <c r="A80" s="59" t="s">
        <v>309</v>
      </c>
      <c r="B80" s="61" t="s">
        <v>325</v>
      </c>
      <c r="C80" s="29">
        <v>30</v>
      </c>
      <c r="D80" s="5" t="s">
        <v>336</v>
      </c>
      <c r="E80" s="14" t="s">
        <v>136</v>
      </c>
      <c r="F80" s="2" t="s">
        <v>316</v>
      </c>
      <c r="G80" s="2" t="s">
        <v>40</v>
      </c>
      <c r="H80" s="84">
        <v>0</v>
      </c>
      <c r="I80" s="57">
        <v>45778</v>
      </c>
      <c r="J80" s="1440">
        <v>18.25</v>
      </c>
      <c r="K80" s="1441"/>
      <c r="L80" s="1441"/>
      <c r="M80" s="1441"/>
      <c r="N80" s="1441"/>
      <c r="O80" s="1441"/>
      <c r="P80" s="1441"/>
      <c r="Q80" s="1441"/>
      <c r="R80" s="884"/>
      <c r="S80" s="1417"/>
      <c r="T80" s="883">
        <v>2.0825999999999998</v>
      </c>
      <c r="U80" s="884">
        <v>1.0851440000000001</v>
      </c>
      <c r="V80" s="884">
        <v>2.6683705199999999</v>
      </c>
      <c r="W80" s="884">
        <v>4.1700000000000001E-3</v>
      </c>
      <c r="X80" s="884">
        <v>1.14303551</v>
      </c>
      <c r="Y80" s="884">
        <v>2.11321191</v>
      </c>
      <c r="Z80" s="884">
        <v>0</v>
      </c>
      <c r="AA80" s="884">
        <v>0</v>
      </c>
      <c r="AB80" s="1417">
        <v>7.1999999999999998E-3</v>
      </c>
      <c r="AC80" s="1454"/>
    </row>
    <row r="81" spans="1:29" ht="34.5" customHeight="1">
      <c r="A81" s="59" t="s">
        <v>309</v>
      </c>
      <c r="B81" s="61" t="s">
        <v>325</v>
      </c>
      <c r="C81" s="29">
        <v>31</v>
      </c>
      <c r="D81" s="5" t="s">
        <v>338</v>
      </c>
      <c r="E81" s="14" t="s">
        <v>38</v>
      </c>
      <c r="F81" s="2" t="s">
        <v>316</v>
      </c>
      <c r="G81" s="2" t="s">
        <v>40</v>
      </c>
      <c r="H81" s="84">
        <v>0</v>
      </c>
      <c r="I81" s="57">
        <v>45778</v>
      </c>
      <c r="J81" s="1440">
        <v>3</v>
      </c>
      <c r="K81" s="1441"/>
      <c r="L81" s="1441"/>
      <c r="M81" s="1441"/>
      <c r="N81" s="1441"/>
      <c r="O81" s="1441"/>
      <c r="P81" s="1441"/>
      <c r="Q81" s="1441"/>
      <c r="R81" s="884"/>
      <c r="S81" s="1417"/>
      <c r="T81" s="883">
        <v>3</v>
      </c>
      <c r="U81" s="884">
        <v>0</v>
      </c>
      <c r="V81" s="884">
        <v>2</v>
      </c>
      <c r="W81" s="884">
        <v>2</v>
      </c>
      <c r="X81" s="884">
        <v>13</v>
      </c>
      <c r="Y81" s="884">
        <v>101</v>
      </c>
      <c r="Z81" s="884">
        <v>1</v>
      </c>
      <c r="AA81" s="884">
        <v>0</v>
      </c>
      <c r="AB81" s="1417">
        <v>0</v>
      </c>
      <c r="AC81" s="1454"/>
    </row>
    <row r="82" spans="1:29" ht="36.6" customHeight="1">
      <c r="A82" s="59" t="s">
        <v>309</v>
      </c>
      <c r="B82" s="61" t="s">
        <v>325</v>
      </c>
      <c r="C82" s="29">
        <v>32</v>
      </c>
      <c r="D82" s="5" t="s">
        <v>338</v>
      </c>
      <c r="E82" s="14" t="s">
        <v>136</v>
      </c>
      <c r="F82" s="2" t="s">
        <v>316</v>
      </c>
      <c r="G82" s="2" t="s">
        <v>40</v>
      </c>
      <c r="H82" s="84">
        <v>0</v>
      </c>
      <c r="I82" s="57">
        <v>45778</v>
      </c>
      <c r="J82" s="1440">
        <v>0.42731999999999998</v>
      </c>
      <c r="K82" s="1441"/>
      <c r="L82" s="1441"/>
      <c r="M82" s="1441"/>
      <c r="N82" s="1441"/>
      <c r="O82" s="1441"/>
      <c r="P82" s="1441"/>
      <c r="Q82" s="1441"/>
      <c r="R82" s="884"/>
      <c r="S82" s="1417"/>
      <c r="T82" s="883">
        <v>0.95931999999999995</v>
      </c>
      <c r="U82" s="884">
        <v>0</v>
      </c>
      <c r="V82" s="884">
        <v>1.0205</v>
      </c>
      <c r="W82" s="884">
        <v>0.19400000000000001</v>
      </c>
      <c r="X82" s="884">
        <v>8.0981223599999996</v>
      </c>
      <c r="Y82" s="884">
        <v>32.299001279999999</v>
      </c>
      <c r="Z82" s="884">
        <v>0.24389880000000005</v>
      </c>
      <c r="AA82" s="884">
        <v>0</v>
      </c>
      <c r="AB82" s="1417">
        <v>0</v>
      </c>
      <c r="AC82" s="1454"/>
    </row>
    <row r="83" spans="1:29" ht="34.35" customHeight="1">
      <c r="A83" s="59" t="s">
        <v>309</v>
      </c>
      <c r="B83" s="61" t="s">
        <v>325</v>
      </c>
      <c r="C83" s="29">
        <v>33</v>
      </c>
      <c r="D83" s="5" t="s">
        <v>339</v>
      </c>
      <c r="E83" s="14" t="s">
        <v>133</v>
      </c>
      <c r="F83" s="2" t="s">
        <v>340</v>
      </c>
      <c r="G83" s="2" t="s">
        <v>341</v>
      </c>
      <c r="H83" s="90">
        <v>5.0000000000000001E-3</v>
      </c>
      <c r="I83" s="57">
        <v>45778</v>
      </c>
      <c r="J83" s="921"/>
      <c r="K83" s="884"/>
      <c r="L83" s="884"/>
      <c r="M83" s="884"/>
      <c r="N83" s="884"/>
      <c r="O83" s="884"/>
      <c r="P83" s="884"/>
      <c r="Q83" s="884"/>
      <c r="R83" s="884"/>
      <c r="S83" s="1417"/>
      <c r="T83" s="883"/>
      <c r="U83" s="884"/>
      <c r="V83" s="884"/>
      <c r="W83" s="884"/>
      <c r="X83" s="884"/>
      <c r="Y83" s="884"/>
      <c r="Z83" s="884"/>
      <c r="AA83" s="884"/>
      <c r="AB83" s="1417"/>
      <c r="AC83" s="1457" t="s">
        <v>465</v>
      </c>
    </row>
    <row r="84" spans="1:29" ht="34.35" customHeight="1">
      <c r="A84" s="59" t="s">
        <v>309</v>
      </c>
      <c r="B84" s="61" t="s">
        <v>325</v>
      </c>
      <c r="C84" s="29">
        <v>34</v>
      </c>
      <c r="D84" s="5" t="s">
        <v>339</v>
      </c>
      <c r="E84" s="14" t="s">
        <v>136</v>
      </c>
      <c r="F84" s="2" t="s">
        <v>340</v>
      </c>
      <c r="G84" s="2" t="s">
        <v>341</v>
      </c>
      <c r="H84" s="91" t="s">
        <v>41</v>
      </c>
      <c r="I84" s="57">
        <v>45778</v>
      </c>
      <c r="J84" s="921"/>
      <c r="K84" s="884"/>
      <c r="L84" s="884"/>
      <c r="M84" s="884"/>
      <c r="N84" s="884"/>
      <c r="O84" s="884"/>
      <c r="P84" s="884"/>
      <c r="Q84" s="884"/>
      <c r="R84" s="884"/>
      <c r="S84" s="1417"/>
      <c r="T84" s="883"/>
      <c r="U84" s="884"/>
      <c r="V84" s="884"/>
      <c r="W84" s="884"/>
      <c r="X84" s="884"/>
      <c r="Y84" s="884"/>
      <c r="Z84" s="884"/>
      <c r="AA84" s="884"/>
      <c r="AB84" s="1417"/>
      <c r="AC84" s="1454"/>
    </row>
    <row r="85" spans="1:29" ht="34.35" customHeight="1">
      <c r="A85" s="59" t="s">
        <v>309</v>
      </c>
      <c r="B85" s="61" t="s">
        <v>325</v>
      </c>
      <c r="C85" s="29">
        <v>35</v>
      </c>
      <c r="D85" s="5" t="s">
        <v>342</v>
      </c>
      <c r="E85" s="14" t="s">
        <v>133</v>
      </c>
      <c r="F85" s="2" t="s">
        <v>106</v>
      </c>
      <c r="G85" s="2" t="s">
        <v>285</v>
      </c>
      <c r="H85" s="92"/>
      <c r="I85" s="57">
        <v>45778</v>
      </c>
      <c r="J85" s="921"/>
      <c r="K85" s="884"/>
      <c r="L85" s="884"/>
      <c r="M85" s="884"/>
      <c r="N85" s="884"/>
      <c r="O85" s="884"/>
      <c r="P85" s="884"/>
      <c r="Q85" s="884"/>
      <c r="R85" s="884"/>
      <c r="S85" s="1417"/>
      <c r="T85" s="883"/>
      <c r="U85" s="884"/>
      <c r="V85" s="884"/>
      <c r="W85" s="884"/>
      <c r="X85" s="884"/>
      <c r="Y85" s="884"/>
      <c r="Z85" s="884"/>
      <c r="AA85" s="884"/>
      <c r="AB85" s="1417"/>
      <c r="AC85" s="1454"/>
    </row>
    <row r="86" spans="1:29" ht="34.35" customHeight="1">
      <c r="A86" s="59" t="s">
        <v>309</v>
      </c>
      <c r="B86" s="61" t="s">
        <v>325</v>
      </c>
      <c r="C86" s="29">
        <v>36</v>
      </c>
      <c r="D86" s="5" t="s">
        <v>342</v>
      </c>
      <c r="E86" s="14" t="s">
        <v>136</v>
      </c>
      <c r="F86" s="2" t="s">
        <v>106</v>
      </c>
      <c r="G86" s="2" t="s">
        <v>285</v>
      </c>
      <c r="H86" s="93"/>
      <c r="I86" s="57">
        <v>45778</v>
      </c>
      <c r="J86" s="921"/>
      <c r="K86" s="884"/>
      <c r="L86" s="884"/>
      <c r="M86" s="884"/>
      <c r="N86" s="884"/>
      <c r="O86" s="884"/>
      <c r="P86" s="884"/>
      <c r="Q86" s="884"/>
      <c r="R86" s="884"/>
      <c r="S86" s="1417"/>
      <c r="T86" s="883"/>
      <c r="U86" s="884"/>
      <c r="V86" s="884"/>
      <c r="W86" s="884"/>
      <c r="X86" s="884"/>
      <c r="Y86" s="884"/>
      <c r="Z86" s="884"/>
      <c r="AA86" s="884"/>
      <c r="AB86" s="1417"/>
      <c r="AC86" s="1454"/>
    </row>
    <row r="87" spans="1:29" ht="34.35" customHeight="1">
      <c r="A87" s="59" t="s">
        <v>309</v>
      </c>
      <c r="B87" s="61" t="s">
        <v>325</v>
      </c>
      <c r="C87" s="29">
        <v>37</v>
      </c>
      <c r="D87" s="6" t="s">
        <v>343</v>
      </c>
      <c r="E87" s="14" t="s">
        <v>38</v>
      </c>
      <c r="F87" s="2" t="s">
        <v>105</v>
      </c>
      <c r="G87" s="2"/>
      <c r="H87" s="925" t="s">
        <v>41</v>
      </c>
      <c r="I87" s="879">
        <v>45778</v>
      </c>
      <c r="J87" s="921"/>
      <c r="K87" s="884"/>
      <c r="L87" s="884"/>
      <c r="M87" s="884"/>
      <c r="N87" s="884"/>
      <c r="O87" s="884"/>
      <c r="P87" s="884"/>
      <c r="Q87" s="884"/>
      <c r="R87" s="884"/>
      <c r="S87" s="1417"/>
      <c r="T87" s="883"/>
      <c r="U87" s="884"/>
      <c r="V87" s="884"/>
      <c r="W87" s="884"/>
      <c r="X87" s="884"/>
      <c r="Y87" s="884"/>
      <c r="Z87" s="884"/>
      <c r="AA87" s="884"/>
      <c r="AB87" s="1417"/>
      <c r="AC87" s="1455"/>
    </row>
    <row r="88" spans="1:29" ht="34.35" customHeight="1">
      <c r="A88" s="59" t="s">
        <v>309</v>
      </c>
      <c r="B88" s="61" t="s">
        <v>325</v>
      </c>
      <c r="C88" s="29">
        <v>38</v>
      </c>
      <c r="D88" s="6" t="s">
        <v>343</v>
      </c>
      <c r="E88" s="14" t="s">
        <v>136</v>
      </c>
      <c r="F88" s="2" t="s">
        <v>105</v>
      </c>
      <c r="G88" s="2"/>
      <c r="H88" s="94">
        <f>84578725.86/10^6</f>
        <v>84.578725860000006</v>
      </c>
      <c r="I88" s="57">
        <v>45778</v>
      </c>
      <c r="J88" s="930">
        <f>133837.38/10^6</f>
        <v>0.13383738000000001</v>
      </c>
      <c r="K88" s="885" t="s">
        <v>41</v>
      </c>
      <c r="L88" s="930">
        <f>372607.7/10^6</f>
        <v>0.37260769999999999</v>
      </c>
      <c r="M88" s="885" t="s">
        <v>41</v>
      </c>
      <c r="N88" s="930">
        <f>211331.13/10^6</f>
        <v>0.21133113000000001</v>
      </c>
      <c r="O88" s="930">
        <f>22986.26/10^6</f>
        <v>2.2986259999999998E-2</v>
      </c>
      <c r="P88" s="930">
        <f>68191.94/10^6</f>
        <v>6.8191940000000006E-2</v>
      </c>
      <c r="Q88" s="885" t="s">
        <v>41</v>
      </c>
      <c r="R88" s="930">
        <f>282114.27/10^6</f>
        <v>0.28211427</v>
      </c>
      <c r="S88" s="930">
        <f>455452.36/10^6</f>
        <v>0.45545236</v>
      </c>
      <c r="T88" s="883"/>
      <c r="U88" s="884"/>
      <c r="V88" s="884"/>
      <c r="W88" s="884"/>
      <c r="X88" s="884"/>
      <c r="Y88" s="884"/>
      <c r="Z88" s="884"/>
      <c r="AA88" s="884"/>
      <c r="AB88" s="1417"/>
      <c r="AC88" s="1455"/>
    </row>
    <row r="89" spans="1:29" ht="34.35" customHeight="1">
      <c r="A89" s="59" t="s">
        <v>309</v>
      </c>
      <c r="B89" s="61" t="s">
        <v>325</v>
      </c>
      <c r="C89" s="29">
        <v>39</v>
      </c>
      <c r="D89" s="5" t="s">
        <v>344</v>
      </c>
      <c r="E89" s="14" t="s">
        <v>136</v>
      </c>
      <c r="F89" s="2" t="s">
        <v>110</v>
      </c>
      <c r="G89" s="2" t="s">
        <v>345</v>
      </c>
      <c r="H89" s="89">
        <v>3.17</v>
      </c>
      <c r="I89" s="57">
        <v>45778</v>
      </c>
      <c r="J89" s="921"/>
      <c r="K89" s="884"/>
      <c r="L89" s="884"/>
      <c r="M89" s="884"/>
      <c r="N89" s="884"/>
      <c r="O89" s="884"/>
      <c r="P89" s="884"/>
      <c r="Q89" s="884"/>
      <c r="R89" s="884"/>
      <c r="S89" s="1417"/>
      <c r="T89" s="883"/>
      <c r="U89" s="884"/>
      <c r="V89" s="884"/>
      <c r="W89" s="884"/>
      <c r="X89" s="884"/>
      <c r="Y89" s="884"/>
      <c r="Z89" s="884"/>
      <c r="AA89" s="884"/>
      <c r="AB89" s="1417"/>
      <c r="AC89" s="1454"/>
    </row>
    <row r="90" spans="1:29" ht="34.35" customHeight="1">
      <c r="A90" s="59" t="s">
        <v>309</v>
      </c>
      <c r="B90" s="61" t="s">
        <v>325</v>
      </c>
      <c r="C90" s="29">
        <v>40</v>
      </c>
      <c r="D90" s="5" t="s">
        <v>346</v>
      </c>
      <c r="E90" s="14" t="s">
        <v>136</v>
      </c>
      <c r="F90" s="2" t="s">
        <v>110</v>
      </c>
      <c r="G90" s="2" t="s">
        <v>345</v>
      </c>
      <c r="H90" s="89">
        <v>5.84</v>
      </c>
      <c r="I90" s="57">
        <v>45778</v>
      </c>
      <c r="J90" s="921"/>
      <c r="K90" s="884"/>
      <c r="L90" s="884"/>
      <c r="M90" s="884"/>
      <c r="N90" s="884"/>
      <c r="O90" s="884"/>
      <c r="P90" s="884"/>
      <c r="Q90" s="884"/>
      <c r="R90" s="884"/>
      <c r="S90" s="1417"/>
      <c r="T90" s="883"/>
      <c r="U90" s="884"/>
      <c r="V90" s="884"/>
      <c r="W90" s="884"/>
      <c r="X90" s="884"/>
      <c r="Y90" s="884"/>
      <c r="Z90" s="884"/>
      <c r="AA90" s="884"/>
      <c r="AB90" s="1417"/>
      <c r="AC90" s="1454"/>
    </row>
    <row r="91" spans="1:29" ht="34.35" customHeight="1">
      <c r="A91" s="59" t="s">
        <v>309</v>
      </c>
      <c r="B91" s="61" t="s">
        <v>325</v>
      </c>
      <c r="C91" s="29">
        <v>41</v>
      </c>
      <c r="D91" s="5" t="s">
        <v>347</v>
      </c>
      <c r="E91" s="14" t="s">
        <v>38</v>
      </c>
      <c r="F91" s="2" t="s">
        <v>106</v>
      </c>
      <c r="G91" s="2" t="s">
        <v>285</v>
      </c>
      <c r="H91" s="93"/>
      <c r="I91" s="57">
        <v>45778</v>
      </c>
      <c r="J91" s="921"/>
      <c r="K91" s="884"/>
      <c r="L91" s="884"/>
      <c r="M91" s="884"/>
      <c r="N91" s="884"/>
      <c r="O91" s="884"/>
      <c r="P91" s="884"/>
      <c r="Q91" s="884"/>
      <c r="R91" s="884"/>
      <c r="S91" s="1417"/>
      <c r="T91" s="883"/>
      <c r="U91" s="884"/>
      <c r="V91" s="884"/>
      <c r="W91" s="884"/>
      <c r="X91" s="884"/>
      <c r="Y91" s="884"/>
      <c r="Z91" s="884"/>
      <c r="AA91" s="884"/>
      <c r="AB91" s="1417"/>
      <c r="AC91" s="1454"/>
    </row>
    <row r="92" spans="1:29" ht="34.35" customHeight="1">
      <c r="A92" s="59" t="s">
        <v>309</v>
      </c>
      <c r="B92" s="61" t="s">
        <v>325</v>
      </c>
      <c r="C92" s="29">
        <v>42</v>
      </c>
      <c r="D92" s="5" t="s">
        <v>347</v>
      </c>
      <c r="E92" s="14" t="s">
        <v>136</v>
      </c>
      <c r="F92" s="2" t="s">
        <v>106</v>
      </c>
      <c r="G92" s="2" t="s">
        <v>285</v>
      </c>
      <c r="H92" s="93"/>
      <c r="I92" s="57">
        <v>45778</v>
      </c>
      <c r="J92" s="921"/>
      <c r="K92" s="884"/>
      <c r="L92" s="884"/>
      <c r="M92" s="884"/>
      <c r="N92" s="884"/>
      <c r="O92" s="884"/>
      <c r="P92" s="884"/>
      <c r="Q92" s="884"/>
      <c r="R92" s="884"/>
      <c r="S92" s="1417"/>
      <c r="T92" s="883"/>
      <c r="U92" s="884"/>
      <c r="V92" s="884"/>
      <c r="W92" s="884"/>
      <c r="X92" s="884"/>
      <c r="Y92" s="884"/>
      <c r="Z92" s="884"/>
      <c r="AA92" s="884"/>
      <c r="AB92" s="1417"/>
      <c r="AC92" s="1454"/>
    </row>
    <row r="93" spans="1:29" ht="34.35" customHeight="1">
      <c r="A93" s="59" t="s">
        <v>309</v>
      </c>
      <c r="B93" s="61" t="s">
        <v>325</v>
      </c>
      <c r="C93" s="29">
        <v>43</v>
      </c>
      <c r="D93" s="5" t="s">
        <v>349</v>
      </c>
      <c r="E93" s="14" t="s">
        <v>136</v>
      </c>
      <c r="F93" s="2" t="s">
        <v>340</v>
      </c>
      <c r="G93" s="2" t="s">
        <v>134</v>
      </c>
      <c r="H93" s="89">
        <v>5.4</v>
      </c>
      <c r="I93" s="57">
        <v>45778</v>
      </c>
      <c r="J93" s="921"/>
      <c r="K93" s="884"/>
      <c r="L93" s="884"/>
      <c r="M93" s="884"/>
      <c r="N93" s="884"/>
      <c r="O93" s="884"/>
      <c r="P93" s="884"/>
      <c r="Q93" s="884"/>
      <c r="R93" s="884"/>
      <c r="S93" s="1417"/>
      <c r="T93" s="883"/>
      <c r="U93" s="884"/>
      <c r="V93" s="884"/>
      <c r="W93" s="884"/>
      <c r="X93" s="884"/>
      <c r="Y93" s="884"/>
      <c r="Z93" s="884"/>
      <c r="AA93" s="884"/>
      <c r="AB93" s="1417"/>
      <c r="AC93" s="1454"/>
    </row>
    <row r="94" spans="1:29" ht="34.35" customHeight="1">
      <c r="A94" s="59" t="s">
        <v>309</v>
      </c>
      <c r="B94" s="61" t="s">
        <v>325</v>
      </c>
      <c r="C94" s="29">
        <v>44</v>
      </c>
      <c r="D94" s="5" t="s">
        <v>350</v>
      </c>
      <c r="E94" s="14" t="s">
        <v>38</v>
      </c>
      <c r="F94" s="2" t="s">
        <v>106</v>
      </c>
      <c r="G94" s="2" t="s">
        <v>134</v>
      </c>
      <c r="H94" s="93">
        <v>200</v>
      </c>
      <c r="I94" s="57">
        <v>45778</v>
      </c>
      <c r="J94" s="921"/>
      <c r="K94" s="884" t="s">
        <v>41</v>
      </c>
      <c r="L94" s="884"/>
      <c r="M94" s="884"/>
      <c r="N94" s="884"/>
      <c r="O94" s="884"/>
      <c r="P94" s="884"/>
      <c r="Q94" s="884"/>
      <c r="R94" s="884"/>
      <c r="S94" s="1417"/>
      <c r="T94" s="883"/>
      <c r="U94" s="884"/>
      <c r="V94" s="884"/>
      <c r="W94" s="884"/>
      <c r="X94" s="884"/>
      <c r="Y94" s="884"/>
      <c r="Z94" s="884"/>
      <c r="AA94" s="884"/>
      <c r="AB94" s="1417"/>
      <c r="AC94" s="1454"/>
    </row>
    <row r="95" spans="1:29" ht="34.35" customHeight="1">
      <c r="A95" s="59" t="s">
        <v>309</v>
      </c>
      <c r="B95" s="61" t="s">
        <v>325</v>
      </c>
      <c r="C95" s="29">
        <v>45</v>
      </c>
      <c r="D95" s="5" t="s">
        <v>350</v>
      </c>
      <c r="E95" s="14" t="s">
        <v>136</v>
      </c>
      <c r="F95" s="2" t="s">
        <v>106</v>
      </c>
      <c r="G95" s="2" t="s">
        <v>134</v>
      </c>
      <c r="H95" s="93">
        <v>90</v>
      </c>
      <c r="I95" s="57">
        <v>45778</v>
      </c>
      <c r="J95" s="921"/>
      <c r="K95" s="884"/>
      <c r="L95" s="884"/>
      <c r="M95" s="884"/>
      <c r="N95" s="884"/>
      <c r="O95" s="884"/>
      <c r="P95" s="884"/>
      <c r="Q95" s="884"/>
      <c r="R95" s="884"/>
      <c r="S95" s="1417"/>
      <c r="T95" s="883"/>
      <c r="U95" s="884"/>
      <c r="V95" s="884"/>
      <c r="W95" s="884"/>
      <c r="X95" s="884"/>
      <c r="Y95" s="884"/>
      <c r="Z95" s="884"/>
      <c r="AA95" s="884"/>
      <c r="AB95" s="1417"/>
      <c r="AC95" s="1454"/>
    </row>
    <row r="96" spans="1:29" ht="34.35" customHeight="1">
      <c r="A96" s="59" t="s">
        <v>309</v>
      </c>
      <c r="B96" s="62" t="s">
        <v>351</v>
      </c>
      <c r="C96" s="29">
        <v>46</v>
      </c>
      <c r="D96" s="63" t="s">
        <v>41</v>
      </c>
      <c r="E96" s="14" t="s">
        <v>353</v>
      </c>
      <c r="F96" s="2" t="s">
        <v>312</v>
      </c>
      <c r="G96" s="1" t="s">
        <v>40</v>
      </c>
      <c r="H96" s="920">
        <v>1.2</v>
      </c>
      <c r="I96" s="879">
        <v>45778</v>
      </c>
      <c r="J96" s="921"/>
      <c r="K96" s="884"/>
      <c r="L96" s="884"/>
      <c r="M96" s="884"/>
      <c r="N96" s="884"/>
      <c r="O96" s="884"/>
      <c r="P96" s="884"/>
      <c r="Q96" s="884"/>
      <c r="R96" s="884"/>
      <c r="S96" s="1417"/>
      <c r="T96" s="883"/>
      <c r="U96" s="884"/>
      <c r="V96" s="884"/>
      <c r="W96" s="884"/>
      <c r="X96" s="884"/>
      <c r="Y96" s="884"/>
      <c r="Z96" s="884"/>
      <c r="AA96" s="884"/>
      <c r="AB96" s="1417"/>
      <c r="AC96" s="1456" t="s">
        <v>352</v>
      </c>
    </row>
    <row r="97" spans="1:29" ht="34.35" customHeight="1">
      <c r="A97" s="59" t="s">
        <v>309</v>
      </c>
      <c r="B97" s="64" t="s">
        <v>354</v>
      </c>
      <c r="C97" s="29">
        <v>47</v>
      </c>
      <c r="D97" s="63" t="s">
        <v>41</v>
      </c>
      <c r="E97" s="14" t="s">
        <v>353</v>
      </c>
      <c r="F97" s="2" t="s">
        <v>327</v>
      </c>
      <c r="G97" s="1" t="s">
        <v>40</v>
      </c>
      <c r="H97" s="84">
        <v>0</v>
      </c>
      <c r="I97" s="57">
        <v>45778</v>
      </c>
      <c r="J97" s="921"/>
      <c r="K97" s="884"/>
      <c r="L97" s="884"/>
      <c r="M97" s="884"/>
      <c r="N97" s="884"/>
      <c r="O97" s="884"/>
      <c r="P97" s="884"/>
      <c r="Q97" s="884"/>
      <c r="R97" s="884"/>
      <c r="S97" s="1417"/>
      <c r="T97" s="883"/>
      <c r="U97" s="884"/>
      <c r="V97" s="884"/>
      <c r="W97" s="884"/>
      <c r="X97" s="884"/>
      <c r="Y97" s="884"/>
      <c r="Z97" s="884"/>
      <c r="AA97" s="884"/>
      <c r="AB97" s="1417"/>
      <c r="AC97" s="1457" t="s">
        <v>466</v>
      </c>
    </row>
    <row r="98" spans="1:29" ht="34.35" customHeight="1">
      <c r="A98" s="59" t="s">
        <v>309</v>
      </c>
      <c r="B98" s="64" t="s">
        <v>356</v>
      </c>
      <c r="C98" s="29">
        <v>48</v>
      </c>
      <c r="D98" s="63" t="s">
        <v>41</v>
      </c>
      <c r="E98" s="14" t="s">
        <v>353</v>
      </c>
      <c r="F98" s="2" t="s">
        <v>321</v>
      </c>
      <c r="G98" s="1" t="s">
        <v>40</v>
      </c>
      <c r="H98" s="84">
        <v>0</v>
      </c>
      <c r="I98" s="57">
        <v>45778</v>
      </c>
      <c r="J98" s="921" t="s">
        <v>41</v>
      </c>
      <c r="K98" s="884" t="s">
        <v>41</v>
      </c>
      <c r="L98" s="884" t="s">
        <v>41</v>
      </c>
      <c r="M98" s="884" t="s">
        <v>41</v>
      </c>
      <c r="N98" s="884" t="s">
        <v>41</v>
      </c>
      <c r="O98" s="884" t="s">
        <v>41</v>
      </c>
      <c r="P98" s="884" t="s">
        <v>41</v>
      </c>
      <c r="Q98" s="884" t="s">
        <v>41</v>
      </c>
      <c r="R98" s="884" t="s">
        <v>41</v>
      </c>
      <c r="S98" s="1417" t="s">
        <v>41</v>
      </c>
      <c r="T98" s="883" t="s">
        <v>41</v>
      </c>
      <c r="U98" s="884" t="s">
        <v>41</v>
      </c>
      <c r="V98" s="884" t="s">
        <v>41</v>
      </c>
      <c r="W98" s="884" t="s">
        <v>41</v>
      </c>
      <c r="X98" s="884" t="s">
        <v>41</v>
      </c>
      <c r="Y98" s="884" t="s">
        <v>41</v>
      </c>
      <c r="Z98" s="884" t="s">
        <v>41</v>
      </c>
      <c r="AA98" s="884" t="s">
        <v>41</v>
      </c>
      <c r="AB98" s="1417" t="s">
        <v>41</v>
      </c>
      <c r="AC98" s="1457" t="s">
        <v>466</v>
      </c>
    </row>
    <row r="99" spans="1:29" ht="34.35" customHeight="1">
      <c r="A99" s="69" t="s">
        <v>309</v>
      </c>
      <c r="B99" s="11" t="s">
        <v>357</v>
      </c>
      <c r="C99" s="73">
        <v>49</v>
      </c>
      <c r="D99" s="7" t="s">
        <v>41</v>
      </c>
      <c r="E99" s="71" t="s">
        <v>38</v>
      </c>
      <c r="F99" s="2" t="s">
        <v>312</v>
      </c>
      <c r="G99" s="1" t="s">
        <v>41</v>
      </c>
      <c r="H99" s="51"/>
      <c r="I99" s="57">
        <v>45778</v>
      </c>
      <c r="J99" s="931"/>
      <c r="K99" s="887"/>
      <c r="L99" s="887"/>
      <c r="M99" s="887"/>
      <c r="N99" s="887"/>
      <c r="O99" s="887"/>
      <c r="P99" s="887"/>
      <c r="Q99" s="887"/>
      <c r="R99" s="887"/>
      <c r="S99" s="887"/>
      <c r="T99" s="887"/>
      <c r="U99" s="887"/>
      <c r="V99" s="887"/>
      <c r="W99" s="887"/>
      <c r="X99" s="887"/>
      <c r="Y99" s="887"/>
      <c r="Z99" s="887"/>
      <c r="AA99" s="887"/>
      <c r="AC99" s="1459"/>
    </row>
    <row r="100" spans="1:29" ht="34.35" customHeight="1">
      <c r="A100" s="59" t="s">
        <v>309</v>
      </c>
      <c r="B100" s="60" t="s">
        <v>310</v>
      </c>
      <c r="C100" s="29">
        <v>1</v>
      </c>
      <c r="D100" s="5" t="s">
        <v>311</v>
      </c>
      <c r="E100" s="14" t="s">
        <v>38</v>
      </c>
      <c r="F100" s="2" t="s">
        <v>312</v>
      </c>
      <c r="G100" s="2" t="s">
        <v>40</v>
      </c>
      <c r="H100" s="89">
        <v>0</v>
      </c>
      <c r="I100" s="57">
        <v>45809</v>
      </c>
      <c r="J100" s="921"/>
      <c r="K100" s="884"/>
      <c r="L100" s="884"/>
      <c r="M100" s="884"/>
      <c r="N100" s="884"/>
      <c r="O100" s="884"/>
      <c r="P100" s="884"/>
      <c r="Q100" s="884"/>
      <c r="R100" s="884"/>
      <c r="S100" s="1417"/>
      <c r="T100" s="883"/>
      <c r="U100" s="884"/>
      <c r="V100" s="884"/>
      <c r="W100" s="884"/>
      <c r="X100" s="884"/>
      <c r="Y100" s="884"/>
      <c r="Z100" s="884"/>
      <c r="AA100" s="884"/>
      <c r="AB100" s="1417"/>
      <c r="AC100" s="1454"/>
    </row>
    <row r="101" spans="1:29" ht="34.35" customHeight="1">
      <c r="A101" s="59" t="s">
        <v>309</v>
      </c>
      <c r="B101" s="60" t="s">
        <v>310</v>
      </c>
      <c r="C101" s="29">
        <v>2</v>
      </c>
      <c r="D101" s="5" t="s">
        <v>313</v>
      </c>
      <c r="E101" s="14" t="s">
        <v>38</v>
      </c>
      <c r="F101" s="2" t="s">
        <v>312</v>
      </c>
      <c r="G101" s="2" t="s">
        <v>40</v>
      </c>
      <c r="H101" s="89">
        <v>0</v>
      </c>
      <c r="I101" s="57">
        <v>45809</v>
      </c>
      <c r="J101" s="921"/>
      <c r="K101" s="884"/>
      <c r="L101" s="884"/>
      <c r="M101" s="884"/>
      <c r="N101" s="884"/>
      <c r="O101" s="884"/>
      <c r="P101" s="884"/>
      <c r="Q101" s="884"/>
      <c r="R101" s="884"/>
      <c r="S101" s="1417"/>
      <c r="T101" s="883"/>
      <c r="U101" s="884"/>
      <c r="V101" s="884"/>
      <c r="W101" s="884"/>
      <c r="X101" s="884"/>
      <c r="Y101" s="884"/>
      <c r="Z101" s="884"/>
      <c r="AA101" s="884"/>
      <c r="AB101" s="1417"/>
      <c r="AC101" s="1454"/>
    </row>
    <row r="102" spans="1:29" ht="34.35" customHeight="1">
      <c r="A102" s="59" t="s">
        <v>309</v>
      </c>
      <c r="B102" s="60" t="s">
        <v>310</v>
      </c>
      <c r="C102" s="29">
        <v>3</v>
      </c>
      <c r="D102" s="6" t="s">
        <v>314</v>
      </c>
      <c r="E102" s="14" t="s">
        <v>38</v>
      </c>
      <c r="F102" s="2" t="s">
        <v>312</v>
      </c>
      <c r="G102" s="2" t="s">
        <v>40</v>
      </c>
      <c r="H102" s="89">
        <v>0</v>
      </c>
      <c r="I102" s="57">
        <v>45809</v>
      </c>
      <c r="J102" s="921"/>
      <c r="K102" s="884"/>
      <c r="L102" s="884"/>
      <c r="M102" s="884"/>
      <c r="N102" s="884"/>
      <c r="O102" s="884"/>
      <c r="P102" s="884"/>
      <c r="Q102" s="884"/>
      <c r="R102" s="884"/>
      <c r="S102" s="1417"/>
      <c r="T102" s="883"/>
      <c r="U102" s="884"/>
      <c r="V102" s="884"/>
      <c r="W102" s="884"/>
      <c r="X102" s="884"/>
      <c r="Y102" s="884"/>
      <c r="Z102" s="884"/>
      <c r="AA102" s="884"/>
      <c r="AB102" s="1428"/>
      <c r="AC102" s="1455"/>
    </row>
    <row r="103" spans="1:29" ht="34.35" customHeight="1">
      <c r="A103" s="59" t="s">
        <v>309</v>
      </c>
      <c r="B103" s="60" t="s">
        <v>310</v>
      </c>
      <c r="C103" s="29">
        <v>4</v>
      </c>
      <c r="D103" s="5" t="s">
        <v>315</v>
      </c>
      <c r="E103" s="14" t="s">
        <v>38</v>
      </c>
      <c r="F103" s="2" t="s">
        <v>316</v>
      </c>
      <c r="G103" s="2" t="s">
        <v>40</v>
      </c>
      <c r="H103" s="89">
        <v>280</v>
      </c>
      <c r="I103" s="57">
        <v>45809</v>
      </c>
      <c r="J103" s="921"/>
      <c r="K103" s="884"/>
      <c r="L103" s="884"/>
      <c r="M103" s="884"/>
      <c r="N103" s="884">
        <v>2</v>
      </c>
      <c r="O103" s="884"/>
      <c r="P103" s="884"/>
      <c r="Q103" s="884"/>
      <c r="R103" s="884">
        <v>1</v>
      </c>
      <c r="S103" s="922"/>
      <c r="T103" s="883"/>
      <c r="U103" s="884">
        <v>1</v>
      </c>
      <c r="V103" s="884">
        <v>11</v>
      </c>
      <c r="W103" s="884"/>
      <c r="X103" s="1419"/>
      <c r="Y103" s="1419">
        <v>10</v>
      </c>
      <c r="Z103" s="1419"/>
      <c r="AA103" s="1420">
        <v>1</v>
      </c>
      <c r="AB103" s="1421"/>
      <c r="AC103" s="1456" t="s">
        <v>458</v>
      </c>
    </row>
    <row r="104" spans="1:29" ht="34.35" customHeight="1">
      <c r="A104" s="59" t="s">
        <v>309</v>
      </c>
      <c r="B104" s="60" t="s">
        <v>310</v>
      </c>
      <c r="C104" s="29">
        <v>5</v>
      </c>
      <c r="D104" s="5" t="s">
        <v>315</v>
      </c>
      <c r="E104" s="14" t="s">
        <v>136</v>
      </c>
      <c r="F104" s="2" t="s">
        <v>316</v>
      </c>
      <c r="G104" s="2" t="s">
        <v>40</v>
      </c>
      <c r="H104" s="89">
        <v>106</v>
      </c>
      <c r="I104" s="57">
        <v>45809</v>
      </c>
      <c r="J104" s="921"/>
      <c r="K104" s="884"/>
      <c r="L104" s="884"/>
      <c r="M104" s="884"/>
      <c r="N104" s="884">
        <v>8.4400000000000003E-2</v>
      </c>
      <c r="O104" s="884"/>
      <c r="P104" s="884"/>
      <c r="Q104" s="884"/>
      <c r="R104" s="884">
        <v>0.35899999999999999</v>
      </c>
      <c r="S104" s="922"/>
      <c r="T104" s="883"/>
      <c r="U104" s="1422">
        <v>9.7000000000000003E-2</v>
      </c>
      <c r="V104" s="1422">
        <v>1.714</v>
      </c>
      <c r="W104" s="1423"/>
      <c r="X104" s="1423"/>
      <c r="Y104" s="1422">
        <f>2.344+0.165</f>
        <v>2.5089999999999999</v>
      </c>
      <c r="Z104" s="1423"/>
      <c r="AA104" s="1422">
        <v>0.1978</v>
      </c>
      <c r="AB104" s="1424"/>
      <c r="AC104" s="1456" t="s">
        <v>459</v>
      </c>
    </row>
    <row r="105" spans="1:29" ht="34.35" customHeight="1">
      <c r="A105" s="59" t="s">
        <v>309</v>
      </c>
      <c r="B105" s="60" t="s">
        <v>310</v>
      </c>
      <c r="C105" s="29">
        <v>6</v>
      </c>
      <c r="D105" s="5" t="s">
        <v>317</v>
      </c>
      <c r="E105" s="14" t="s">
        <v>38</v>
      </c>
      <c r="F105" s="2" t="s">
        <v>316</v>
      </c>
      <c r="G105" s="2" t="s">
        <v>40</v>
      </c>
      <c r="H105" s="920">
        <v>0</v>
      </c>
      <c r="I105" s="879">
        <v>45809</v>
      </c>
      <c r="J105" s="921"/>
      <c r="K105" s="884"/>
      <c r="L105" s="884"/>
      <c r="M105" s="884"/>
      <c r="N105" s="884"/>
      <c r="O105" s="884"/>
      <c r="P105" s="884"/>
      <c r="Q105" s="884"/>
      <c r="R105" s="884"/>
      <c r="S105" s="1417"/>
      <c r="T105" s="883"/>
      <c r="U105" s="884"/>
      <c r="V105" s="884"/>
      <c r="W105" s="884"/>
      <c r="X105" s="884"/>
      <c r="Y105" s="884">
        <v>1</v>
      </c>
      <c r="Z105" s="884"/>
      <c r="AA105" s="884"/>
      <c r="AB105" s="1417"/>
      <c r="AC105" s="1454"/>
    </row>
    <row r="106" spans="1:29" ht="34.35" customHeight="1">
      <c r="A106" s="59" t="s">
        <v>309</v>
      </c>
      <c r="B106" s="60" t="s">
        <v>310</v>
      </c>
      <c r="C106" s="29">
        <v>7</v>
      </c>
      <c r="D106" s="5" t="s">
        <v>317</v>
      </c>
      <c r="E106" s="14" t="s">
        <v>136</v>
      </c>
      <c r="F106" s="2" t="s">
        <v>316</v>
      </c>
      <c r="G106" s="2" t="s">
        <v>40</v>
      </c>
      <c r="H106" s="89">
        <v>0</v>
      </c>
      <c r="I106" s="57">
        <v>45809</v>
      </c>
      <c r="J106" s="921"/>
      <c r="K106" s="884"/>
      <c r="L106" s="884"/>
      <c r="M106" s="884"/>
      <c r="N106" s="884"/>
      <c r="O106" s="884"/>
      <c r="P106" s="884"/>
      <c r="Q106" s="884"/>
      <c r="R106" s="884"/>
      <c r="S106" s="1417"/>
      <c r="T106" s="883"/>
      <c r="U106" s="884"/>
      <c r="V106" s="884"/>
      <c r="W106" s="884"/>
      <c r="X106" s="884"/>
      <c r="Y106" s="884">
        <v>0.93</v>
      </c>
      <c r="Z106" s="884"/>
      <c r="AA106" s="884"/>
      <c r="AB106" s="1417"/>
      <c r="AC106" s="1454"/>
    </row>
    <row r="107" spans="1:29" ht="34.35" customHeight="1">
      <c r="A107" s="59" t="s">
        <v>309</v>
      </c>
      <c r="B107" s="60" t="s">
        <v>310</v>
      </c>
      <c r="C107" s="29">
        <v>8</v>
      </c>
      <c r="D107" s="5" t="s">
        <v>318</v>
      </c>
      <c r="E107" s="14" t="s">
        <v>38</v>
      </c>
      <c r="F107" s="2" t="s">
        <v>316</v>
      </c>
      <c r="G107" s="2" t="s">
        <v>40</v>
      </c>
      <c r="H107" s="89">
        <v>192</v>
      </c>
      <c r="I107" s="57">
        <v>45809</v>
      </c>
      <c r="J107" s="921"/>
      <c r="K107" s="884"/>
      <c r="L107" s="884"/>
      <c r="M107" s="884"/>
      <c r="N107" s="884"/>
      <c r="O107" s="884"/>
      <c r="P107" s="884"/>
      <c r="Q107" s="884"/>
      <c r="R107" s="884"/>
      <c r="S107" s="1417"/>
      <c r="T107" s="1442">
        <v>0</v>
      </c>
      <c r="U107" s="1419">
        <v>0</v>
      </c>
      <c r="V107" s="1419">
        <v>0</v>
      </c>
      <c r="W107" s="1419">
        <v>1</v>
      </c>
      <c r="X107" s="884">
        <v>0</v>
      </c>
      <c r="Y107" s="884">
        <v>1</v>
      </c>
      <c r="Z107" s="884">
        <v>0</v>
      </c>
      <c r="AA107" s="884">
        <v>1</v>
      </c>
      <c r="AB107" s="1417">
        <v>0</v>
      </c>
      <c r="AC107" s="1456" t="s">
        <v>460</v>
      </c>
    </row>
    <row r="108" spans="1:29" ht="34.35" customHeight="1">
      <c r="A108" s="59" t="s">
        <v>309</v>
      </c>
      <c r="B108" s="60" t="s">
        <v>310</v>
      </c>
      <c r="C108" s="29">
        <v>9</v>
      </c>
      <c r="D108" s="5" t="s">
        <v>318</v>
      </c>
      <c r="E108" s="14" t="s">
        <v>136</v>
      </c>
      <c r="F108" s="2" t="s">
        <v>316</v>
      </c>
      <c r="G108" s="2" t="s">
        <v>40</v>
      </c>
      <c r="H108" s="89">
        <v>307</v>
      </c>
      <c r="I108" s="57">
        <v>45809</v>
      </c>
      <c r="J108" s="921"/>
      <c r="K108" s="884"/>
      <c r="L108" s="884"/>
      <c r="M108" s="884"/>
      <c r="N108" s="884"/>
      <c r="O108" s="884"/>
      <c r="P108" s="884"/>
      <c r="Q108" s="884"/>
      <c r="R108" s="884"/>
      <c r="S108" s="1417"/>
      <c r="T108" s="883"/>
      <c r="U108" s="884"/>
      <c r="V108" s="884"/>
      <c r="W108" s="1443">
        <v>0.11</v>
      </c>
      <c r="X108" s="884"/>
      <c r="Y108" s="1443">
        <v>0.92</v>
      </c>
      <c r="Z108" s="884"/>
      <c r="AA108" s="1443">
        <v>0.38</v>
      </c>
      <c r="AB108" s="1417"/>
      <c r="AC108" s="1456" t="s">
        <v>461</v>
      </c>
    </row>
    <row r="109" spans="1:29" ht="34.35" customHeight="1">
      <c r="A109" s="59" t="s">
        <v>309</v>
      </c>
      <c r="B109" s="60" t="s">
        <v>319</v>
      </c>
      <c r="C109" s="29">
        <v>10</v>
      </c>
      <c r="D109" s="5" t="s">
        <v>320</v>
      </c>
      <c r="E109" s="14" t="s">
        <v>38</v>
      </c>
      <c r="F109" s="2" t="s">
        <v>321</v>
      </c>
      <c r="G109" s="2" t="s">
        <v>40</v>
      </c>
      <c r="H109" s="89">
        <v>0</v>
      </c>
      <c r="I109" s="57">
        <v>45809</v>
      </c>
      <c r="J109" s="921">
        <v>0</v>
      </c>
      <c r="K109" s="884">
        <v>0</v>
      </c>
      <c r="L109" s="884">
        <v>0</v>
      </c>
      <c r="M109" s="884">
        <v>0</v>
      </c>
      <c r="N109" s="884">
        <v>0</v>
      </c>
      <c r="O109" s="884">
        <v>0</v>
      </c>
      <c r="P109" s="884">
        <v>0</v>
      </c>
      <c r="Q109" s="884">
        <v>0</v>
      </c>
      <c r="R109" s="884">
        <v>0</v>
      </c>
      <c r="S109" s="1417">
        <v>0</v>
      </c>
      <c r="T109" s="883">
        <v>0</v>
      </c>
      <c r="U109" s="884">
        <v>0</v>
      </c>
      <c r="V109" s="884">
        <v>0</v>
      </c>
      <c r="W109" s="884">
        <v>0</v>
      </c>
      <c r="X109" s="884">
        <v>0</v>
      </c>
      <c r="Y109" s="884">
        <v>0</v>
      </c>
      <c r="Z109" s="884">
        <v>0</v>
      </c>
      <c r="AA109" s="884">
        <v>0</v>
      </c>
      <c r="AB109" s="1417">
        <v>0</v>
      </c>
      <c r="AC109" s="1454"/>
    </row>
    <row r="110" spans="1:29" ht="34.35" customHeight="1">
      <c r="A110" s="59" t="s">
        <v>309</v>
      </c>
      <c r="B110" s="60" t="s">
        <v>319</v>
      </c>
      <c r="C110" s="29">
        <v>11</v>
      </c>
      <c r="D110" s="5" t="s">
        <v>322</v>
      </c>
      <c r="E110" s="14" t="s">
        <v>38</v>
      </c>
      <c r="F110" s="2" t="s">
        <v>321</v>
      </c>
      <c r="G110" s="2" t="s">
        <v>40</v>
      </c>
      <c r="H110" s="920">
        <v>0</v>
      </c>
      <c r="I110" s="879">
        <v>45809</v>
      </c>
      <c r="J110" s="921">
        <v>0</v>
      </c>
      <c r="K110" s="884">
        <v>0</v>
      </c>
      <c r="L110" s="884">
        <v>0</v>
      </c>
      <c r="M110" s="884">
        <v>0</v>
      </c>
      <c r="N110" s="884">
        <v>0</v>
      </c>
      <c r="O110" s="884">
        <v>0</v>
      </c>
      <c r="P110" s="884">
        <v>0</v>
      </c>
      <c r="Q110" s="884">
        <v>0</v>
      </c>
      <c r="R110" s="884">
        <v>0</v>
      </c>
      <c r="S110" s="1417">
        <v>0</v>
      </c>
      <c r="T110" s="883">
        <v>0</v>
      </c>
      <c r="U110" s="884">
        <v>0</v>
      </c>
      <c r="V110" s="884">
        <v>0</v>
      </c>
      <c r="W110" s="884">
        <v>0</v>
      </c>
      <c r="X110" s="884">
        <v>0</v>
      </c>
      <c r="Y110" s="884">
        <v>0</v>
      </c>
      <c r="Z110" s="884">
        <v>0</v>
      </c>
      <c r="AA110" s="884">
        <v>0</v>
      </c>
      <c r="AB110" s="1417">
        <v>0</v>
      </c>
      <c r="AC110" s="1454"/>
    </row>
    <row r="111" spans="1:29" ht="34.35" customHeight="1">
      <c r="A111" s="59" t="s">
        <v>309</v>
      </c>
      <c r="B111" s="60" t="s">
        <v>319</v>
      </c>
      <c r="C111" s="29">
        <v>12</v>
      </c>
      <c r="D111" s="5" t="s">
        <v>313</v>
      </c>
      <c r="E111" s="14" t="s">
        <v>38</v>
      </c>
      <c r="F111" s="2" t="s">
        <v>321</v>
      </c>
      <c r="G111" s="2" t="s">
        <v>40</v>
      </c>
      <c r="H111" s="920">
        <v>0</v>
      </c>
      <c r="I111" s="879">
        <v>45809</v>
      </c>
      <c r="J111" s="921">
        <v>0</v>
      </c>
      <c r="K111" s="884">
        <v>0</v>
      </c>
      <c r="L111" s="884">
        <v>0</v>
      </c>
      <c r="M111" s="884">
        <v>0</v>
      </c>
      <c r="N111" s="884">
        <v>0</v>
      </c>
      <c r="O111" s="884">
        <v>0</v>
      </c>
      <c r="P111" s="884">
        <v>0</v>
      </c>
      <c r="Q111" s="884">
        <v>0</v>
      </c>
      <c r="R111" s="884">
        <v>0</v>
      </c>
      <c r="S111" s="1417">
        <v>0</v>
      </c>
      <c r="T111" s="883">
        <v>0</v>
      </c>
      <c r="U111" s="884">
        <v>0</v>
      </c>
      <c r="V111" s="884">
        <v>0</v>
      </c>
      <c r="W111" s="884">
        <v>0</v>
      </c>
      <c r="X111" s="884">
        <v>0</v>
      </c>
      <c r="Y111" s="884">
        <v>0</v>
      </c>
      <c r="Z111" s="884">
        <v>0</v>
      </c>
      <c r="AA111" s="884">
        <v>0</v>
      </c>
      <c r="AB111" s="1417">
        <v>0</v>
      </c>
      <c r="AC111" s="1454"/>
    </row>
    <row r="112" spans="1:29" ht="34.35" customHeight="1">
      <c r="A112" s="59" t="s">
        <v>309</v>
      </c>
      <c r="B112" s="60" t="s">
        <v>319</v>
      </c>
      <c r="C112" s="29">
        <v>13</v>
      </c>
      <c r="D112" s="5" t="s">
        <v>323</v>
      </c>
      <c r="E112" s="14" t="s">
        <v>38</v>
      </c>
      <c r="F112" s="2" t="s">
        <v>321</v>
      </c>
      <c r="G112" s="2" t="s">
        <v>40</v>
      </c>
      <c r="H112" s="920">
        <v>5</v>
      </c>
      <c r="I112" s="879">
        <v>45809</v>
      </c>
      <c r="J112" s="921">
        <v>0</v>
      </c>
      <c r="K112" s="884">
        <v>0</v>
      </c>
      <c r="L112" s="884">
        <v>0</v>
      </c>
      <c r="M112" s="884">
        <v>0</v>
      </c>
      <c r="N112" s="884">
        <v>0</v>
      </c>
      <c r="O112" s="884">
        <v>0</v>
      </c>
      <c r="P112" s="884">
        <v>0</v>
      </c>
      <c r="Q112" s="884">
        <v>0</v>
      </c>
      <c r="R112" s="884">
        <v>0</v>
      </c>
      <c r="S112" s="1444">
        <v>1</v>
      </c>
      <c r="T112" s="883">
        <v>0</v>
      </c>
      <c r="U112" s="884">
        <v>0</v>
      </c>
      <c r="V112" s="884">
        <v>0</v>
      </c>
      <c r="W112" s="1445">
        <v>1</v>
      </c>
      <c r="X112" s="884">
        <v>0</v>
      </c>
      <c r="Y112" s="884">
        <v>0</v>
      </c>
      <c r="Z112" s="884">
        <v>0</v>
      </c>
      <c r="AA112" s="884">
        <v>0</v>
      </c>
      <c r="AB112" s="1444">
        <v>1</v>
      </c>
      <c r="AC112" s="1454"/>
    </row>
    <row r="113" spans="1:29" ht="34.35" customHeight="1">
      <c r="A113" s="59" t="s">
        <v>309</v>
      </c>
      <c r="B113" s="61" t="s">
        <v>324</v>
      </c>
      <c r="C113" s="29">
        <v>14</v>
      </c>
      <c r="D113" s="5" t="s">
        <v>311</v>
      </c>
      <c r="E113" s="14" t="s">
        <v>38</v>
      </c>
      <c r="F113" s="2" t="s">
        <v>312</v>
      </c>
      <c r="G113" s="2" t="s">
        <v>40</v>
      </c>
      <c r="H113" s="922">
        <v>0</v>
      </c>
      <c r="I113" s="879">
        <v>45809</v>
      </c>
      <c r="J113" s="921"/>
      <c r="K113" s="884"/>
      <c r="L113" s="884"/>
      <c r="M113" s="884"/>
      <c r="N113" s="884"/>
      <c r="O113" s="884"/>
      <c r="P113" s="884"/>
      <c r="Q113" s="884"/>
      <c r="R113" s="884"/>
      <c r="S113" s="1417"/>
      <c r="T113" s="883"/>
      <c r="U113" s="884"/>
      <c r="V113" s="884"/>
      <c r="W113" s="884"/>
      <c r="X113" s="884"/>
      <c r="Y113" s="884"/>
      <c r="Z113" s="884"/>
      <c r="AA113" s="884"/>
      <c r="AB113" s="1417"/>
      <c r="AC113" s="1454"/>
    </row>
    <row r="114" spans="1:29" ht="34.35" customHeight="1">
      <c r="A114" s="59" t="s">
        <v>309</v>
      </c>
      <c r="B114" s="61" t="s">
        <v>324</v>
      </c>
      <c r="C114" s="29">
        <v>15</v>
      </c>
      <c r="D114" s="5" t="s">
        <v>313</v>
      </c>
      <c r="E114" s="14" t="s">
        <v>38</v>
      </c>
      <c r="F114" s="2" t="s">
        <v>312</v>
      </c>
      <c r="G114" s="2" t="s">
        <v>40</v>
      </c>
      <c r="H114" s="922">
        <v>0</v>
      </c>
      <c r="I114" s="879">
        <v>45809</v>
      </c>
      <c r="J114" s="921"/>
      <c r="K114" s="884"/>
      <c r="L114" s="884"/>
      <c r="M114" s="884"/>
      <c r="N114" s="884"/>
      <c r="O114" s="884"/>
      <c r="P114" s="884"/>
      <c r="Q114" s="884"/>
      <c r="R114" s="884"/>
      <c r="S114" s="1417"/>
      <c r="T114" s="883"/>
      <c r="U114" s="884"/>
      <c r="V114" s="884"/>
      <c r="W114" s="884"/>
      <c r="X114" s="884"/>
      <c r="Y114" s="884"/>
      <c r="Z114" s="884"/>
      <c r="AA114" s="884"/>
      <c r="AB114" s="1417"/>
      <c r="AC114" s="1454"/>
    </row>
    <row r="115" spans="1:29" ht="34.35" customHeight="1">
      <c r="A115" s="59" t="s">
        <v>309</v>
      </c>
      <c r="B115" s="61" t="s">
        <v>324</v>
      </c>
      <c r="C115" s="29">
        <v>16</v>
      </c>
      <c r="D115" s="6" t="s">
        <v>314</v>
      </c>
      <c r="E115" s="14" t="s">
        <v>38</v>
      </c>
      <c r="F115" s="2" t="s">
        <v>312</v>
      </c>
      <c r="G115" s="2" t="s">
        <v>40</v>
      </c>
      <c r="H115" s="922">
        <v>0</v>
      </c>
      <c r="I115" s="879">
        <v>45809</v>
      </c>
      <c r="J115" s="921"/>
      <c r="K115" s="884"/>
      <c r="L115" s="884"/>
      <c r="M115" s="884"/>
      <c r="N115" s="884"/>
      <c r="O115" s="884"/>
      <c r="P115" s="884"/>
      <c r="Q115" s="884"/>
      <c r="R115" s="884"/>
      <c r="S115" s="1417"/>
      <c r="T115" s="883"/>
      <c r="U115" s="884"/>
      <c r="V115" s="884"/>
      <c r="W115" s="884"/>
      <c r="X115" s="884"/>
      <c r="Y115" s="884"/>
      <c r="Z115" s="884"/>
      <c r="AA115" s="884"/>
      <c r="AB115" s="1417"/>
      <c r="AC115" s="1455"/>
    </row>
    <row r="116" spans="1:29" ht="34.35" customHeight="1">
      <c r="A116" s="59" t="s">
        <v>309</v>
      </c>
      <c r="B116" s="61" t="s">
        <v>325</v>
      </c>
      <c r="C116" s="29">
        <v>17</v>
      </c>
      <c r="D116" s="5" t="s">
        <v>326</v>
      </c>
      <c r="E116" s="14" t="s">
        <v>38</v>
      </c>
      <c r="F116" s="2" t="s">
        <v>327</v>
      </c>
      <c r="G116" s="2" t="s">
        <v>40</v>
      </c>
      <c r="H116" s="922">
        <v>0</v>
      </c>
      <c r="I116" s="879">
        <v>45809</v>
      </c>
      <c r="J116" s="921"/>
      <c r="K116" s="884"/>
      <c r="L116" s="884"/>
      <c r="M116" s="884"/>
      <c r="N116" s="884"/>
      <c r="O116" s="884"/>
      <c r="P116" s="884"/>
      <c r="Q116" s="884"/>
      <c r="R116" s="884"/>
      <c r="S116" s="1417"/>
      <c r="T116" s="883"/>
      <c r="U116" s="884"/>
      <c r="V116" s="884"/>
      <c r="W116" s="884"/>
      <c r="X116" s="884"/>
      <c r="Y116" s="884"/>
      <c r="Z116" s="884"/>
      <c r="AA116" s="884"/>
      <c r="AB116" s="1417"/>
      <c r="AC116" s="1454"/>
    </row>
    <row r="117" spans="1:29" ht="34.35" customHeight="1">
      <c r="A117" s="59" t="s">
        <v>309</v>
      </c>
      <c r="B117" s="61" t="s">
        <v>325</v>
      </c>
      <c r="C117" s="29">
        <v>18</v>
      </c>
      <c r="D117" s="5" t="s">
        <v>326</v>
      </c>
      <c r="E117" s="14" t="s">
        <v>136</v>
      </c>
      <c r="F117" s="2" t="s">
        <v>327</v>
      </c>
      <c r="G117" s="2" t="s">
        <v>40</v>
      </c>
      <c r="H117" s="922">
        <v>0</v>
      </c>
      <c r="I117" s="879">
        <v>45809</v>
      </c>
      <c r="J117" s="921"/>
      <c r="K117" s="884"/>
      <c r="L117" s="884"/>
      <c r="M117" s="884"/>
      <c r="N117" s="884"/>
      <c r="O117" s="884"/>
      <c r="P117" s="884"/>
      <c r="Q117" s="884"/>
      <c r="R117" s="884"/>
      <c r="S117" s="1417"/>
      <c r="T117" s="883"/>
      <c r="U117" s="884"/>
      <c r="V117" s="884"/>
      <c r="W117" s="884"/>
      <c r="X117" s="884"/>
      <c r="Y117" s="884"/>
      <c r="Z117" s="884"/>
      <c r="AA117" s="884"/>
      <c r="AB117" s="1417"/>
      <c r="AC117" s="1454"/>
    </row>
    <row r="118" spans="1:29" ht="34.35" customHeight="1">
      <c r="A118" s="59" t="s">
        <v>309</v>
      </c>
      <c r="B118" s="61" t="s">
        <v>325</v>
      </c>
      <c r="C118" s="29">
        <v>19</v>
      </c>
      <c r="D118" s="6" t="s">
        <v>328</v>
      </c>
      <c r="E118" s="14" t="s">
        <v>38</v>
      </c>
      <c r="F118" s="2" t="s">
        <v>327</v>
      </c>
      <c r="G118" s="2" t="s">
        <v>40</v>
      </c>
      <c r="H118" s="922" t="s">
        <v>41</v>
      </c>
      <c r="I118" s="879">
        <v>45809</v>
      </c>
      <c r="J118" s="921"/>
      <c r="K118" s="884"/>
      <c r="L118" s="884"/>
      <c r="M118" s="884"/>
      <c r="N118" s="884"/>
      <c r="O118" s="884"/>
      <c r="P118" s="884"/>
      <c r="Q118" s="884"/>
      <c r="R118" s="884"/>
      <c r="S118" s="1417"/>
      <c r="T118" s="883"/>
      <c r="U118" s="884"/>
      <c r="V118" s="884"/>
      <c r="W118" s="884"/>
      <c r="X118" s="884"/>
      <c r="Y118" s="884">
        <v>88</v>
      </c>
      <c r="Z118" s="884"/>
      <c r="AA118" s="884"/>
      <c r="AB118" s="1417"/>
      <c r="AC118" s="1455"/>
    </row>
    <row r="119" spans="1:29" ht="34.35" customHeight="1">
      <c r="A119" s="59" t="s">
        <v>309</v>
      </c>
      <c r="B119" s="61" t="s">
        <v>325</v>
      </c>
      <c r="C119" s="29">
        <v>20</v>
      </c>
      <c r="D119" s="6" t="s">
        <v>328</v>
      </c>
      <c r="E119" s="14" t="s">
        <v>136</v>
      </c>
      <c r="F119" s="2" t="s">
        <v>327</v>
      </c>
      <c r="G119" s="2" t="s">
        <v>40</v>
      </c>
      <c r="H119" s="922" t="s">
        <v>41</v>
      </c>
      <c r="I119" s="879">
        <v>45809</v>
      </c>
      <c r="J119" s="921"/>
      <c r="K119" s="884"/>
      <c r="L119" s="884"/>
      <c r="M119" s="884"/>
      <c r="N119" s="884"/>
      <c r="O119" s="884"/>
      <c r="P119" s="884"/>
      <c r="Q119" s="884"/>
      <c r="R119" s="884"/>
      <c r="S119" s="1417"/>
      <c r="T119" s="883"/>
      <c r="U119" s="884"/>
      <c r="V119" s="884"/>
      <c r="W119" s="884"/>
      <c r="X119" s="884"/>
      <c r="Y119" s="884">
        <v>371</v>
      </c>
      <c r="Z119" s="884"/>
      <c r="AA119" s="884"/>
      <c r="AB119" s="1417"/>
      <c r="AC119" s="1455"/>
    </row>
    <row r="120" spans="1:29" ht="34.35" customHeight="1">
      <c r="A120" s="59" t="s">
        <v>309</v>
      </c>
      <c r="B120" s="61" t="s">
        <v>325</v>
      </c>
      <c r="C120" s="29">
        <v>21</v>
      </c>
      <c r="D120" s="98" t="s">
        <v>329</v>
      </c>
      <c r="E120" s="14" t="s">
        <v>38</v>
      </c>
      <c r="F120" s="2" t="s">
        <v>327</v>
      </c>
      <c r="G120" s="2" t="s">
        <v>40</v>
      </c>
      <c r="H120" s="922" t="s">
        <v>41</v>
      </c>
      <c r="I120" s="879">
        <v>45809</v>
      </c>
      <c r="J120" s="921"/>
      <c r="K120" s="884">
        <v>4</v>
      </c>
      <c r="L120" s="884">
        <v>12</v>
      </c>
      <c r="M120" s="884">
        <v>3</v>
      </c>
      <c r="N120" s="884">
        <v>8</v>
      </c>
      <c r="O120" s="884">
        <v>6</v>
      </c>
      <c r="P120" s="884"/>
      <c r="Q120" s="884"/>
      <c r="R120" s="884"/>
      <c r="S120" s="1417">
        <v>3</v>
      </c>
      <c r="T120" s="883"/>
      <c r="U120" s="884"/>
      <c r="V120" s="884">
        <f>1+18+3</f>
        <v>22</v>
      </c>
      <c r="W120" s="884">
        <v>11</v>
      </c>
      <c r="X120" s="884">
        <f>32+7+1</f>
        <v>40</v>
      </c>
      <c r="Y120" s="884">
        <f>64+92</f>
        <v>156</v>
      </c>
      <c r="Z120" s="884">
        <f>1+3</f>
        <v>4</v>
      </c>
      <c r="AA120" s="884">
        <v>3</v>
      </c>
      <c r="AB120" s="1417">
        <v>3</v>
      </c>
      <c r="AC120" s="1455"/>
    </row>
    <row r="121" spans="1:29" ht="34.35" customHeight="1">
      <c r="A121" s="59" t="s">
        <v>309</v>
      </c>
      <c r="B121" s="61" t="s">
        <v>325</v>
      </c>
      <c r="C121" s="29">
        <v>22</v>
      </c>
      <c r="D121" s="6" t="s">
        <v>329</v>
      </c>
      <c r="E121" s="14" t="s">
        <v>136</v>
      </c>
      <c r="F121" s="2" t="s">
        <v>327</v>
      </c>
      <c r="G121" s="2" t="s">
        <v>40</v>
      </c>
      <c r="H121" s="922" t="s">
        <v>41</v>
      </c>
      <c r="I121" s="879">
        <v>45809</v>
      </c>
      <c r="J121" s="921"/>
      <c r="K121" s="884">
        <v>1.21</v>
      </c>
      <c r="L121" s="884">
        <v>3.53</v>
      </c>
      <c r="M121" s="884">
        <v>1.33</v>
      </c>
      <c r="N121" s="926">
        <f>4246741.44/1000000</f>
        <v>4.2467414400000001</v>
      </c>
      <c r="O121" s="926">
        <f>5.77</f>
        <v>5.77</v>
      </c>
      <c r="P121" s="926"/>
      <c r="Q121" s="926"/>
      <c r="R121" s="926"/>
      <c r="S121" s="1446">
        <f>1286910.85/1000000</f>
        <v>1.2869108500000002</v>
      </c>
      <c r="T121" s="1447"/>
      <c r="U121" s="926"/>
      <c r="V121" s="926">
        <f>(36850/1000000)+28.89+0.55</f>
        <v>29.476850000000002</v>
      </c>
      <c r="W121" s="884">
        <v>1.75</v>
      </c>
      <c r="X121" s="884">
        <f>38.7+146.45+0.26</f>
        <v>185.40999999999997</v>
      </c>
      <c r="Y121" s="884">
        <f>48.04+39.85</f>
        <v>87.89</v>
      </c>
      <c r="Z121" s="887">
        <f>(23000/1000000)+0.46</f>
        <v>0.48300000000000004</v>
      </c>
      <c r="AA121" s="884">
        <v>0.79</v>
      </c>
      <c r="AB121" s="1417">
        <v>2.96</v>
      </c>
      <c r="AC121" s="1455"/>
    </row>
    <row r="122" spans="1:29" ht="34.35" customHeight="1">
      <c r="A122" s="59" t="s">
        <v>309</v>
      </c>
      <c r="B122" s="61" t="s">
        <v>325</v>
      </c>
      <c r="C122" s="29">
        <v>23</v>
      </c>
      <c r="D122" s="98" t="s">
        <v>330</v>
      </c>
      <c r="E122" s="14" t="s">
        <v>38</v>
      </c>
      <c r="F122" s="2" t="s">
        <v>327</v>
      </c>
      <c r="G122" s="2" t="s">
        <v>40</v>
      </c>
      <c r="H122" s="922" t="s">
        <v>41</v>
      </c>
      <c r="I122" s="879">
        <v>45809</v>
      </c>
      <c r="J122" s="921"/>
      <c r="K122" s="884">
        <v>16</v>
      </c>
      <c r="L122" s="884">
        <v>7</v>
      </c>
      <c r="M122" s="884">
        <v>1</v>
      </c>
      <c r="N122" s="884"/>
      <c r="O122" s="884">
        <v>3</v>
      </c>
      <c r="P122" s="884"/>
      <c r="Q122" s="884">
        <v>2</v>
      </c>
      <c r="R122" s="884">
        <v>1</v>
      </c>
      <c r="S122" s="1417">
        <v>6</v>
      </c>
      <c r="T122" s="883"/>
      <c r="U122" s="884"/>
      <c r="V122" s="884">
        <f>2+4</f>
        <v>6</v>
      </c>
      <c r="W122" s="884">
        <v>1</v>
      </c>
      <c r="X122" s="884">
        <v>2</v>
      </c>
      <c r="Y122" s="884">
        <f>97+201</f>
        <v>298</v>
      </c>
      <c r="Z122" s="884">
        <v>1</v>
      </c>
      <c r="AA122" s="884">
        <v>3</v>
      </c>
      <c r="AB122" s="1417">
        <v>3</v>
      </c>
      <c r="AC122" s="1455"/>
    </row>
    <row r="123" spans="1:29" ht="34.35" customHeight="1">
      <c r="A123" s="59" t="s">
        <v>309</v>
      </c>
      <c r="B123" s="61" t="s">
        <v>325</v>
      </c>
      <c r="C123" s="29">
        <v>24</v>
      </c>
      <c r="D123" s="6" t="s">
        <v>462</v>
      </c>
      <c r="E123" s="14" t="s">
        <v>136</v>
      </c>
      <c r="F123" s="2" t="s">
        <v>327</v>
      </c>
      <c r="G123" s="2" t="s">
        <v>40</v>
      </c>
      <c r="H123" s="922" t="s">
        <v>41</v>
      </c>
      <c r="I123" s="879">
        <v>45809</v>
      </c>
      <c r="J123" s="921"/>
      <c r="K123" s="884">
        <v>5.37</v>
      </c>
      <c r="L123" s="884">
        <v>2.52</v>
      </c>
      <c r="M123" s="884">
        <v>0.35</v>
      </c>
      <c r="N123" s="884"/>
      <c r="O123" s="926">
        <v>2.2200000000000002</v>
      </c>
      <c r="P123" s="884"/>
      <c r="Q123" s="884">
        <v>0.45</v>
      </c>
      <c r="R123" s="884">
        <v>0.18</v>
      </c>
      <c r="S123" s="1446">
        <f>1706581.65/1000000</f>
        <v>1.70658165</v>
      </c>
      <c r="T123" s="883"/>
      <c r="U123" s="884"/>
      <c r="V123" s="884">
        <f>1.66+29.8</f>
        <v>31.46</v>
      </c>
      <c r="W123" s="884">
        <v>1.07</v>
      </c>
      <c r="X123" s="926">
        <f>220000/1000000</f>
        <v>0.22</v>
      </c>
      <c r="Y123" s="926">
        <f>(57070896.34/1000000)+87.31</f>
        <v>144.38089633999999</v>
      </c>
      <c r="Z123" s="884">
        <v>0.21</v>
      </c>
      <c r="AA123" s="884">
        <v>8.3000000000000007</v>
      </c>
      <c r="AB123" s="1417">
        <v>2.57</v>
      </c>
      <c r="AC123" s="1455"/>
    </row>
    <row r="124" spans="1:29" ht="34.35" customHeight="1">
      <c r="A124" s="59" t="s">
        <v>309</v>
      </c>
      <c r="B124" s="61" t="s">
        <v>325</v>
      </c>
      <c r="C124" s="29">
        <v>25</v>
      </c>
      <c r="D124" s="83" t="s">
        <v>331</v>
      </c>
      <c r="E124" s="14" t="s">
        <v>38</v>
      </c>
      <c r="F124" s="2" t="s">
        <v>327</v>
      </c>
      <c r="G124" s="2" t="s">
        <v>332</v>
      </c>
      <c r="H124" s="922">
        <v>0</v>
      </c>
      <c r="I124" s="879">
        <v>45809</v>
      </c>
      <c r="J124" s="921"/>
      <c r="K124" s="884"/>
      <c r="L124" s="884"/>
      <c r="M124" s="884"/>
      <c r="N124" s="884"/>
      <c r="O124" s="884">
        <v>1</v>
      </c>
      <c r="P124" s="884"/>
      <c r="Q124" s="884"/>
      <c r="R124" s="884"/>
      <c r="S124" s="1417">
        <v>2</v>
      </c>
      <c r="T124" s="883"/>
      <c r="U124" s="884"/>
      <c r="V124" s="884">
        <v>2</v>
      </c>
      <c r="W124" s="884"/>
      <c r="X124" s="884">
        <v>3</v>
      </c>
      <c r="Y124" s="884">
        <f>24+7</f>
        <v>31</v>
      </c>
      <c r="Z124" s="884"/>
      <c r="AA124" s="884"/>
      <c r="AB124" s="1417"/>
      <c r="AC124" s="1454"/>
    </row>
    <row r="125" spans="1:29" ht="34.35" customHeight="1">
      <c r="A125" s="59" t="s">
        <v>309</v>
      </c>
      <c r="B125" s="61" t="s">
        <v>325</v>
      </c>
      <c r="C125" s="29">
        <v>26</v>
      </c>
      <c r="D125" s="5" t="s">
        <v>463</v>
      </c>
      <c r="E125" s="14" t="s">
        <v>136</v>
      </c>
      <c r="F125" s="2" t="s">
        <v>327</v>
      </c>
      <c r="G125" s="2" t="s">
        <v>332</v>
      </c>
      <c r="H125" s="922">
        <v>0</v>
      </c>
      <c r="I125" s="879">
        <v>45809</v>
      </c>
      <c r="J125" s="921"/>
      <c r="K125" s="884"/>
      <c r="L125" s="884"/>
      <c r="M125" s="884"/>
      <c r="N125" s="884"/>
      <c r="O125" s="884">
        <v>0.98</v>
      </c>
      <c r="P125" s="884"/>
      <c r="Q125" s="884"/>
      <c r="R125" s="884"/>
      <c r="S125" s="1417">
        <v>0.87</v>
      </c>
      <c r="T125" s="883"/>
      <c r="U125" s="884"/>
      <c r="V125" s="884">
        <v>4.59</v>
      </c>
      <c r="W125" s="884"/>
      <c r="X125" s="884">
        <v>3.33</v>
      </c>
      <c r="Y125" s="884">
        <f>15.61+3.06</f>
        <v>18.669999999999998</v>
      </c>
      <c r="Z125" s="884"/>
      <c r="AA125" s="884"/>
      <c r="AB125" s="1417"/>
      <c r="AC125" s="1454"/>
    </row>
    <row r="126" spans="1:29" ht="34.35" customHeight="1">
      <c r="A126" s="59" t="s">
        <v>309</v>
      </c>
      <c r="B126" s="61" t="s">
        <v>325</v>
      </c>
      <c r="C126" s="29">
        <v>27</v>
      </c>
      <c r="D126" s="99" t="s">
        <v>464</v>
      </c>
      <c r="E126" s="14" t="s">
        <v>38</v>
      </c>
      <c r="F126" s="2" t="s">
        <v>327</v>
      </c>
      <c r="G126" s="2" t="s">
        <v>332</v>
      </c>
      <c r="H126" s="922">
        <v>0</v>
      </c>
      <c r="I126" s="879">
        <v>45809</v>
      </c>
      <c r="J126" s="921"/>
      <c r="K126" s="884"/>
      <c r="L126" s="884">
        <v>1</v>
      </c>
      <c r="M126" s="884"/>
      <c r="N126" s="884"/>
      <c r="O126" s="884">
        <f>1+1</f>
        <v>2</v>
      </c>
      <c r="P126" s="884"/>
      <c r="Q126" s="884"/>
      <c r="R126" s="884"/>
      <c r="S126" s="1417"/>
      <c r="T126" s="883"/>
      <c r="U126" s="884"/>
      <c r="V126" s="884"/>
      <c r="W126" s="884"/>
      <c r="X126" s="884">
        <v>21</v>
      </c>
      <c r="Y126" s="884">
        <f>21+13</f>
        <v>34</v>
      </c>
      <c r="Z126" s="884"/>
      <c r="AA126" s="884"/>
      <c r="AB126" s="1417"/>
      <c r="AC126" s="1454"/>
    </row>
    <row r="127" spans="1:29" ht="34.35" customHeight="1">
      <c r="A127" s="59" t="s">
        <v>309</v>
      </c>
      <c r="B127" s="61" t="s">
        <v>325</v>
      </c>
      <c r="C127" s="29">
        <v>28</v>
      </c>
      <c r="D127" s="5" t="s">
        <v>464</v>
      </c>
      <c r="E127" s="14" t="s">
        <v>136</v>
      </c>
      <c r="F127" s="2" t="s">
        <v>327</v>
      </c>
      <c r="G127" s="2" t="s">
        <v>332</v>
      </c>
      <c r="H127" s="922">
        <v>0</v>
      </c>
      <c r="I127" s="879">
        <v>45809</v>
      </c>
      <c r="J127" s="921"/>
      <c r="K127" s="884"/>
      <c r="L127" s="884">
        <v>0.5</v>
      </c>
      <c r="M127" s="884"/>
      <c r="N127" s="884"/>
      <c r="O127" s="884">
        <f>0.5+0.65</f>
        <v>1.1499999999999999</v>
      </c>
      <c r="P127" s="884"/>
      <c r="Q127" s="884"/>
      <c r="R127" s="884"/>
      <c r="S127" s="1417"/>
      <c r="T127" s="883"/>
      <c r="U127" s="884"/>
      <c r="V127" s="884"/>
      <c r="W127" s="884"/>
      <c r="X127" s="884">
        <f>27.5</f>
        <v>27.5</v>
      </c>
      <c r="Y127" s="884">
        <f>8.1+10</f>
        <v>18.100000000000001</v>
      </c>
      <c r="Z127" s="884"/>
      <c r="AA127" s="884"/>
      <c r="AB127" s="1417"/>
      <c r="AC127" s="1454"/>
    </row>
    <row r="128" spans="1:29" ht="34.35" customHeight="1">
      <c r="A128" s="59" t="s">
        <v>309</v>
      </c>
      <c r="B128" s="61" t="s">
        <v>325</v>
      </c>
      <c r="C128" s="29">
        <v>29</v>
      </c>
      <c r="D128" s="5" t="s">
        <v>336</v>
      </c>
      <c r="E128" s="14" t="s">
        <v>38</v>
      </c>
      <c r="F128" s="2" t="s">
        <v>316</v>
      </c>
      <c r="G128" s="2" t="s">
        <v>40</v>
      </c>
      <c r="H128" s="922">
        <v>0</v>
      </c>
      <c r="I128" s="879">
        <v>45809</v>
      </c>
      <c r="J128" s="921"/>
      <c r="K128" s="884"/>
      <c r="L128" s="884"/>
      <c r="M128" s="884"/>
      <c r="N128" s="884"/>
      <c r="O128" s="884"/>
      <c r="P128" s="884"/>
      <c r="Q128" s="884"/>
      <c r="R128" s="884"/>
      <c r="S128" s="1417"/>
      <c r="T128" s="1442">
        <v>10</v>
      </c>
      <c r="U128" s="1419">
        <v>58</v>
      </c>
      <c r="V128" s="1419">
        <v>48</v>
      </c>
      <c r="W128" s="1419">
        <v>4</v>
      </c>
      <c r="X128" s="1419">
        <v>34</v>
      </c>
      <c r="Y128" s="1419">
        <v>4</v>
      </c>
      <c r="Z128" s="1419">
        <v>0</v>
      </c>
      <c r="AA128" s="1419">
        <v>8</v>
      </c>
      <c r="AB128" s="1421">
        <v>2</v>
      </c>
      <c r="AC128" s="1454"/>
    </row>
    <row r="129" spans="1:29" ht="34.35" customHeight="1">
      <c r="A129" s="59" t="s">
        <v>309</v>
      </c>
      <c r="B129" s="61" t="s">
        <v>325</v>
      </c>
      <c r="C129" s="29">
        <v>30</v>
      </c>
      <c r="D129" s="5" t="s">
        <v>336</v>
      </c>
      <c r="E129" s="14" t="s">
        <v>136</v>
      </c>
      <c r="F129" s="2" t="s">
        <v>316</v>
      </c>
      <c r="G129" s="2" t="s">
        <v>40</v>
      </c>
      <c r="H129" s="922">
        <v>0</v>
      </c>
      <c r="I129" s="879">
        <v>45809</v>
      </c>
      <c r="J129" s="921"/>
      <c r="K129" s="884"/>
      <c r="L129" s="884"/>
      <c r="M129" s="884"/>
      <c r="N129" s="884"/>
      <c r="O129" s="884"/>
      <c r="P129" s="884"/>
      <c r="Q129" s="884"/>
      <c r="R129" s="884"/>
      <c r="S129" s="1417"/>
      <c r="T129" s="1447">
        <v>2.0825999999999998</v>
      </c>
      <c r="U129" s="926">
        <v>1.006416</v>
      </c>
      <c r="V129" s="926">
        <v>0.65158499999999997</v>
      </c>
      <c r="W129" s="926">
        <v>3.8999999999999998E-3</v>
      </c>
      <c r="X129" s="926">
        <v>1.1399999999999999</v>
      </c>
      <c r="Y129" s="926">
        <v>0.11883000000000001</v>
      </c>
      <c r="Z129" s="884"/>
      <c r="AA129" s="926">
        <v>3.8967999999999998</v>
      </c>
      <c r="AB129" s="1448">
        <v>7.1999999999999998E-3</v>
      </c>
      <c r="AC129" s="1454"/>
    </row>
    <row r="130" spans="1:29" ht="34.35" customHeight="1">
      <c r="A130" s="59" t="s">
        <v>309</v>
      </c>
      <c r="B130" s="61" t="s">
        <v>325</v>
      </c>
      <c r="C130" s="29">
        <v>31</v>
      </c>
      <c r="D130" s="5" t="s">
        <v>338</v>
      </c>
      <c r="E130" s="14" t="s">
        <v>38</v>
      </c>
      <c r="F130" s="2" t="s">
        <v>316</v>
      </c>
      <c r="G130" s="2" t="s">
        <v>40</v>
      </c>
      <c r="H130" s="922">
        <v>0</v>
      </c>
      <c r="I130" s="879">
        <v>45809</v>
      </c>
      <c r="J130" s="921"/>
      <c r="K130" s="884"/>
      <c r="L130" s="884"/>
      <c r="M130" s="884"/>
      <c r="N130" s="884"/>
      <c r="O130" s="884"/>
      <c r="P130" s="884"/>
      <c r="Q130" s="884"/>
      <c r="R130" s="884"/>
      <c r="S130" s="1417"/>
      <c r="T130" s="1442">
        <v>6</v>
      </c>
      <c r="U130" s="1419">
        <v>0</v>
      </c>
      <c r="V130" s="1419">
        <v>2</v>
      </c>
      <c r="W130" s="1419">
        <v>0</v>
      </c>
      <c r="X130" s="1419">
        <v>0</v>
      </c>
      <c r="Y130" s="1419">
        <v>74</v>
      </c>
      <c r="Z130" s="1419">
        <v>0</v>
      </c>
      <c r="AA130" s="1419">
        <v>0</v>
      </c>
      <c r="AB130" s="1449">
        <v>0</v>
      </c>
      <c r="AC130" s="1454"/>
    </row>
    <row r="131" spans="1:29" ht="34.35" customHeight="1">
      <c r="A131" s="59" t="s">
        <v>309</v>
      </c>
      <c r="B131" s="61" t="s">
        <v>325</v>
      </c>
      <c r="C131" s="29">
        <v>32</v>
      </c>
      <c r="D131" s="5" t="s">
        <v>338</v>
      </c>
      <c r="E131" s="14" t="s">
        <v>136</v>
      </c>
      <c r="F131" s="2" t="s">
        <v>316</v>
      </c>
      <c r="G131" s="2" t="s">
        <v>40</v>
      </c>
      <c r="H131" s="922">
        <v>0</v>
      </c>
      <c r="I131" s="879">
        <v>45809</v>
      </c>
      <c r="J131" s="921"/>
      <c r="K131" s="884"/>
      <c r="L131" s="884"/>
      <c r="M131" s="884"/>
      <c r="N131" s="884"/>
      <c r="O131" s="884"/>
      <c r="P131" s="884"/>
      <c r="Q131" s="884"/>
      <c r="R131" s="884"/>
      <c r="S131" s="1417"/>
      <c r="T131" s="1447">
        <v>0.96</v>
      </c>
      <c r="U131" s="926">
        <v>0</v>
      </c>
      <c r="V131" s="926">
        <v>0.22</v>
      </c>
      <c r="W131" s="926">
        <v>0</v>
      </c>
      <c r="X131" s="926">
        <v>0</v>
      </c>
      <c r="Y131" s="926">
        <v>10.15</v>
      </c>
      <c r="Z131" s="926">
        <v>0</v>
      </c>
      <c r="AA131" s="926">
        <v>0</v>
      </c>
      <c r="AB131" s="1448">
        <v>0</v>
      </c>
      <c r="AC131" s="1454"/>
    </row>
    <row r="132" spans="1:29" ht="34.35" customHeight="1">
      <c r="A132" s="59" t="s">
        <v>309</v>
      </c>
      <c r="B132" s="61" t="s">
        <v>325</v>
      </c>
      <c r="C132" s="29">
        <v>33</v>
      </c>
      <c r="D132" s="5" t="s">
        <v>339</v>
      </c>
      <c r="E132" s="14" t="s">
        <v>133</v>
      </c>
      <c r="F132" s="2" t="s">
        <v>340</v>
      </c>
      <c r="G132" s="2" t="s">
        <v>341</v>
      </c>
      <c r="H132" s="927">
        <v>5.0000000000000001E-3</v>
      </c>
      <c r="I132" s="879">
        <v>45809</v>
      </c>
      <c r="J132" s="921"/>
      <c r="K132" s="884"/>
      <c r="L132" s="884"/>
      <c r="M132" s="884"/>
      <c r="N132" s="884"/>
      <c r="O132" s="884"/>
      <c r="P132" s="884"/>
      <c r="Q132" s="884"/>
      <c r="R132" s="884"/>
      <c r="S132" s="1417"/>
      <c r="T132" s="883"/>
      <c r="U132" s="884"/>
      <c r="V132" s="884"/>
      <c r="W132" s="884"/>
      <c r="X132" s="884"/>
      <c r="Y132" s="884"/>
      <c r="Z132" s="884"/>
      <c r="AA132" s="884"/>
      <c r="AB132" s="1417"/>
      <c r="AC132" s="1457" t="s">
        <v>465</v>
      </c>
    </row>
    <row r="133" spans="1:29" ht="34.35" customHeight="1">
      <c r="A133" s="59" t="s">
        <v>309</v>
      </c>
      <c r="B133" s="61" t="s">
        <v>325</v>
      </c>
      <c r="C133" s="29">
        <v>34</v>
      </c>
      <c r="D133" s="5" t="s">
        <v>339</v>
      </c>
      <c r="E133" s="14" t="s">
        <v>136</v>
      </c>
      <c r="F133" s="2" t="s">
        <v>340</v>
      </c>
      <c r="G133" s="2" t="s">
        <v>341</v>
      </c>
      <c r="H133" s="928" t="s">
        <v>41</v>
      </c>
      <c r="I133" s="879">
        <v>45809</v>
      </c>
      <c r="J133" s="921"/>
      <c r="K133" s="884"/>
      <c r="L133" s="884"/>
      <c r="M133" s="884"/>
      <c r="N133" s="884"/>
      <c r="O133" s="884"/>
      <c r="P133" s="884"/>
      <c r="Q133" s="884"/>
      <c r="R133" s="884"/>
      <c r="S133" s="1417"/>
      <c r="T133" s="883"/>
      <c r="U133" s="884"/>
      <c r="V133" s="884"/>
      <c r="W133" s="884"/>
      <c r="X133" s="884"/>
      <c r="Y133" s="884"/>
      <c r="Z133" s="884"/>
      <c r="AA133" s="884"/>
      <c r="AB133" s="1417"/>
      <c r="AC133" s="1454"/>
    </row>
    <row r="134" spans="1:29" ht="34.35" customHeight="1">
      <c r="A134" s="59" t="s">
        <v>309</v>
      </c>
      <c r="B134" s="61" t="s">
        <v>325</v>
      </c>
      <c r="C134" s="29">
        <v>35</v>
      </c>
      <c r="D134" s="5" t="s">
        <v>342</v>
      </c>
      <c r="E134" s="14" t="s">
        <v>133</v>
      </c>
      <c r="F134" s="2" t="s">
        <v>106</v>
      </c>
      <c r="G134" s="2" t="s">
        <v>285</v>
      </c>
      <c r="H134" s="871">
        <v>3.5900000000000001E-2</v>
      </c>
      <c r="I134" s="879">
        <v>45809</v>
      </c>
      <c r="J134" s="921"/>
      <c r="K134" s="884"/>
      <c r="L134" s="884"/>
      <c r="M134" s="884"/>
      <c r="N134" s="884"/>
      <c r="O134" s="884"/>
      <c r="P134" s="884"/>
      <c r="Q134" s="884"/>
      <c r="R134" s="884"/>
      <c r="S134" s="1417"/>
      <c r="T134" s="883"/>
      <c r="U134" s="884"/>
      <c r="V134" s="871">
        <v>3.2399999999999998E-2</v>
      </c>
      <c r="W134" s="884"/>
      <c r="X134" s="884"/>
      <c r="Y134" s="884"/>
      <c r="Z134" s="884"/>
      <c r="AA134" s="884"/>
      <c r="AB134" s="1417"/>
      <c r="AC134" s="1454"/>
    </row>
    <row r="135" spans="1:29" ht="34.35" customHeight="1">
      <c r="A135" s="59" t="s">
        <v>309</v>
      </c>
      <c r="B135" s="61" t="s">
        <v>325</v>
      </c>
      <c r="C135" s="29">
        <v>36</v>
      </c>
      <c r="D135" s="5" t="s">
        <v>342</v>
      </c>
      <c r="E135" s="14" t="s">
        <v>136</v>
      </c>
      <c r="F135" s="2" t="s">
        <v>106</v>
      </c>
      <c r="G135" s="2" t="s">
        <v>285</v>
      </c>
      <c r="H135" s="874">
        <v>658.68750000000011</v>
      </c>
      <c r="I135" s="879">
        <v>45809</v>
      </c>
      <c r="J135" s="921"/>
      <c r="K135" s="884"/>
      <c r="L135" s="884"/>
      <c r="M135" s="884"/>
      <c r="N135" s="884"/>
      <c r="O135" s="884"/>
      <c r="P135" s="884"/>
      <c r="Q135" s="884"/>
      <c r="R135" s="884"/>
      <c r="S135" s="1417"/>
      <c r="T135" s="883"/>
      <c r="U135" s="884"/>
      <c r="V135" s="874">
        <v>616.6</v>
      </c>
      <c r="W135" s="884"/>
      <c r="X135" s="884"/>
      <c r="Y135" s="884"/>
      <c r="Z135" s="884"/>
      <c r="AA135" s="884"/>
      <c r="AB135" s="1417"/>
      <c r="AC135" s="1454"/>
    </row>
    <row r="136" spans="1:29" ht="34.35" customHeight="1">
      <c r="A136" s="59" t="s">
        <v>309</v>
      </c>
      <c r="B136" s="61" t="s">
        <v>325</v>
      </c>
      <c r="C136" s="29">
        <v>37</v>
      </c>
      <c r="D136" s="6" t="s">
        <v>343</v>
      </c>
      <c r="E136" s="14" t="s">
        <v>38</v>
      </c>
      <c r="F136" s="2" t="s">
        <v>105</v>
      </c>
      <c r="G136" s="2"/>
      <c r="H136" s="925" t="s">
        <v>41</v>
      </c>
      <c r="I136" s="879">
        <v>45809</v>
      </c>
      <c r="J136" s="921"/>
      <c r="K136" s="884"/>
      <c r="L136" s="884"/>
      <c r="M136" s="884"/>
      <c r="N136" s="884"/>
      <c r="O136" s="884"/>
      <c r="P136" s="884"/>
      <c r="Q136" s="884"/>
      <c r="R136" s="884"/>
      <c r="S136" s="1417"/>
      <c r="T136" s="883"/>
      <c r="U136" s="884"/>
      <c r="V136" s="884"/>
      <c r="W136" s="884"/>
      <c r="X136" s="884"/>
      <c r="Y136" s="884"/>
      <c r="Z136" s="884"/>
      <c r="AA136" s="884"/>
      <c r="AB136" s="1417"/>
      <c r="AC136" s="1455"/>
    </row>
    <row r="137" spans="1:29" ht="34.35" customHeight="1">
      <c r="A137" s="59" t="s">
        <v>309</v>
      </c>
      <c r="B137" s="61" t="s">
        <v>325</v>
      </c>
      <c r="C137" s="29">
        <v>38</v>
      </c>
      <c r="D137" s="6" t="s">
        <v>343</v>
      </c>
      <c r="E137" s="14" t="s">
        <v>136</v>
      </c>
      <c r="F137" s="2" t="s">
        <v>105</v>
      </c>
      <c r="G137" s="2"/>
      <c r="H137" s="929">
        <f>84578725.86/10^6</f>
        <v>84.578725860000006</v>
      </c>
      <c r="I137" s="879">
        <v>45809</v>
      </c>
      <c r="J137" s="930">
        <f>135074.48/10^6</f>
        <v>0.13507448</v>
      </c>
      <c r="K137" s="884" t="s">
        <v>41</v>
      </c>
      <c r="L137" s="930">
        <f>331401.26/10^6</f>
        <v>0.33140126000000003</v>
      </c>
      <c r="M137" s="884"/>
      <c r="N137" s="930">
        <f>12399.75/10^6</f>
        <v>1.2399749999999999E-2</v>
      </c>
      <c r="O137" s="930">
        <f>1604024.93/10^6</f>
        <v>1.60402493</v>
      </c>
      <c r="P137" s="930">
        <f>59611.96/10^6</f>
        <v>5.9611959999999999E-2</v>
      </c>
      <c r="Q137" s="884" t="s">
        <v>41</v>
      </c>
      <c r="R137" s="930">
        <f>460644.77/10^6</f>
        <v>0.46064477000000004</v>
      </c>
      <c r="S137" s="930">
        <f>290496.2/10^6</f>
        <v>0.29049620000000004</v>
      </c>
      <c r="T137" s="883"/>
      <c r="U137" s="884"/>
      <c r="V137" s="884"/>
      <c r="W137" s="884"/>
      <c r="X137" s="884"/>
      <c r="Y137" s="884"/>
      <c r="Z137" s="884"/>
      <c r="AA137" s="884"/>
      <c r="AB137" s="1417"/>
      <c r="AC137" s="1455"/>
    </row>
    <row r="138" spans="1:29" ht="34.35" customHeight="1">
      <c r="A138" s="59" t="s">
        <v>309</v>
      </c>
      <c r="B138" s="61" t="s">
        <v>325</v>
      </c>
      <c r="C138" s="29">
        <v>39</v>
      </c>
      <c r="D138" s="5" t="s">
        <v>344</v>
      </c>
      <c r="E138" s="14" t="s">
        <v>136</v>
      </c>
      <c r="F138" s="2" t="s">
        <v>110</v>
      </c>
      <c r="G138" s="2" t="s">
        <v>345</v>
      </c>
      <c r="H138" s="920">
        <v>3.17</v>
      </c>
      <c r="I138" s="879">
        <v>45809</v>
      </c>
      <c r="J138" s="921"/>
      <c r="K138" s="884"/>
      <c r="L138" s="884"/>
      <c r="M138" s="884"/>
      <c r="N138" s="884"/>
      <c r="O138" s="884"/>
      <c r="P138" s="884"/>
      <c r="Q138" s="884"/>
      <c r="R138" s="884"/>
      <c r="S138" s="1417"/>
      <c r="T138" s="883"/>
      <c r="U138" s="884"/>
      <c r="V138" s="884"/>
      <c r="W138" s="884"/>
      <c r="X138" s="884"/>
      <c r="Y138" s="884"/>
      <c r="Z138" s="884">
        <v>1.31</v>
      </c>
      <c r="AA138" s="884"/>
      <c r="AB138" s="1417"/>
      <c r="AC138" s="1454"/>
    </row>
    <row r="139" spans="1:29" ht="34.35" customHeight="1">
      <c r="A139" s="59" t="s">
        <v>309</v>
      </c>
      <c r="B139" s="61" t="s">
        <v>325</v>
      </c>
      <c r="C139" s="29">
        <v>40</v>
      </c>
      <c r="D139" s="5" t="s">
        <v>346</v>
      </c>
      <c r="E139" s="14" t="s">
        <v>136</v>
      </c>
      <c r="F139" s="2" t="s">
        <v>110</v>
      </c>
      <c r="G139" s="2" t="s">
        <v>345</v>
      </c>
      <c r="H139" s="920">
        <v>5.84</v>
      </c>
      <c r="I139" s="879">
        <v>45809</v>
      </c>
      <c r="J139" s="921"/>
      <c r="K139" s="884"/>
      <c r="L139" s="884"/>
      <c r="M139" s="884"/>
      <c r="N139" s="884"/>
      <c r="O139" s="884"/>
      <c r="P139" s="884"/>
      <c r="Q139" s="884"/>
      <c r="R139" s="884"/>
      <c r="S139" s="1417"/>
      <c r="T139" s="883"/>
      <c r="U139" s="884"/>
      <c r="V139" s="884"/>
      <c r="W139" s="884"/>
      <c r="X139" s="884"/>
      <c r="Y139" s="884"/>
      <c r="Z139" s="884">
        <v>5.43</v>
      </c>
      <c r="AA139" s="884"/>
      <c r="AB139" s="1417"/>
      <c r="AC139" s="1454"/>
    </row>
    <row r="140" spans="1:29" ht="34.35" customHeight="1">
      <c r="A140" s="59" t="s">
        <v>309</v>
      </c>
      <c r="B140" s="61" t="s">
        <v>325</v>
      </c>
      <c r="C140" s="29">
        <v>41</v>
      </c>
      <c r="D140" s="5" t="s">
        <v>347</v>
      </c>
      <c r="E140" s="14" t="s">
        <v>38</v>
      </c>
      <c r="F140" s="2" t="s">
        <v>106</v>
      </c>
      <c r="G140" s="2" t="s">
        <v>285</v>
      </c>
      <c r="H140" s="924"/>
      <c r="I140" s="879">
        <v>45809</v>
      </c>
      <c r="J140" s="921"/>
      <c r="K140" s="884"/>
      <c r="L140" s="884"/>
      <c r="M140" s="884"/>
      <c r="N140" s="884"/>
      <c r="O140" s="884"/>
      <c r="P140" s="884"/>
      <c r="Q140" s="884"/>
      <c r="R140" s="884"/>
      <c r="S140" s="1417"/>
      <c r="T140" s="883"/>
      <c r="U140" s="884"/>
      <c r="V140" s="884"/>
      <c r="W140" s="884"/>
      <c r="X140" s="884"/>
      <c r="Y140" s="884"/>
      <c r="Z140" s="884"/>
      <c r="AA140" s="884"/>
      <c r="AB140" s="1417"/>
      <c r="AC140" s="1454"/>
    </row>
    <row r="141" spans="1:29" ht="34.35" customHeight="1">
      <c r="A141" s="59" t="s">
        <v>309</v>
      </c>
      <c r="B141" s="61" t="s">
        <v>325</v>
      </c>
      <c r="C141" s="29">
        <v>42</v>
      </c>
      <c r="D141" s="5" t="s">
        <v>347</v>
      </c>
      <c r="E141" s="14" t="s">
        <v>136</v>
      </c>
      <c r="F141" s="2" t="s">
        <v>106</v>
      </c>
      <c r="G141" s="2" t="s">
        <v>285</v>
      </c>
      <c r="H141" s="924"/>
      <c r="I141" s="879">
        <v>45809</v>
      </c>
      <c r="J141" s="921"/>
      <c r="K141" s="884"/>
      <c r="L141" s="884"/>
      <c r="M141" s="884"/>
      <c r="N141" s="884"/>
      <c r="O141" s="884"/>
      <c r="P141" s="884"/>
      <c r="Q141" s="884"/>
      <c r="R141" s="884"/>
      <c r="S141" s="1417"/>
      <c r="T141" s="883"/>
      <c r="U141" s="884"/>
      <c r="V141" s="884">
        <v>172</v>
      </c>
      <c r="W141" s="884"/>
      <c r="X141" s="884"/>
      <c r="Y141" s="884"/>
      <c r="Z141" s="884"/>
      <c r="AA141" s="884"/>
      <c r="AB141" s="1417"/>
      <c r="AC141" s="1454"/>
    </row>
    <row r="142" spans="1:29" ht="34.35" customHeight="1">
      <c r="A142" s="59" t="s">
        <v>309</v>
      </c>
      <c r="B142" s="61" t="s">
        <v>325</v>
      </c>
      <c r="C142" s="29">
        <v>43</v>
      </c>
      <c r="D142" s="5" t="s">
        <v>349</v>
      </c>
      <c r="E142" s="14" t="s">
        <v>136</v>
      </c>
      <c r="F142" s="2" t="s">
        <v>340</v>
      </c>
      <c r="G142" s="2" t="s">
        <v>134</v>
      </c>
      <c r="H142" s="920">
        <v>5.4</v>
      </c>
      <c r="I142" s="879">
        <v>45809</v>
      </c>
      <c r="J142" s="921"/>
      <c r="K142" s="884"/>
      <c r="L142" s="884"/>
      <c r="M142" s="884"/>
      <c r="N142" s="884"/>
      <c r="O142" s="884"/>
      <c r="P142" s="884"/>
      <c r="Q142" s="884"/>
      <c r="R142" s="884"/>
      <c r="S142" s="1417"/>
      <c r="T142" s="883"/>
      <c r="U142" s="884"/>
      <c r="V142" s="884"/>
      <c r="W142" s="884"/>
      <c r="X142" s="884"/>
      <c r="Y142" s="884"/>
      <c r="Z142" s="884"/>
      <c r="AA142" s="884"/>
      <c r="AB142" s="1417"/>
      <c r="AC142" s="1454"/>
    </row>
    <row r="143" spans="1:29" ht="34.35" customHeight="1">
      <c r="A143" s="59" t="s">
        <v>309</v>
      </c>
      <c r="B143" s="61" t="s">
        <v>325</v>
      </c>
      <c r="C143" s="29">
        <v>44</v>
      </c>
      <c r="D143" s="5" t="s">
        <v>350</v>
      </c>
      <c r="E143" s="14" t="s">
        <v>38</v>
      </c>
      <c r="F143" s="2" t="s">
        <v>106</v>
      </c>
      <c r="G143" s="2" t="s">
        <v>134</v>
      </c>
      <c r="H143" s="924">
        <v>200</v>
      </c>
      <c r="I143" s="879">
        <v>45809</v>
      </c>
      <c r="J143" s="921"/>
      <c r="K143" s="884"/>
      <c r="L143" s="884"/>
      <c r="M143" s="884"/>
      <c r="N143" s="884"/>
      <c r="O143" s="884"/>
      <c r="P143" s="884"/>
      <c r="Q143" s="884"/>
      <c r="R143" s="884"/>
      <c r="S143" s="1417"/>
      <c r="T143" s="883"/>
      <c r="U143" s="884"/>
      <c r="V143" s="884"/>
      <c r="W143" s="884"/>
      <c r="X143" s="884"/>
      <c r="Y143" s="884"/>
      <c r="Z143" s="884"/>
      <c r="AA143" s="884"/>
      <c r="AB143" s="1417"/>
      <c r="AC143" s="1454"/>
    </row>
    <row r="144" spans="1:29" ht="34.35" customHeight="1">
      <c r="A144" s="59" t="s">
        <v>309</v>
      </c>
      <c r="B144" s="61" t="s">
        <v>325</v>
      </c>
      <c r="C144" s="29">
        <v>45</v>
      </c>
      <c r="D144" s="5" t="s">
        <v>350</v>
      </c>
      <c r="E144" s="14" t="s">
        <v>136</v>
      </c>
      <c r="F144" s="2" t="s">
        <v>106</v>
      </c>
      <c r="G144" s="2" t="s">
        <v>134</v>
      </c>
      <c r="H144" s="924">
        <v>90</v>
      </c>
      <c r="I144" s="879">
        <v>45809</v>
      </c>
      <c r="J144" s="921"/>
      <c r="K144" s="884"/>
      <c r="L144" s="884"/>
      <c r="M144" s="884"/>
      <c r="N144" s="884"/>
      <c r="O144" s="884"/>
      <c r="P144" s="884"/>
      <c r="Q144" s="884"/>
      <c r="R144" s="884"/>
      <c r="S144" s="1417"/>
      <c r="T144" s="883"/>
      <c r="U144" s="884"/>
      <c r="V144" s="884"/>
      <c r="W144" s="884"/>
      <c r="X144" s="884"/>
      <c r="Y144" s="884"/>
      <c r="Z144" s="884"/>
      <c r="AA144" s="884"/>
      <c r="AB144" s="1417"/>
      <c r="AC144" s="1454"/>
    </row>
    <row r="145" spans="1:29" ht="34.35" customHeight="1">
      <c r="A145" s="59" t="s">
        <v>309</v>
      </c>
      <c r="B145" s="62" t="s">
        <v>351</v>
      </c>
      <c r="C145" s="29">
        <v>46</v>
      </c>
      <c r="D145" s="63" t="s">
        <v>41</v>
      </c>
      <c r="E145" s="14" t="s">
        <v>353</v>
      </c>
      <c r="F145" s="2" t="s">
        <v>312</v>
      </c>
      <c r="G145" s="1" t="s">
        <v>40</v>
      </c>
      <c r="H145" s="920">
        <v>1.2</v>
      </c>
      <c r="I145" s="879">
        <v>45809</v>
      </c>
      <c r="J145" s="921"/>
      <c r="K145" s="884"/>
      <c r="L145" s="884"/>
      <c r="M145" s="884"/>
      <c r="N145" s="884"/>
      <c r="O145" s="884"/>
      <c r="P145" s="884"/>
      <c r="Q145" s="884"/>
      <c r="R145" s="884"/>
      <c r="S145" s="1417"/>
      <c r="T145" s="883"/>
      <c r="U145" s="884"/>
      <c r="V145" s="884"/>
      <c r="W145" s="884"/>
      <c r="X145" s="884"/>
      <c r="Y145" s="884"/>
      <c r="Z145" s="884"/>
      <c r="AA145" s="884"/>
      <c r="AB145" s="1417"/>
      <c r="AC145" s="1456" t="s">
        <v>352</v>
      </c>
    </row>
    <row r="146" spans="1:29" ht="34.35" customHeight="1">
      <c r="A146" s="59" t="s">
        <v>309</v>
      </c>
      <c r="B146" s="64" t="s">
        <v>354</v>
      </c>
      <c r="C146" s="29">
        <v>47</v>
      </c>
      <c r="D146" s="63" t="s">
        <v>41</v>
      </c>
      <c r="E146" s="14" t="s">
        <v>353</v>
      </c>
      <c r="F146" s="2" t="s">
        <v>327</v>
      </c>
      <c r="G146" s="1" t="s">
        <v>40</v>
      </c>
      <c r="H146" s="922">
        <v>0</v>
      </c>
      <c r="I146" s="879">
        <v>45809</v>
      </c>
      <c r="J146" s="921"/>
      <c r="K146" s="884"/>
      <c r="L146" s="884"/>
      <c r="M146" s="884"/>
      <c r="N146" s="884"/>
      <c r="O146" s="884"/>
      <c r="P146" s="884"/>
      <c r="Q146" s="884"/>
      <c r="R146" s="884"/>
      <c r="S146" s="1417"/>
      <c r="T146" s="883"/>
      <c r="U146" s="884"/>
      <c r="V146" s="884"/>
      <c r="W146" s="884"/>
      <c r="X146" s="884"/>
      <c r="Y146" s="884"/>
      <c r="Z146" s="884"/>
      <c r="AA146" s="884"/>
      <c r="AB146" s="1417"/>
      <c r="AC146" s="1457" t="s">
        <v>466</v>
      </c>
    </row>
    <row r="147" spans="1:29" ht="34.35" customHeight="1">
      <c r="A147" s="59" t="s">
        <v>309</v>
      </c>
      <c r="B147" s="64" t="s">
        <v>356</v>
      </c>
      <c r="C147" s="29">
        <v>48</v>
      </c>
      <c r="D147" s="63" t="s">
        <v>41</v>
      </c>
      <c r="E147" s="14" t="s">
        <v>353</v>
      </c>
      <c r="F147" s="2" t="s">
        <v>321</v>
      </c>
      <c r="G147" s="1" t="s">
        <v>40</v>
      </c>
      <c r="H147" s="922">
        <v>0</v>
      </c>
      <c r="I147" s="879">
        <v>45809</v>
      </c>
      <c r="J147" s="921" t="s">
        <v>41</v>
      </c>
      <c r="K147" s="884" t="s">
        <v>41</v>
      </c>
      <c r="L147" s="884" t="s">
        <v>41</v>
      </c>
      <c r="M147" s="884" t="s">
        <v>41</v>
      </c>
      <c r="N147" s="884" t="s">
        <v>41</v>
      </c>
      <c r="O147" s="884" t="s">
        <v>41</v>
      </c>
      <c r="P147" s="884" t="s">
        <v>41</v>
      </c>
      <c r="Q147" s="884" t="s">
        <v>41</v>
      </c>
      <c r="R147" s="884" t="s">
        <v>41</v>
      </c>
      <c r="S147" s="1417" t="s">
        <v>41</v>
      </c>
      <c r="T147" s="883" t="s">
        <v>41</v>
      </c>
      <c r="U147" s="884" t="s">
        <v>41</v>
      </c>
      <c r="V147" s="884" t="s">
        <v>41</v>
      </c>
      <c r="W147" s="884" t="s">
        <v>41</v>
      </c>
      <c r="X147" s="884" t="s">
        <v>41</v>
      </c>
      <c r="Y147" s="884" t="s">
        <v>41</v>
      </c>
      <c r="Z147" s="884" t="s">
        <v>41</v>
      </c>
      <c r="AA147" s="884" t="s">
        <v>41</v>
      </c>
      <c r="AB147" s="1417" t="s">
        <v>41</v>
      </c>
      <c r="AC147" s="1457" t="s">
        <v>466</v>
      </c>
    </row>
    <row r="148" spans="1:29" ht="34.35" customHeight="1">
      <c r="A148" s="69" t="s">
        <v>309</v>
      </c>
      <c r="B148" s="11" t="s">
        <v>357</v>
      </c>
      <c r="C148" s="73">
        <v>49</v>
      </c>
      <c r="D148" s="7" t="s">
        <v>41</v>
      </c>
      <c r="E148" s="71" t="s">
        <v>38</v>
      </c>
      <c r="F148" s="2" t="s">
        <v>312</v>
      </c>
      <c r="G148" s="1" t="s">
        <v>41</v>
      </c>
      <c r="I148" s="879">
        <v>45809</v>
      </c>
      <c r="J148" s="931"/>
      <c r="K148" s="887"/>
      <c r="L148" s="887"/>
      <c r="M148" s="887"/>
      <c r="N148" s="887"/>
      <c r="O148" s="887"/>
      <c r="P148" s="887"/>
      <c r="Q148" s="887"/>
      <c r="R148" s="887"/>
      <c r="S148" s="887"/>
      <c r="T148" s="887"/>
      <c r="U148" s="887"/>
      <c r="V148" s="887"/>
      <c r="W148" s="887"/>
      <c r="X148" s="887"/>
      <c r="Y148" s="887"/>
      <c r="Z148" s="887"/>
      <c r="AA148" s="887"/>
      <c r="AC148" s="1459"/>
    </row>
    <row r="149" spans="1:29" ht="34.35" customHeight="1">
      <c r="A149" s="59" t="s">
        <v>309</v>
      </c>
      <c r="B149" s="60" t="s">
        <v>310</v>
      </c>
      <c r="C149" s="29">
        <v>1</v>
      </c>
      <c r="D149" s="5" t="s">
        <v>311</v>
      </c>
      <c r="E149" s="14" t="s">
        <v>38</v>
      </c>
      <c r="F149" s="2" t="s">
        <v>312</v>
      </c>
      <c r="G149" s="2" t="s">
        <v>40</v>
      </c>
      <c r="H149" s="920">
        <v>0</v>
      </c>
      <c r="I149" s="879">
        <v>45839</v>
      </c>
      <c r="J149" s="921"/>
      <c r="K149" s="884"/>
      <c r="L149" s="884"/>
      <c r="M149" s="884"/>
      <c r="N149" s="884"/>
      <c r="O149" s="884"/>
      <c r="P149" s="884"/>
      <c r="Q149" s="884"/>
      <c r="R149" s="884"/>
      <c r="S149" s="1417"/>
      <c r="T149" s="883"/>
      <c r="U149" s="884"/>
      <c r="V149" s="884"/>
      <c r="W149" s="884"/>
      <c r="X149" s="884"/>
      <c r="Y149" s="884"/>
      <c r="Z149" s="884"/>
      <c r="AA149" s="884"/>
      <c r="AB149" s="1417"/>
      <c r="AC149" s="1454"/>
    </row>
    <row r="150" spans="1:29" ht="34.35" customHeight="1">
      <c r="A150" s="59" t="s">
        <v>309</v>
      </c>
      <c r="B150" s="60" t="s">
        <v>310</v>
      </c>
      <c r="C150" s="29">
        <v>2</v>
      </c>
      <c r="D150" s="5" t="s">
        <v>313</v>
      </c>
      <c r="E150" s="14" t="s">
        <v>38</v>
      </c>
      <c r="F150" s="2" t="s">
        <v>312</v>
      </c>
      <c r="G150" s="2" t="s">
        <v>40</v>
      </c>
      <c r="H150" s="920">
        <v>0</v>
      </c>
      <c r="I150" s="879">
        <v>45839</v>
      </c>
      <c r="J150" s="921"/>
      <c r="K150" s="884"/>
      <c r="L150" s="884"/>
      <c r="M150" s="884"/>
      <c r="N150" s="884"/>
      <c r="O150" s="884"/>
      <c r="P150" s="884"/>
      <c r="Q150" s="884"/>
      <c r="R150" s="884"/>
      <c r="S150" s="1417"/>
      <c r="T150" s="883"/>
      <c r="U150" s="884"/>
      <c r="V150" s="884"/>
      <c r="W150" s="884"/>
      <c r="X150" s="884"/>
      <c r="Y150" s="884"/>
      <c r="Z150" s="884"/>
      <c r="AA150" s="884"/>
      <c r="AB150" s="1417"/>
      <c r="AC150" s="1454"/>
    </row>
    <row r="151" spans="1:29" ht="34.35" customHeight="1">
      <c r="A151" s="59" t="s">
        <v>309</v>
      </c>
      <c r="B151" s="60" t="s">
        <v>310</v>
      </c>
      <c r="C151" s="29">
        <v>3</v>
      </c>
      <c r="D151" s="6" t="s">
        <v>314</v>
      </c>
      <c r="E151" s="14" t="s">
        <v>38</v>
      </c>
      <c r="F151" s="2" t="s">
        <v>312</v>
      </c>
      <c r="G151" s="2" t="s">
        <v>40</v>
      </c>
      <c r="H151" s="920">
        <v>0</v>
      </c>
      <c r="I151" s="879">
        <v>45839</v>
      </c>
      <c r="J151" s="921"/>
      <c r="K151" s="884"/>
      <c r="L151" s="884"/>
      <c r="M151" s="884"/>
      <c r="N151" s="884"/>
      <c r="O151" s="884"/>
      <c r="P151" s="884"/>
      <c r="Q151" s="884"/>
      <c r="R151" s="884"/>
      <c r="S151" s="1417"/>
      <c r="T151" s="883"/>
      <c r="U151" s="884"/>
      <c r="V151" s="884"/>
      <c r="W151" s="884"/>
      <c r="X151" s="884"/>
      <c r="Y151" s="884"/>
      <c r="Z151" s="884"/>
      <c r="AA151" s="884"/>
      <c r="AB151" s="1417"/>
      <c r="AC151" s="1455"/>
    </row>
    <row r="152" spans="1:29" ht="34.35" customHeight="1">
      <c r="A152" s="59" t="s">
        <v>309</v>
      </c>
      <c r="B152" s="60" t="s">
        <v>310</v>
      </c>
      <c r="C152" s="29">
        <v>4</v>
      </c>
      <c r="D152" s="5" t="s">
        <v>315</v>
      </c>
      <c r="E152" s="14" t="s">
        <v>38</v>
      </c>
      <c r="F152" s="2" t="s">
        <v>316</v>
      </c>
      <c r="G152" s="2" t="s">
        <v>40</v>
      </c>
      <c r="H152" s="920">
        <v>280</v>
      </c>
      <c r="I152" s="879">
        <v>45839</v>
      </c>
      <c r="J152" s="921"/>
      <c r="K152" s="884"/>
      <c r="L152" s="884"/>
      <c r="M152" s="884"/>
      <c r="N152" s="884"/>
      <c r="O152" s="884"/>
      <c r="P152" s="884"/>
      <c r="Q152" s="884"/>
      <c r="R152" s="884"/>
      <c r="S152" s="922"/>
      <c r="T152" s="883"/>
      <c r="U152" s="884"/>
      <c r="V152" s="884">
        <v>9</v>
      </c>
      <c r="W152" s="884">
        <v>1</v>
      </c>
      <c r="X152" s="884">
        <v>1</v>
      </c>
      <c r="Y152" s="884">
        <v>16</v>
      </c>
      <c r="Z152" s="884"/>
      <c r="AA152" s="884"/>
      <c r="AB152" s="1417"/>
      <c r="AC152" s="1456" t="s">
        <v>458</v>
      </c>
    </row>
    <row r="153" spans="1:29" ht="34.35" customHeight="1">
      <c r="A153" s="59" t="s">
        <v>309</v>
      </c>
      <c r="B153" s="60" t="s">
        <v>310</v>
      </c>
      <c r="C153" s="29">
        <v>5</v>
      </c>
      <c r="D153" s="5" t="s">
        <v>315</v>
      </c>
      <c r="E153" s="14" t="s">
        <v>136</v>
      </c>
      <c r="F153" s="2" t="s">
        <v>316</v>
      </c>
      <c r="G153" s="2" t="s">
        <v>40</v>
      </c>
      <c r="H153" s="920">
        <v>106</v>
      </c>
      <c r="I153" s="879">
        <v>45839</v>
      </c>
      <c r="J153" s="921"/>
      <c r="K153" s="884"/>
      <c r="L153" s="884"/>
      <c r="M153" s="884"/>
      <c r="N153" s="884"/>
      <c r="O153" s="884"/>
      <c r="P153" s="884"/>
      <c r="Q153" s="884"/>
      <c r="R153" s="884"/>
      <c r="S153" s="922"/>
      <c r="T153" s="883"/>
      <c r="U153" s="884"/>
      <c r="V153" s="885">
        <v>1.1408</v>
      </c>
      <c r="W153" s="885">
        <v>1.24E-2</v>
      </c>
      <c r="X153" s="885">
        <v>1.5800000000000002E-2</v>
      </c>
      <c r="Y153" s="885">
        <f>9.6826+0.8458</f>
        <v>10.528400000000001</v>
      </c>
      <c r="Z153" s="884"/>
      <c r="AA153" s="884"/>
      <c r="AB153" s="1417"/>
      <c r="AC153" s="1456" t="s">
        <v>459</v>
      </c>
    </row>
    <row r="154" spans="1:29" ht="34.35" customHeight="1">
      <c r="A154" s="59" t="s">
        <v>309</v>
      </c>
      <c r="B154" s="60" t="s">
        <v>310</v>
      </c>
      <c r="C154" s="29">
        <v>6</v>
      </c>
      <c r="D154" s="5" t="s">
        <v>317</v>
      </c>
      <c r="E154" s="14" t="s">
        <v>38</v>
      </c>
      <c r="F154" s="2" t="s">
        <v>316</v>
      </c>
      <c r="G154" s="2" t="s">
        <v>40</v>
      </c>
      <c r="H154" s="920">
        <v>0</v>
      </c>
      <c r="I154" s="879">
        <v>45839</v>
      </c>
      <c r="J154" s="921"/>
      <c r="K154" s="884"/>
      <c r="L154" s="884"/>
      <c r="M154" s="884"/>
      <c r="N154" s="884"/>
      <c r="O154" s="884"/>
      <c r="P154" s="884"/>
      <c r="Q154" s="884"/>
      <c r="R154" s="884"/>
      <c r="S154" s="1417"/>
      <c r="T154" s="883"/>
      <c r="U154" s="884"/>
      <c r="V154" s="884"/>
      <c r="W154" s="884"/>
      <c r="X154" s="884"/>
      <c r="Y154" s="884"/>
      <c r="Z154" s="884"/>
      <c r="AA154" s="884"/>
      <c r="AB154" s="1417"/>
      <c r="AC154" s="1454"/>
    </row>
    <row r="155" spans="1:29" ht="34.35" customHeight="1">
      <c r="A155" s="59" t="s">
        <v>309</v>
      </c>
      <c r="B155" s="60" t="s">
        <v>310</v>
      </c>
      <c r="C155" s="29">
        <v>7</v>
      </c>
      <c r="D155" s="5" t="s">
        <v>317</v>
      </c>
      <c r="E155" s="14" t="s">
        <v>136</v>
      </c>
      <c r="F155" s="2" t="s">
        <v>316</v>
      </c>
      <c r="G155" s="2" t="s">
        <v>40</v>
      </c>
      <c r="H155" s="920">
        <v>0</v>
      </c>
      <c r="I155" s="879">
        <v>45839</v>
      </c>
      <c r="J155" s="921"/>
      <c r="K155" s="884"/>
      <c r="L155" s="884"/>
      <c r="M155" s="884"/>
      <c r="N155" s="884"/>
      <c r="O155" s="884"/>
      <c r="P155" s="884"/>
      <c r="Q155" s="884"/>
      <c r="R155" s="884"/>
      <c r="S155" s="1417"/>
      <c r="T155" s="883"/>
      <c r="U155" s="884"/>
      <c r="V155" s="884"/>
      <c r="W155" s="884"/>
      <c r="X155" s="884"/>
      <c r="Y155" s="884"/>
      <c r="Z155" s="884"/>
      <c r="AA155" s="884"/>
      <c r="AB155" s="1417"/>
      <c r="AC155" s="1454"/>
    </row>
    <row r="156" spans="1:29" ht="34.35" customHeight="1">
      <c r="A156" s="59" t="s">
        <v>309</v>
      </c>
      <c r="B156" s="60" t="s">
        <v>310</v>
      </c>
      <c r="C156" s="29">
        <v>8</v>
      </c>
      <c r="D156" s="5" t="s">
        <v>318</v>
      </c>
      <c r="E156" s="14" t="s">
        <v>38</v>
      </c>
      <c r="F156" s="2" t="s">
        <v>316</v>
      </c>
      <c r="G156" s="2" t="s">
        <v>40</v>
      </c>
      <c r="H156" s="920">
        <v>192</v>
      </c>
      <c r="I156" s="879">
        <v>45839</v>
      </c>
      <c r="J156" s="921"/>
      <c r="K156" s="884"/>
      <c r="L156" s="884"/>
      <c r="M156" s="884"/>
      <c r="N156" s="884"/>
      <c r="O156" s="884"/>
      <c r="P156" s="884"/>
      <c r="Q156" s="884"/>
      <c r="R156" s="884"/>
      <c r="S156" s="1417"/>
      <c r="T156" s="883"/>
      <c r="U156" s="884"/>
      <c r="V156" s="884"/>
      <c r="W156" s="884"/>
      <c r="X156" s="884"/>
      <c r="Y156" s="884"/>
      <c r="Z156" s="884"/>
      <c r="AA156" s="884"/>
      <c r="AB156" s="1417"/>
      <c r="AC156" s="1456" t="s">
        <v>460</v>
      </c>
    </row>
    <row r="157" spans="1:29" ht="34.35" customHeight="1">
      <c r="A157" s="59" t="s">
        <v>309</v>
      </c>
      <c r="B157" s="60" t="s">
        <v>310</v>
      </c>
      <c r="C157" s="29">
        <v>9</v>
      </c>
      <c r="D157" s="5" t="s">
        <v>318</v>
      </c>
      <c r="E157" s="14" t="s">
        <v>136</v>
      </c>
      <c r="F157" s="2" t="s">
        <v>316</v>
      </c>
      <c r="G157" s="2" t="s">
        <v>40</v>
      </c>
      <c r="H157" s="920">
        <v>307</v>
      </c>
      <c r="I157" s="879">
        <v>45839</v>
      </c>
      <c r="J157" s="921"/>
      <c r="K157" s="884"/>
      <c r="L157" s="884"/>
      <c r="M157" s="884"/>
      <c r="N157" s="884"/>
      <c r="O157" s="884"/>
      <c r="P157" s="884"/>
      <c r="Q157" s="884"/>
      <c r="R157" s="884"/>
      <c r="S157" s="1417"/>
      <c r="T157" s="883"/>
      <c r="U157" s="884"/>
      <c r="V157" s="884"/>
      <c r="W157" s="884"/>
      <c r="X157" s="884"/>
      <c r="Y157" s="884"/>
      <c r="Z157" s="884"/>
      <c r="AA157" s="884"/>
      <c r="AB157" s="1417"/>
      <c r="AC157" s="1456" t="s">
        <v>461</v>
      </c>
    </row>
    <row r="158" spans="1:29" ht="34.35" customHeight="1">
      <c r="A158" s="59" t="s">
        <v>309</v>
      </c>
      <c r="B158" s="60" t="s">
        <v>319</v>
      </c>
      <c r="C158" s="29">
        <v>10</v>
      </c>
      <c r="D158" s="5" t="s">
        <v>320</v>
      </c>
      <c r="E158" s="14" t="s">
        <v>38</v>
      </c>
      <c r="F158" s="2" t="s">
        <v>321</v>
      </c>
      <c r="G158" s="2" t="s">
        <v>40</v>
      </c>
      <c r="H158" s="920">
        <v>0</v>
      </c>
      <c r="I158" s="879">
        <v>45839</v>
      </c>
      <c r="J158" s="921">
        <v>0</v>
      </c>
      <c r="K158" s="884">
        <v>0</v>
      </c>
      <c r="L158" s="884">
        <v>0</v>
      </c>
      <c r="M158" s="884">
        <v>0</v>
      </c>
      <c r="N158" s="884">
        <v>0</v>
      </c>
      <c r="O158" s="884">
        <v>0</v>
      </c>
      <c r="P158" s="884">
        <v>0</v>
      </c>
      <c r="Q158" s="884">
        <v>0</v>
      </c>
      <c r="R158" s="884">
        <v>0</v>
      </c>
      <c r="S158" s="1417">
        <v>0</v>
      </c>
      <c r="T158" s="883">
        <v>0</v>
      </c>
      <c r="U158" s="884">
        <v>0</v>
      </c>
      <c r="V158" s="884">
        <v>0</v>
      </c>
      <c r="W158" s="884">
        <v>0</v>
      </c>
      <c r="X158" s="884">
        <v>0</v>
      </c>
      <c r="Y158" s="884">
        <v>0</v>
      </c>
      <c r="Z158" s="884">
        <v>0</v>
      </c>
      <c r="AA158" s="884">
        <v>0</v>
      </c>
      <c r="AB158" s="1417">
        <v>0</v>
      </c>
      <c r="AC158" s="1454"/>
    </row>
    <row r="159" spans="1:29" ht="34.35" customHeight="1">
      <c r="A159" s="59" t="s">
        <v>309</v>
      </c>
      <c r="B159" s="60" t="s">
        <v>319</v>
      </c>
      <c r="C159" s="29">
        <v>11</v>
      </c>
      <c r="D159" s="5" t="s">
        <v>322</v>
      </c>
      <c r="E159" s="14" t="s">
        <v>38</v>
      </c>
      <c r="F159" s="2" t="s">
        <v>321</v>
      </c>
      <c r="G159" s="2" t="s">
        <v>40</v>
      </c>
      <c r="H159" s="920">
        <v>0</v>
      </c>
      <c r="I159" s="879">
        <v>45839</v>
      </c>
      <c r="J159" s="921">
        <v>0</v>
      </c>
      <c r="K159" s="884">
        <v>0</v>
      </c>
      <c r="L159" s="884">
        <v>0</v>
      </c>
      <c r="M159" s="884">
        <v>0</v>
      </c>
      <c r="N159" s="884">
        <v>0</v>
      </c>
      <c r="O159" s="884">
        <v>0</v>
      </c>
      <c r="P159" s="884">
        <v>0</v>
      </c>
      <c r="Q159" s="884">
        <v>0</v>
      </c>
      <c r="R159" s="884">
        <v>0</v>
      </c>
      <c r="S159" s="1417">
        <v>0</v>
      </c>
      <c r="T159" s="883">
        <v>0</v>
      </c>
      <c r="U159" s="884">
        <v>0</v>
      </c>
      <c r="V159" s="884">
        <v>0</v>
      </c>
      <c r="W159" s="884">
        <v>0</v>
      </c>
      <c r="X159" s="884">
        <v>0</v>
      </c>
      <c r="Y159" s="884">
        <v>0</v>
      </c>
      <c r="Z159" s="884">
        <v>0</v>
      </c>
      <c r="AA159" s="884">
        <v>0</v>
      </c>
      <c r="AB159" s="1417">
        <v>0</v>
      </c>
      <c r="AC159" s="1454"/>
    </row>
    <row r="160" spans="1:29" ht="34.35" customHeight="1">
      <c r="A160" s="59" t="s">
        <v>309</v>
      </c>
      <c r="B160" s="60" t="s">
        <v>319</v>
      </c>
      <c r="C160" s="29">
        <v>12</v>
      </c>
      <c r="D160" s="5" t="s">
        <v>313</v>
      </c>
      <c r="E160" s="14" t="s">
        <v>38</v>
      </c>
      <c r="F160" s="2" t="s">
        <v>321</v>
      </c>
      <c r="G160" s="2" t="s">
        <v>40</v>
      </c>
      <c r="H160" s="920">
        <v>0</v>
      </c>
      <c r="I160" s="879">
        <v>45839</v>
      </c>
      <c r="J160" s="921">
        <v>0</v>
      </c>
      <c r="K160" s="884">
        <v>0</v>
      </c>
      <c r="L160" s="884">
        <v>0</v>
      </c>
      <c r="M160" s="884">
        <v>0</v>
      </c>
      <c r="N160" s="932">
        <v>1</v>
      </c>
      <c r="O160" s="884">
        <v>0</v>
      </c>
      <c r="P160" s="884">
        <v>0</v>
      </c>
      <c r="Q160" s="884">
        <v>0</v>
      </c>
      <c r="R160" s="932">
        <v>1</v>
      </c>
      <c r="S160" s="932">
        <v>1</v>
      </c>
      <c r="T160" s="883">
        <v>0</v>
      </c>
      <c r="U160" s="884">
        <v>0</v>
      </c>
      <c r="V160" s="884">
        <v>0</v>
      </c>
      <c r="W160" s="932">
        <v>1</v>
      </c>
      <c r="X160" s="884">
        <v>0</v>
      </c>
      <c r="Y160" s="884">
        <v>0</v>
      </c>
      <c r="Z160" s="884">
        <v>0</v>
      </c>
      <c r="AA160" s="884">
        <v>0</v>
      </c>
      <c r="AB160" s="1417">
        <v>0</v>
      </c>
      <c r="AC160" s="1454"/>
    </row>
    <row r="161" spans="1:29" ht="34.35" customHeight="1">
      <c r="A161" s="59" t="s">
        <v>309</v>
      </c>
      <c r="B161" s="60" t="s">
        <v>319</v>
      </c>
      <c r="C161" s="29">
        <v>13</v>
      </c>
      <c r="D161" s="5" t="s">
        <v>323</v>
      </c>
      <c r="E161" s="14" t="s">
        <v>38</v>
      </c>
      <c r="F161" s="2" t="s">
        <v>321</v>
      </c>
      <c r="G161" s="2" t="s">
        <v>40</v>
      </c>
      <c r="H161" s="920">
        <v>5</v>
      </c>
      <c r="I161" s="879">
        <v>45839</v>
      </c>
      <c r="J161" s="921">
        <v>0</v>
      </c>
      <c r="K161" s="884">
        <v>0</v>
      </c>
      <c r="L161" s="884">
        <v>0</v>
      </c>
      <c r="M161" s="884">
        <v>0</v>
      </c>
      <c r="N161" s="884">
        <v>0</v>
      </c>
      <c r="O161" s="884">
        <v>0</v>
      </c>
      <c r="P161" s="884">
        <v>0</v>
      </c>
      <c r="Q161" s="884">
        <v>0</v>
      </c>
      <c r="R161" s="884">
        <v>0</v>
      </c>
      <c r="S161" s="1417">
        <v>0</v>
      </c>
      <c r="T161" s="883">
        <v>0</v>
      </c>
      <c r="U161" s="884">
        <v>0</v>
      </c>
      <c r="V161" s="884">
        <v>0</v>
      </c>
      <c r="W161" s="884">
        <v>0</v>
      </c>
      <c r="X161" s="884">
        <v>0</v>
      </c>
      <c r="Y161" s="884">
        <v>0</v>
      </c>
      <c r="Z161" s="884">
        <v>0</v>
      </c>
      <c r="AA161" s="884">
        <v>0</v>
      </c>
      <c r="AB161" s="1417">
        <v>0</v>
      </c>
      <c r="AC161" s="1454"/>
    </row>
    <row r="162" spans="1:29" ht="34.35" customHeight="1">
      <c r="A162" s="59" t="s">
        <v>309</v>
      </c>
      <c r="B162" s="61" t="s">
        <v>324</v>
      </c>
      <c r="C162" s="29">
        <v>14</v>
      </c>
      <c r="D162" s="5" t="s">
        <v>311</v>
      </c>
      <c r="E162" s="14" t="s">
        <v>38</v>
      </c>
      <c r="F162" s="2" t="s">
        <v>312</v>
      </c>
      <c r="G162" s="2" t="s">
        <v>40</v>
      </c>
      <c r="H162" s="922">
        <v>0</v>
      </c>
      <c r="I162" s="879">
        <v>45839</v>
      </c>
      <c r="J162" s="921"/>
      <c r="K162" s="884"/>
      <c r="L162" s="884"/>
      <c r="M162" s="884"/>
      <c r="N162" s="884"/>
      <c r="O162" s="884"/>
      <c r="P162" s="884"/>
      <c r="Q162" s="884"/>
      <c r="R162" s="884"/>
      <c r="S162" s="1417"/>
      <c r="T162" s="883"/>
      <c r="U162" s="884"/>
      <c r="V162" s="884"/>
      <c r="W162" s="884"/>
      <c r="X162" s="884"/>
      <c r="Y162" s="884"/>
      <c r="Z162" s="884"/>
      <c r="AA162" s="884"/>
      <c r="AB162" s="1417"/>
      <c r="AC162" s="1454"/>
    </row>
    <row r="163" spans="1:29" ht="34.35" customHeight="1">
      <c r="A163" s="59" t="s">
        <v>309</v>
      </c>
      <c r="B163" s="61" t="s">
        <v>324</v>
      </c>
      <c r="C163" s="29">
        <v>15</v>
      </c>
      <c r="D163" s="5" t="s">
        <v>313</v>
      </c>
      <c r="E163" s="14" t="s">
        <v>38</v>
      </c>
      <c r="F163" s="2" t="s">
        <v>312</v>
      </c>
      <c r="G163" s="2" t="s">
        <v>40</v>
      </c>
      <c r="H163" s="922">
        <v>0</v>
      </c>
      <c r="I163" s="879">
        <v>45839</v>
      </c>
      <c r="J163" s="921"/>
      <c r="K163" s="884"/>
      <c r="L163" s="884"/>
      <c r="M163" s="884"/>
      <c r="N163" s="884"/>
      <c r="O163" s="884"/>
      <c r="P163" s="884"/>
      <c r="Q163" s="884"/>
      <c r="R163" s="884"/>
      <c r="S163" s="1417"/>
      <c r="T163" s="883"/>
      <c r="U163" s="884"/>
      <c r="V163" s="884"/>
      <c r="W163" s="884"/>
      <c r="X163" s="884"/>
      <c r="Y163" s="884"/>
      <c r="Z163" s="884"/>
      <c r="AA163" s="884"/>
      <c r="AB163" s="1417"/>
      <c r="AC163" s="1454"/>
    </row>
    <row r="164" spans="1:29" ht="34.35" customHeight="1">
      <c r="A164" s="59" t="s">
        <v>309</v>
      </c>
      <c r="B164" s="61" t="s">
        <v>324</v>
      </c>
      <c r="C164" s="29">
        <v>16</v>
      </c>
      <c r="D164" s="6" t="s">
        <v>314</v>
      </c>
      <c r="E164" s="14" t="s">
        <v>38</v>
      </c>
      <c r="F164" s="2" t="s">
        <v>312</v>
      </c>
      <c r="G164" s="2" t="s">
        <v>40</v>
      </c>
      <c r="H164" s="922">
        <v>0</v>
      </c>
      <c r="I164" s="879">
        <v>45839</v>
      </c>
      <c r="J164" s="921"/>
      <c r="K164" s="884"/>
      <c r="L164" s="884"/>
      <c r="M164" s="884"/>
      <c r="N164" s="884"/>
      <c r="O164" s="884"/>
      <c r="P164" s="884"/>
      <c r="Q164" s="884"/>
      <c r="R164" s="884"/>
      <c r="S164" s="1417"/>
      <c r="T164" s="883"/>
      <c r="U164" s="884"/>
      <c r="V164" s="884"/>
      <c r="W164" s="884"/>
      <c r="X164" s="884"/>
      <c r="Y164" s="884"/>
      <c r="Z164" s="884"/>
      <c r="AA164" s="884"/>
      <c r="AB164" s="1417"/>
      <c r="AC164" s="1455"/>
    </row>
    <row r="165" spans="1:29" ht="34.35" customHeight="1">
      <c r="A165" s="59" t="s">
        <v>309</v>
      </c>
      <c r="B165" s="61" t="s">
        <v>325</v>
      </c>
      <c r="C165" s="29">
        <v>17</v>
      </c>
      <c r="D165" s="5" t="s">
        <v>326</v>
      </c>
      <c r="E165" s="14" t="s">
        <v>38</v>
      </c>
      <c r="F165" s="2" t="s">
        <v>327</v>
      </c>
      <c r="G165" s="2" t="s">
        <v>40</v>
      </c>
      <c r="H165" s="922">
        <v>0</v>
      </c>
      <c r="I165" s="879">
        <v>45839</v>
      </c>
      <c r="J165" s="921"/>
      <c r="K165" s="884"/>
      <c r="L165" s="884"/>
      <c r="M165" s="884"/>
      <c r="N165" s="884"/>
      <c r="O165" s="884"/>
      <c r="P165" s="884"/>
      <c r="Q165" s="884"/>
      <c r="R165" s="884"/>
      <c r="S165" s="1417"/>
      <c r="T165" s="883"/>
      <c r="U165" s="884"/>
      <c r="V165" s="884"/>
      <c r="W165" s="884"/>
      <c r="X165" s="884"/>
      <c r="Y165" s="884"/>
      <c r="Z165" s="884"/>
      <c r="AA165" s="884"/>
      <c r="AB165" s="1417"/>
      <c r="AC165" s="1454"/>
    </row>
    <row r="166" spans="1:29" ht="34.35" customHeight="1">
      <c r="A166" s="59" t="s">
        <v>309</v>
      </c>
      <c r="B166" s="61" t="s">
        <v>325</v>
      </c>
      <c r="C166" s="29">
        <v>18</v>
      </c>
      <c r="D166" s="5" t="s">
        <v>326</v>
      </c>
      <c r="E166" s="14" t="s">
        <v>136</v>
      </c>
      <c r="F166" s="2" t="s">
        <v>327</v>
      </c>
      <c r="G166" s="2" t="s">
        <v>40</v>
      </c>
      <c r="H166" s="922">
        <v>0</v>
      </c>
      <c r="I166" s="879">
        <v>45839</v>
      </c>
      <c r="J166" s="921"/>
      <c r="K166" s="884"/>
      <c r="L166" s="884"/>
      <c r="M166" s="884"/>
      <c r="N166" s="884"/>
      <c r="O166" s="884"/>
      <c r="P166" s="884"/>
      <c r="Q166" s="884"/>
      <c r="R166" s="884"/>
      <c r="S166" s="1417"/>
      <c r="T166" s="883"/>
      <c r="U166" s="884"/>
      <c r="V166" s="884"/>
      <c r="W166" s="884"/>
      <c r="X166" s="884"/>
      <c r="Y166" s="884"/>
      <c r="Z166" s="884"/>
      <c r="AA166" s="884"/>
      <c r="AB166" s="1417"/>
      <c r="AC166" s="1454"/>
    </row>
    <row r="167" spans="1:29" ht="34.35" customHeight="1">
      <c r="A167" s="59" t="s">
        <v>309</v>
      </c>
      <c r="B167" s="61" t="s">
        <v>325</v>
      </c>
      <c r="C167" s="29">
        <v>19</v>
      </c>
      <c r="D167" s="6" t="s">
        <v>328</v>
      </c>
      <c r="E167" s="14" t="s">
        <v>38</v>
      </c>
      <c r="F167" s="2" t="s">
        <v>327</v>
      </c>
      <c r="G167" s="2" t="s">
        <v>40</v>
      </c>
      <c r="H167" s="922" t="s">
        <v>41</v>
      </c>
      <c r="I167" s="879">
        <v>45839</v>
      </c>
      <c r="J167" s="921"/>
      <c r="K167" s="884"/>
      <c r="L167" s="884"/>
      <c r="M167" s="884"/>
      <c r="N167" s="884"/>
      <c r="O167" s="884"/>
      <c r="P167" s="884"/>
      <c r="Q167" s="884"/>
      <c r="R167" s="884"/>
      <c r="S167" s="1417"/>
      <c r="T167" s="883"/>
      <c r="U167" s="884"/>
      <c r="V167" s="884"/>
      <c r="W167" s="884"/>
      <c r="X167" s="884"/>
      <c r="Y167" s="884">
        <v>88</v>
      </c>
      <c r="Z167" s="884"/>
      <c r="AA167" s="884"/>
      <c r="AB167" s="1417"/>
      <c r="AC167" s="1455"/>
    </row>
    <row r="168" spans="1:29" ht="34.35" customHeight="1">
      <c r="A168" s="59" t="s">
        <v>309</v>
      </c>
      <c r="B168" s="61" t="s">
        <v>325</v>
      </c>
      <c r="C168" s="29">
        <v>20</v>
      </c>
      <c r="D168" s="6" t="s">
        <v>328</v>
      </c>
      <c r="E168" s="14" t="s">
        <v>136</v>
      </c>
      <c r="F168" s="2" t="s">
        <v>327</v>
      </c>
      <c r="G168" s="2" t="s">
        <v>40</v>
      </c>
      <c r="H168" s="922" t="s">
        <v>41</v>
      </c>
      <c r="I168" s="879">
        <v>45839</v>
      </c>
      <c r="J168" s="921"/>
      <c r="K168" s="884"/>
      <c r="L168" s="884"/>
      <c r="M168" s="884"/>
      <c r="N168" s="884"/>
      <c r="O168" s="884"/>
      <c r="P168" s="884"/>
      <c r="Q168" s="884"/>
      <c r="R168" s="884"/>
      <c r="S168" s="1417"/>
      <c r="T168" s="883"/>
      <c r="U168" s="884"/>
      <c r="V168" s="884"/>
      <c r="W168" s="884"/>
      <c r="X168" s="884"/>
      <c r="Y168" s="884">
        <v>371</v>
      </c>
      <c r="Z168" s="884"/>
      <c r="AA168" s="884"/>
      <c r="AB168" s="1417"/>
      <c r="AC168" s="1455"/>
    </row>
    <row r="169" spans="1:29" ht="34.35" customHeight="1">
      <c r="A169" s="59" t="s">
        <v>309</v>
      </c>
      <c r="B169" s="61" t="s">
        <v>325</v>
      </c>
      <c r="C169" s="29">
        <v>21</v>
      </c>
      <c r="D169" s="98" t="s">
        <v>329</v>
      </c>
      <c r="E169" s="14" t="s">
        <v>38</v>
      </c>
      <c r="F169" s="2" t="s">
        <v>327</v>
      </c>
      <c r="G169" s="2" t="s">
        <v>40</v>
      </c>
      <c r="H169" s="922" t="s">
        <v>41</v>
      </c>
      <c r="I169" s="879">
        <v>45839</v>
      </c>
      <c r="J169" s="921"/>
      <c r="K169" s="884">
        <v>4</v>
      </c>
      <c r="L169" s="884">
        <v>8</v>
      </c>
      <c r="M169" s="884">
        <v>4</v>
      </c>
      <c r="N169" s="884">
        <v>9</v>
      </c>
      <c r="O169" s="884">
        <v>3</v>
      </c>
      <c r="P169" s="884"/>
      <c r="Q169" s="884"/>
      <c r="R169" s="884"/>
      <c r="S169" s="1417">
        <v>1</v>
      </c>
      <c r="T169" s="883"/>
      <c r="U169" s="884"/>
      <c r="V169" s="884">
        <v>1</v>
      </c>
      <c r="W169" s="884">
        <f>31+10</f>
        <v>41</v>
      </c>
      <c r="X169" s="884">
        <v>30</v>
      </c>
      <c r="Y169" s="884">
        <f>62+88</f>
        <v>150</v>
      </c>
      <c r="Z169" s="884">
        <f>1+8</f>
        <v>9</v>
      </c>
      <c r="AA169" s="884">
        <v>1</v>
      </c>
      <c r="AB169" s="1417">
        <v>5</v>
      </c>
      <c r="AC169" s="1455"/>
    </row>
    <row r="170" spans="1:29" ht="34.35" customHeight="1">
      <c r="A170" s="59" t="s">
        <v>309</v>
      </c>
      <c r="B170" s="61" t="s">
        <v>325</v>
      </c>
      <c r="C170" s="29">
        <v>22</v>
      </c>
      <c r="D170" s="6" t="s">
        <v>329</v>
      </c>
      <c r="E170" s="14" t="s">
        <v>136</v>
      </c>
      <c r="F170" s="2" t="s">
        <v>327</v>
      </c>
      <c r="G170" s="2" t="s">
        <v>40</v>
      </c>
      <c r="H170" s="922" t="s">
        <v>41</v>
      </c>
      <c r="I170" s="879">
        <v>45839</v>
      </c>
      <c r="J170" s="921"/>
      <c r="K170" s="884">
        <v>1.8</v>
      </c>
      <c r="L170" s="884">
        <v>2.5</v>
      </c>
      <c r="M170" s="884">
        <v>2.2999999999999998</v>
      </c>
      <c r="N170" s="926">
        <f>7505075.15/1000000</f>
        <v>7.5050751500000006</v>
      </c>
      <c r="O170" s="926">
        <f>3723482.4/1000000</f>
        <v>3.7234824</v>
      </c>
      <c r="P170" s="884"/>
      <c r="Q170" s="884"/>
      <c r="R170" s="884"/>
      <c r="S170" s="1446">
        <f>110200/1000000</f>
        <v>0.11020000000000001</v>
      </c>
      <c r="T170" s="883"/>
      <c r="U170" s="884"/>
      <c r="V170" s="926">
        <f>(36850/1000000)</f>
        <v>3.6850000000000001E-2</v>
      </c>
      <c r="W170" s="926">
        <v>57.6</v>
      </c>
      <c r="X170" s="926">
        <f>(37321814/1000000)+147</f>
        <v>184.32181400000002</v>
      </c>
      <c r="Y170" s="926">
        <f>(52483282.18/1000000)</f>
        <v>52.483282179999996</v>
      </c>
      <c r="Z170" s="926">
        <f>(23000/1000000)+3.4</f>
        <v>3.423</v>
      </c>
      <c r="AA170" s="884">
        <v>1.35</v>
      </c>
      <c r="AB170" s="1417">
        <v>5.4</v>
      </c>
      <c r="AC170" s="1455"/>
    </row>
    <row r="171" spans="1:29" ht="34.35" customHeight="1">
      <c r="A171" s="59" t="s">
        <v>309</v>
      </c>
      <c r="B171" s="61" t="s">
        <v>325</v>
      </c>
      <c r="C171" s="29">
        <v>23</v>
      </c>
      <c r="D171" s="98" t="s">
        <v>330</v>
      </c>
      <c r="E171" s="14" t="s">
        <v>38</v>
      </c>
      <c r="F171" s="2" t="s">
        <v>327</v>
      </c>
      <c r="G171" s="2" t="s">
        <v>40</v>
      </c>
      <c r="H171" s="922" t="s">
        <v>41</v>
      </c>
      <c r="I171" s="879">
        <v>45839</v>
      </c>
      <c r="J171" s="921"/>
      <c r="K171" s="884">
        <v>15</v>
      </c>
      <c r="L171" s="884">
        <v>16</v>
      </c>
      <c r="M171" s="884">
        <v>1</v>
      </c>
      <c r="N171" s="884">
        <v>3</v>
      </c>
      <c r="O171" s="884">
        <v>4</v>
      </c>
      <c r="P171" s="884"/>
      <c r="Q171" s="884">
        <v>1</v>
      </c>
      <c r="R171" s="884"/>
      <c r="S171" s="1417">
        <v>3</v>
      </c>
      <c r="T171" s="883"/>
      <c r="U171" s="884"/>
      <c r="V171" s="884">
        <v>12</v>
      </c>
      <c r="W171" s="884">
        <v>1</v>
      </c>
      <c r="X171" s="884">
        <f>2+12</f>
        <v>14</v>
      </c>
      <c r="Y171" s="884">
        <f>82+261</f>
        <v>343</v>
      </c>
      <c r="Z171" s="884">
        <v>3</v>
      </c>
      <c r="AA171" s="884">
        <v>4</v>
      </c>
      <c r="AB171" s="1417">
        <v>3</v>
      </c>
      <c r="AC171" s="1455"/>
    </row>
    <row r="172" spans="1:29" ht="34.35" customHeight="1">
      <c r="A172" s="59" t="s">
        <v>309</v>
      </c>
      <c r="B172" s="61" t="s">
        <v>325</v>
      </c>
      <c r="C172" s="29">
        <v>24</v>
      </c>
      <c r="D172" s="6" t="s">
        <v>462</v>
      </c>
      <c r="E172" s="14" t="s">
        <v>136</v>
      </c>
      <c r="F172" s="2" t="s">
        <v>327</v>
      </c>
      <c r="G172" s="2" t="s">
        <v>40</v>
      </c>
      <c r="H172" s="922" t="s">
        <v>41</v>
      </c>
      <c r="I172" s="879">
        <v>45839</v>
      </c>
      <c r="J172" s="921"/>
      <c r="K172" s="884">
        <v>5.3</v>
      </c>
      <c r="L172" s="884">
        <v>4.9000000000000004</v>
      </c>
      <c r="M172" s="884">
        <v>0.35</v>
      </c>
      <c r="N172" s="926">
        <f>892604.01/1000000</f>
        <v>0.89260401</v>
      </c>
      <c r="O172" s="926">
        <f>2473029.6/1000000</f>
        <v>2.4730296000000003</v>
      </c>
      <c r="P172" s="926"/>
      <c r="Q172" s="926">
        <v>0.3</v>
      </c>
      <c r="R172" s="926"/>
      <c r="S172" s="1446">
        <f>1700049.45/1000000</f>
        <v>1.7000494499999999</v>
      </c>
      <c r="T172" s="1447"/>
      <c r="U172" s="926"/>
      <c r="V172" s="926">
        <v>42</v>
      </c>
      <c r="W172" s="926">
        <v>0.4</v>
      </c>
      <c r="X172" s="926">
        <f>(220000/1000000)+68.6</f>
        <v>68.819999999999993</v>
      </c>
      <c r="Y172" s="926">
        <f>(44830101.34/1000000)+185</f>
        <v>229.83010134</v>
      </c>
      <c r="Z172" s="926">
        <v>2</v>
      </c>
      <c r="AA172" s="926">
        <v>8.9</v>
      </c>
      <c r="AB172" s="1446">
        <v>2</v>
      </c>
      <c r="AC172" s="1455"/>
    </row>
    <row r="173" spans="1:29" ht="34.35" customHeight="1">
      <c r="A173" s="59" t="s">
        <v>309</v>
      </c>
      <c r="B173" s="61" t="s">
        <v>325</v>
      </c>
      <c r="C173" s="29">
        <v>25</v>
      </c>
      <c r="D173" s="99" t="s">
        <v>331</v>
      </c>
      <c r="E173" s="14" t="s">
        <v>38</v>
      </c>
      <c r="F173" s="2" t="s">
        <v>327</v>
      </c>
      <c r="G173" s="2" t="s">
        <v>332</v>
      </c>
      <c r="H173" s="922">
        <v>0</v>
      </c>
      <c r="I173" s="879">
        <v>45839</v>
      </c>
      <c r="J173" s="921"/>
      <c r="K173" s="884"/>
      <c r="L173" s="884"/>
      <c r="M173" s="884"/>
      <c r="N173" s="884">
        <v>2</v>
      </c>
      <c r="O173" s="884">
        <v>2</v>
      </c>
      <c r="P173" s="884"/>
      <c r="Q173" s="884"/>
      <c r="R173" s="884"/>
      <c r="S173" s="1417">
        <v>1</v>
      </c>
      <c r="T173" s="883"/>
      <c r="U173" s="884"/>
      <c r="V173" s="884">
        <f>1+1</f>
        <v>2</v>
      </c>
      <c r="W173" s="884"/>
      <c r="X173" s="884">
        <v>2</v>
      </c>
      <c r="Y173" s="884">
        <f>15+2</f>
        <v>17</v>
      </c>
      <c r="Z173" s="884"/>
      <c r="AA173" s="884"/>
      <c r="AB173" s="1417"/>
      <c r="AC173" s="1454"/>
    </row>
    <row r="174" spans="1:29" ht="34.35" customHeight="1">
      <c r="A174" s="59" t="s">
        <v>309</v>
      </c>
      <c r="B174" s="61" t="s">
        <v>325</v>
      </c>
      <c r="C174" s="29">
        <v>26</v>
      </c>
      <c r="D174" s="5" t="s">
        <v>463</v>
      </c>
      <c r="E174" s="14" t="s">
        <v>136</v>
      </c>
      <c r="F174" s="2" t="s">
        <v>327</v>
      </c>
      <c r="G174" s="2" t="s">
        <v>332</v>
      </c>
      <c r="H174" s="922">
        <v>0</v>
      </c>
      <c r="I174" s="879">
        <v>45839</v>
      </c>
      <c r="J174" s="921"/>
      <c r="K174" s="884"/>
      <c r="L174" s="884"/>
      <c r="M174" s="884"/>
      <c r="N174" s="926">
        <f>2787600/1000000</f>
        <v>2.7875999999999999</v>
      </c>
      <c r="O174" s="926">
        <f>1499400/1000000</f>
        <v>1.4994000000000001</v>
      </c>
      <c r="P174" s="926"/>
      <c r="Q174" s="926"/>
      <c r="R174" s="926"/>
      <c r="S174" s="1446">
        <f>874095/1000000</f>
        <v>0.87409499999999996</v>
      </c>
      <c r="T174" s="1447"/>
      <c r="U174" s="926"/>
      <c r="V174" s="926">
        <f>0.3+4.2</f>
        <v>4.5</v>
      </c>
      <c r="W174" s="926"/>
      <c r="X174" s="926">
        <f>1931906/1000000</f>
        <v>1.9319059999999999</v>
      </c>
      <c r="Y174" s="926">
        <f>(9882604.63/1000000)+1.4</f>
        <v>11.282604630000002</v>
      </c>
      <c r="Z174" s="926"/>
      <c r="AA174" s="926"/>
      <c r="AB174" s="1446"/>
      <c r="AC174" s="1454"/>
    </row>
    <row r="175" spans="1:29" ht="34.35" customHeight="1">
      <c r="A175" s="59" t="s">
        <v>309</v>
      </c>
      <c r="B175" s="61" t="s">
        <v>325</v>
      </c>
      <c r="C175" s="29">
        <v>27</v>
      </c>
      <c r="D175" s="99" t="s">
        <v>464</v>
      </c>
      <c r="E175" s="14" t="s">
        <v>38</v>
      </c>
      <c r="F175" s="2" t="s">
        <v>327</v>
      </c>
      <c r="G175" s="2" t="s">
        <v>332</v>
      </c>
      <c r="H175" s="922">
        <v>0</v>
      </c>
      <c r="I175" s="879">
        <v>45839</v>
      </c>
      <c r="J175" s="921"/>
      <c r="K175" s="884"/>
      <c r="L175" s="884"/>
      <c r="M175" s="884"/>
      <c r="N175" s="884"/>
      <c r="O175" s="884">
        <v>2</v>
      </c>
      <c r="P175" s="884"/>
      <c r="Q175" s="884"/>
      <c r="R175" s="884"/>
      <c r="S175" s="1417"/>
      <c r="T175" s="883"/>
      <c r="U175" s="884"/>
      <c r="V175" s="884">
        <v>1</v>
      </c>
      <c r="W175" s="884"/>
      <c r="X175" s="884">
        <v>22</v>
      </c>
      <c r="Y175" s="884">
        <f>21+12</f>
        <v>33</v>
      </c>
      <c r="Z175" s="884"/>
      <c r="AA175" s="884"/>
      <c r="AB175" s="1417"/>
      <c r="AC175" s="1454"/>
    </row>
    <row r="176" spans="1:29" ht="34.35" customHeight="1">
      <c r="A176" s="59" t="s">
        <v>309</v>
      </c>
      <c r="B176" s="61" t="s">
        <v>325</v>
      </c>
      <c r="C176" s="29">
        <v>28</v>
      </c>
      <c r="D176" s="5" t="s">
        <v>464</v>
      </c>
      <c r="E176" s="14" t="s">
        <v>136</v>
      </c>
      <c r="F176" s="2" t="s">
        <v>327</v>
      </c>
      <c r="G176" s="2" t="s">
        <v>332</v>
      </c>
      <c r="H176" s="922">
        <v>0</v>
      </c>
      <c r="I176" s="879">
        <v>45839</v>
      </c>
      <c r="J176" s="921"/>
      <c r="K176" s="884"/>
      <c r="L176" s="884"/>
      <c r="M176" s="884"/>
      <c r="N176" s="926"/>
      <c r="O176" s="926">
        <f>1162100/1000000</f>
        <v>1.1620999999999999</v>
      </c>
      <c r="P176" s="926"/>
      <c r="Q176" s="926"/>
      <c r="R176" s="926"/>
      <c r="S176" s="1446"/>
      <c r="T176" s="1447"/>
      <c r="U176" s="926"/>
      <c r="V176" s="926">
        <v>0.4</v>
      </c>
      <c r="W176" s="926"/>
      <c r="X176" s="926">
        <f>29315564/1000000</f>
        <v>29.315563999999998</v>
      </c>
      <c r="Y176" s="926">
        <f>(6324513.33/1000000)+9.4</f>
        <v>15.724513330000001</v>
      </c>
      <c r="Z176" s="926"/>
      <c r="AA176" s="926"/>
      <c r="AB176" s="1446"/>
      <c r="AC176" s="1454"/>
    </row>
    <row r="177" spans="1:29" ht="34.35" customHeight="1">
      <c r="A177" s="59" t="s">
        <v>309</v>
      </c>
      <c r="B177" s="61" t="s">
        <v>325</v>
      </c>
      <c r="C177" s="29">
        <v>29</v>
      </c>
      <c r="D177" s="5" t="s">
        <v>336</v>
      </c>
      <c r="E177" s="14" t="s">
        <v>38</v>
      </c>
      <c r="F177" s="2" t="s">
        <v>316</v>
      </c>
      <c r="G177" s="2" t="s">
        <v>40</v>
      </c>
      <c r="H177" s="922">
        <v>0</v>
      </c>
      <c r="I177" s="879">
        <v>45839</v>
      </c>
      <c r="J177" s="921"/>
      <c r="K177" s="884"/>
      <c r="L177" s="884"/>
      <c r="M177" s="884"/>
      <c r="N177" s="884"/>
      <c r="O177" s="884"/>
      <c r="P177" s="884"/>
      <c r="Q177" s="884"/>
      <c r="R177" s="884"/>
      <c r="S177" s="1417"/>
      <c r="T177" s="883"/>
      <c r="U177" s="884"/>
      <c r="V177" s="884"/>
      <c r="W177" s="884"/>
      <c r="X177" s="884"/>
      <c r="Y177" s="884"/>
      <c r="Z177" s="884"/>
      <c r="AA177" s="884"/>
      <c r="AB177" s="1417"/>
      <c r="AC177" s="1454"/>
    </row>
    <row r="178" spans="1:29" ht="34.35" customHeight="1">
      <c r="A178" s="59" t="s">
        <v>309</v>
      </c>
      <c r="B178" s="61" t="s">
        <v>325</v>
      </c>
      <c r="C178" s="29">
        <v>30</v>
      </c>
      <c r="D178" s="5" t="s">
        <v>336</v>
      </c>
      <c r="E178" s="14" t="s">
        <v>136</v>
      </c>
      <c r="F178" s="2" t="s">
        <v>316</v>
      </c>
      <c r="G178" s="2" t="s">
        <v>40</v>
      </c>
      <c r="H178" s="922">
        <v>0</v>
      </c>
      <c r="I178" s="879">
        <v>45839</v>
      </c>
      <c r="J178" s="921"/>
      <c r="K178" s="884"/>
      <c r="L178" s="884"/>
      <c r="M178" s="884"/>
      <c r="N178" s="884"/>
      <c r="O178" s="884"/>
      <c r="P178" s="884"/>
      <c r="Q178" s="884"/>
      <c r="R178" s="884"/>
      <c r="S178" s="1417"/>
      <c r="T178" s="883"/>
      <c r="U178" s="884"/>
      <c r="V178" s="884"/>
      <c r="W178" s="884"/>
      <c r="X178" s="884"/>
      <c r="Y178" s="884"/>
      <c r="Z178" s="884"/>
      <c r="AA178" s="884"/>
      <c r="AB178" s="1417"/>
      <c r="AC178" s="1454"/>
    </row>
    <row r="179" spans="1:29" ht="34.35" customHeight="1">
      <c r="A179" s="59" t="s">
        <v>309</v>
      </c>
      <c r="B179" s="61" t="s">
        <v>325</v>
      </c>
      <c r="C179" s="29">
        <v>31</v>
      </c>
      <c r="D179" s="5" t="s">
        <v>338</v>
      </c>
      <c r="E179" s="14" t="s">
        <v>38</v>
      </c>
      <c r="F179" s="2" t="s">
        <v>316</v>
      </c>
      <c r="G179" s="2" t="s">
        <v>40</v>
      </c>
      <c r="H179" s="922">
        <v>0</v>
      </c>
      <c r="I179" s="879">
        <v>45839</v>
      </c>
      <c r="J179" s="921"/>
      <c r="K179" s="884"/>
      <c r="L179" s="884"/>
      <c r="M179" s="884"/>
      <c r="N179" s="884"/>
      <c r="O179" s="884"/>
      <c r="P179" s="884"/>
      <c r="Q179" s="884"/>
      <c r="R179" s="884"/>
      <c r="S179" s="1417"/>
      <c r="T179" s="883"/>
      <c r="U179" s="884"/>
      <c r="V179" s="884"/>
      <c r="W179" s="884"/>
      <c r="X179" s="884"/>
      <c r="Y179" s="884"/>
      <c r="Z179" s="884"/>
      <c r="AA179" s="884"/>
      <c r="AB179" s="1417"/>
      <c r="AC179" s="1454"/>
    </row>
    <row r="180" spans="1:29" ht="34.35" customHeight="1">
      <c r="A180" s="59" t="s">
        <v>309</v>
      </c>
      <c r="B180" s="61" t="s">
        <v>325</v>
      </c>
      <c r="C180" s="29">
        <v>32</v>
      </c>
      <c r="D180" s="5" t="s">
        <v>338</v>
      </c>
      <c r="E180" s="14" t="s">
        <v>136</v>
      </c>
      <c r="F180" s="2" t="s">
        <v>316</v>
      </c>
      <c r="G180" s="2" t="s">
        <v>40</v>
      </c>
      <c r="H180" s="922">
        <v>0</v>
      </c>
      <c r="I180" s="879">
        <v>45839</v>
      </c>
      <c r="J180" s="921"/>
      <c r="K180" s="884"/>
      <c r="L180" s="884"/>
      <c r="M180" s="884"/>
      <c r="N180" s="884"/>
      <c r="O180" s="884"/>
      <c r="P180" s="884"/>
      <c r="Q180" s="884"/>
      <c r="R180" s="884"/>
      <c r="S180" s="1417"/>
      <c r="T180" s="883"/>
      <c r="U180" s="884"/>
      <c r="V180" s="884"/>
      <c r="W180" s="884"/>
      <c r="X180" s="884"/>
      <c r="Y180" s="884"/>
      <c r="Z180" s="884"/>
      <c r="AA180" s="884"/>
      <c r="AB180" s="1417"/>
      <c r="AC180" s="1454"/>
    </row>
    <row r="181" spans="1:29" ht="34.35" customHeight="1">
      <c r="A181" s="59" t="s">
        <v>309</v>
      </c>
      <c r="B181" s="61" t="s">
        <v>325</v>
      </c>
      <c r="C181" s="29">
        <v>33</v>
      </c>
      <c r="D181" s="5" t="s">
        <v>339</v>
      </c>
      <c r="E181" s="14" t="s">
        <v>133</v>
      </c>
      <c r="F181" s="2" t="s">
        <v>340</v>
      </c>
      <c r="G181" s="2" t="s">
        <v>341</v>
      </c>
      <c r="H181" s="927">
        <v>5.0000000000000001E-3</v>
      </c>
      <c r="I181" s="879">
        <v>45839</v>
      </c>
      <c r="J181" s="921"/>
      <c r="K181" s="884"/>
      <c r="L181" s="884"/>
      <c r="M181" s="884"/>
      <c r="N181" s="884"/>
      <c r="O181" s="884"/>
      <c r="P181" s="884"/>
      <c r="Q181" s="884"/>
      <c r="R181" s="884"/>
      <c r="S181" s="1417"/>
      <c r="T181" s="883"/>
      <c r="U181" s="884"/>
      <c r="V181" s="884"/>
      <c r="W181" s="884"/>
      <c r="X181" s="884"/>
      <c r="Y181" s="884"/>
      <c r="Z181" s="884"/>
      <c r="AA181" s="884"/>
      <c r="AB181" s="1417"/>
      <c r="AC181" s="1457" t="s">
        <v>465</v>
      </c>
    </row>
    <row r="182" spans="1:29" ht="34.35" customHeight="1">
      <c r="A182" s="59" t="s">
        <v>309</v>
      </c>
      <c r="B182" s="61" t="s">
        <v>325</v>
      </c>
      <c r="C182" s="29">
        <v>34</v>
      </c>
      <c r="D182" s="5" t="s">
        <v>339</v>
      </c>
      <c r="E182" s="14" t="s">
        <v>136</v>
      </c>
      <c r="F182" s="2" t="s">
        <v>340</v>
      </c>
      <c r="G182" s="2" t="s">
        <v>341</v>
      </c>
      <c r="H182" s="928" t="s">
        <v>41</v>
      </c>
      <c r="I182" s="879">
        <v>45839</v>
      </c>
      <c r="J182" s="921"/>
      <c r="K182" s="884"/>
      <c r="L182" s="884"/>
      <c r="M182" s="884"/>
      <c r="N182" s="884"/>
      <c r="O182" s="884"/>
      <c r="P182" s="884"/>
      <c r="Q182" s="884"/>
      <c r="R182" s="884"/>
      <c r="S182" s="1417"/>
      <c r="T182" s="883"/>
      <c r="U182" s="884"/>
      <c r="V182" s="884"/>
      <c r="W182" s="884"/>
      <c r="X182" s="884"/>
      <c r="Y182" s="884"/>
      <c r="Z182" s="884"/>
      <c r="AA182" s="884"/>
      <c r="AB182" s="1417"/>
      <c r="AC182" s="1454"/>
    </row>
    <row r="183" spans="1:29" ht="34.35" customHeight="1">
      <c r="A183" s="59" t="s">
        <v>309</v>
      </c>
      <c r="B183" s="61" t="s">
        <v>325</v>
      </c>
      <c r="C183" s="29">
        <v>35</v>
      </c>
      <c r="D183" s="5" t="s">
        <v>342</v>
      </c>
      <c r="E183" s="14" t="s">
        <v>133</v>
      </c>
      <c r="F183" s="2" t="s">
        <v>106</v>
      </c>
      <c r="G183" s="2" t="s">
        <v>285</v>
      </c>
      <c r="H183" s="933"/>
      <c r="I183" s="879">
        <v>45839</v>
      </c>
      <c r="J183" s="921"/>
      <c r="K183" s="884"/>
      <c r="L183" s="884"/>
      <c r="M183" s="884"/>
      <c r="N183" s="884"/>
      <c r="O183" s="884"/>
      <c r="P183" s="884"/>
      <c r="Q183" s="884"/>
      <c r="R183" s="884"/>
      <c r="S183" s="1417"/>
      <c r="T183" s="883"/>
      <c r="U183" s="884"/>
      <c r="V183" s="871">
        <v>3.1899999999999998E-2</v>
      </c>
      <c r="W183" s="884"/>
      <c r="X183" s="884"/>
      <c r="Y183" s="884"/>
      <c r="Z183" s="884"/>
      <c r="AA183" s="884"/>
      <c r="AB183" s="1417"/>
      <c r="AC183" s="1454"/>
    </row>
    <row r="184" spans="1:29" ht="34.35" customHeight="1">
      <c r="A184" s="59" t="s">
        <v>309</v>
      </c>
      <c r="B184" s="61" t="s">
        <v>325</v>
      </c>
      <c r="C184" s="29">
        <v>36</v>
      </c>
      <c r="D184" s="5" t="s">
        <v>342</v>
      </c>
      <c r="E184" s="14" t="s">
        <v>136</v>
      </c>
      <c r="F184" s="2" t="s">
        <v>106</v>
      </c>
      <c r="G184" s="2" t="s">
        <v>285</v>
      </c>
      <c r="H184" s="924"/>
      <c r="I184" s="879">
        <v>45839</v>
      </c>
      <c r="J184" s="921"/>
      <c r="K184" s="884"/>
      <c r="L184" s="884"/>
      <c r="M184" s="884"/>
      <c r="N184" s="884"/>
      <c r="O184" s="884"/>
      <c r="P184" s="884"/>
      <c r="Q184" s="884"/>
      <c r="R184" s="884"/>
      <c r="S184" s="1417"/>
      <c r="T184" s="883"/>
      <c r="U184" s="884"/>
      <c r="V184" s="1450">
        <v>606</v>
      </c>
      <c r="W184" s="884"/>
      <c r="X184" s="884"/>
      <c r="Y184" s="884"/>
      <c r="Z184" s="884"/>
      <c r="AA184" s="884"/>
      <c r="AB184" s="1417"/>
      <c r="AC184" s="1454"/>
    </row>
    <row r="185" spans="1:29" ht="34.35" customHeight="1">
      <c r="A185" s="59" t="s">
        <v>309</v>
      </c>
      <c r="B185" s="61" t="s">
        <v>325</v>
      </c>
      <c r="C185" s="29">
        <v>37</v>
      </c>
      <c r="D185" s="6" t="s">
        <v>343</v>
      </c>
      <c r="E185" s="14" t="s">
        <v>38</v>
      </c>
      <c r="F185" s="2" t="s">
        <v>105</v>
      </c>
      <c r="G185" s="2"/>
      <c r="H185" s="925" t="s">
        <v>41</v>
      </c>
      <c r="I185" s="879">
        <v>45839</v>
      </c>
      <c r="J185" s="921"/>
      <c r="K185" s="884"/>
      <c r="L185" s="884"/>
      <c r="M185" s="884"/>
      <c r="N185" s="884"/>
      <c r="O185" s="884"/>
      <c r="P185" s="884"/>
      <c r="Q185" s="884"/>
      <c r="R185" s="884"/>
      <c r="S185" s="1417"/>
      <c r="T185" s="883"/>
      <c r="U185" s="884"/>
      <c r="V185" s="884"/>
      <c r="W185" s="884"/>
      <c r="X185" s="884"/>
      <c r="Y185" s="884"/>
      <c r="Z185" s="884"/>
      <c r="AA185" s="884"/>
      <c r="AB185" s="1417"/>
      <c r="AC185" s="1455"/>
    </row>
    <row r="186" spans="1:29" ht="34.35" customHeight="1">
      <c r="A186" s="59" t="s">
        <v>309</v>
      </c>
      <c r="B186" s="61" t="s">
        <v>325</v>
      </c>
      <c r="C186" s="29">
        <v>38</v>
      </c>
      <c r="D186" s="6" t="s">
        <v>343</v>
      </c>
      <c r="E186" s="14" t="s">
        <v>136</v>
      </c>
      <c r="F186" s="2" t="s">
        <v>105</v>
      </c>
      <c r="G186" s="2"/>
      <c r="H186" s="929">
        <f>84578725.86/10^6</f>
        <v>84.578725860000006</v>
      </c>
      <c r="I186" s="879">
        <v>45839</v>
      </c>
      <c r="J186" s="930">
        <f>31611.52/10^6</f>
        <v>3.1611519999999997E-2</v>
      </c>
      <c r="K186" s="930">
        <f>96450.84/10^6</f>
        <v>9.6450839999999996E-2</v>
      </c>
      <c r="L186" s="930">
        <f>597382.06/10^6</f>
        <v>0.59738206000000005</v>
      </c>
      <c r="M186" s="884" t="s">
        <v>41</v>
      </c>
      <c r="N186" s="930">
        <f>54731.76/10^6</f>
        <v>5.4731760000000004E-2</v>
      </c>
      <c r="O186" s="930">
        <f>56443.63/10^6</f>
        <v>5.6443629999999995E-2</v>
      </c>
      <c r="P186" s="930">
        <f>110193.56/10^6</f>
        <v>0.11019356</v>
      </c>
      <c r="Q186" s="884" t="s">
        <v>41</v>
      </c>
      <c r="R186" s="930">
        <f>289351.84/10^6</f>
        <v>0.28935184000000003</v>
      </c>
      <c r="S186" s="930">
        <f>424455.66/10^6</f>
        <v>0.42445565999999996</v>
      </c>
      <c r="T186" s="883"/>
      <c r="U186" s="884"/>
      <c r="V186" s="884"/>
      <c r="W186" s="884"/>
      <c r="X186" s="884"/>
      <c r="Y186" s="884"/>
      <c r="Z186" s="884"/>
      <c r="AA186" s="884"/>
      <c r="AB186" s="1417"/>
      <c r="AC186" s="1455"/>
    </row>
    <row r="187" spans="1:29" ht="34.35" customHeight="1">
      <c r="A187" s="59" t="s">
        <v>309</v>
      </c>
      <c r="B187" s="61" t="s">
        <v>325</v>
      </c>
      <c r="C187" s="29">
        <v>39</v>
      </c>
      <c r="D187" s="5" t="s">
        <v>344</v>
      </c>
      <c r="E187" s="14" t="s">
        <v>136</v>
      </c>
      <c r="F187" s="2" t="s">
        <v>110</v>
      </c>
      <c r="G187" s="2" t="s">
        <v>345</v>
      </c>
      <c r="H187" s="920">
        <v>3.17</v>
      </c>
      <c r="I187" s="879">
        <v>45839</v>
      </c>
      <c r="J187" s="921"/>
      <c r="K187" s="884"/>
      <c r="L187" s="884"/>
      <c r="M187" s="884"/>
      <c r="N187" s="884"/>
      <c r="O187" s="884"/>
      <c r="P187" s="884"/>
      <c r="Q187" s="884"/>
      <c r="R187" s="884"/>
      <c r="S187" s="1417"/>
      <c r="T187" s="883"/>
      <c r="U187" s="884"/>
      <c r="V187" s="884"/>
      <c r="W187" s="884"/>
      <c r="X187" s="884"/>
      <c r="Y187" s="884"/>
      <c r="Z187" s="884"/>
      <c r="AA187" s="884"/>
      <c r="AB187" s="1417"/>
      <c r="AC187" s="1454"/>
    </row>
    <row r="188" spans="1:29" ht="34.35" customHeight="1">
      <c r="A188" s="59" t="s">
        <v>309</v>
      </c>
      <c r="B188" s="61" t="s">
        <v>325</v>
      </c>
      <c r="C188" s="29">
        <v>40</v>
      </c>
      <c r="D188" s="5" t="s">
        <v>346</v>
      </c>
      <c r="E188" s="14" t="s">
        <v>136</v>
      </c>
      <c r="F188" s="2" t="s">
        <v>110</v>
      </c>
      <c r="G188" s="2" t="s">
        <v>345</v>
      </c>
      <c r="H188" s="920">
        <v>5.84</v>
      </c>
      <c r="I188" s="879">
        <v>45839</v>
      </c>
      <c r="J188" s="921"/>
      <c r="K188" s="884"/>
      <c r="L188" s="884"/>
      <c r="M188" s="884"/>
      <c r="N188" s="884"/>
      <c r="O188" s="884"/>
      <c r="P188" s="884"/>
      <c r="Q188" s="884"/>
      <c r="R188" s="884"/>
      <c r="S188" s="1417"/>
      <c r="T188" s="883"/>
      <c r="U188" s="884"/>
      <c r="V188" s="884"/>
      <c r="W188" s="884"/>
      <c r="X188" s="884"/>
      <c r="Y188" s="884"/>
      <c r="Z188" s="884"/>
      <c r="AA188" s="884"/>
      <c r="AB188" s="1417"/>
      <c r="AC188" s="1454"/>
    </row>
    <row r="189" spans="1:29" ht="34.35" customHeight="1">
      <c r="A189" s="59" t="s">
        <v>309</v>
      </c>
      <c r="B189" s="61" t="s">
        <v>325</v>
      </c>
      <c r="C189" s="29">
        <v>41</v>
      </c>
      <c r="D189" s="5" t="s">
        <v>347</v>
      </c>
      <c r="E189" s="14" t="s">
        <v>38</v>
      </c>
      <c r="F189" s="2" t="s">
        <v>106</v>
      </c>
      <c r="G189" s="2" t="s">
        <v>285</v>
      </c>
      <c r="H189" s="924"/>
      <c r="I189" s="879">
        <v>45839</v>
      </c>
      <c r="J189" s="921"/>
      <c r="K189" s="884"/>
      <c r="L189" s="884"/>
      <c r="M189" s="884"/>
      <c r="N189" s="884"/>
      <c r="O189" s="884"/>
      <c r="P189" s="884"/>
      <c r="Q189" s="884"/>
      <c r="R189" s="884"/>
      <c r="S189" s="1417"/>
      <c r="T189" s="883"/>
      <c r="U189" s="884"/>
      <c r="V189" s="884" t="s">
        <v>41</v>
      </c>
      <c r="W189" s="884"/>
      <c r="X189" s="884"/>
      <c r="Y189" s="884"/>
      <c r="Z189" s="884"/>
      <c r="AA189" s="884"/>
      <c r="AB189" s="1417"/>
      <c r="AC189" s="1454"/>
    </row>
    <row r="190" spans="1:29" ht="34.35" customHeight="1">
      <c r="A190" s="59" t="s">
        <v>309</v>
      </c>
      <c r="B190" s="61" t="s">
        <v>325</v>
      </c>
      <c r="C190" s="29">
        <v>42</v>
      </c>
      <c r="D190" s="5" t="s">
        <v>347</v>
      </c>
      <c r="E190" s="14" t="s">
        <v>136</v>
      </c>
      <c r="F190" s="2" t="s">
        <v>106</v>
      </c>
      <c r="G190" s="2" t="s">
        <v>285</v>
      </c>
      <c r="H190" s="924"/>
      <c r="I190" s="879">
        <v>45839</v>
      </c>
      <c r="J190" s="921"/>
      <c r="K190" s="884"/>
      <c r="L190" s="884"/>
      <c r="M190" s="884"/>
      <c r="N190" s="884"/>
      <c r="O190" s="884"/>
      <c r="P190" s="884"/>
      <c r="Q190" s="884"/>
      <c r="R190" s="884"/>
      <c r="S190" s="1417"/>
      <c r="T190" s="883"/>
      <c r="U190" s="884"/>
      <c r="V190" s="884">
        <v>166</v>
      </c>
      <c r="W190" s="884"/>
      <c r="X190" s="884"/>
      <c r="Y190" s="884"/>
      <c r="Z190" s="884"/>
      <c r="AA190" s="884"/>
      <c r="AB190" s="1417"/>
      <c r="AC190" s="1454"/>
    </row>
    <row r="191" spans="1:29" ht="34.35" customHeight="1">
      <c r="A191" s="59" t="s">
        <v>309</v>
      </c>
      <c r="B191" s="61" t="s">
        <v>325</v>
      </c>
      <c r="C191" s="29">
        <v>43</v>
      </c>
      <c r="D191" s="5" t="s">
        <v>349</v>
      </c>
      <c r="E191" s="14" t="s">
        <v>136</v>
      </c>
      <c r="F191" s="2" t="s">
        <v>340</v>
      </c>
      <c r="G191" s="2" t="s">
        <v>134</v>
      </c>
      <c r="H191" s="920">
        <v>5.4</v>
      </c>
      <c r="I191" s="879">
        <v>45839</v>
      </c>
      <c r="J191" s="921"/>
      <c r="K191" s="884"/>
      <c r="L191" s="884"/>
      <c r="M191" s="884"/>
      <c r="N191" s="884"/>
      <c r="O191" s="884"/>
      <c r="P191" s="884"/>
      <c r="Q191" s="884"/>
      <c r="R191" s="884"/>
      <c r="S191" s="1417"/>
      <c r="T191" s="883"/>
      <c r="U191" s="884"/>
      <c r="V191" s="884"/>
      <c r="W191" s="884"/>
      <c r="X191" s="884"/>
      <c r="Y191" s="884"/>
      <c r="Z191" s="884"/>
      <c r="AA191" s="884"/>
      <c r="AB191" s="1417"/>
      <c r="AC191" s="1454"/>
    </row>
    <row r="192" spans="1:29" ht="34.35" customHeight="1">
      <c r="A192" s="59" t="s">
        <v>309</v>
      </c>
      <c r="B192" s="61" t="s">
        <v>325</v>
      </c>
      <c r="C192" s="29">
        <v>44</v>
      </c>
      <c r="D192" s="5" t="s">
        <v>350</v>
      </c>
      <c r="E192" s="14" t="s">
        <v>38</v>
      </c>
      <c r="F192" s="2" t="s">
        <v>106</v>
      </c>
      <c r="G192" s="2" t="s">
        <v>134</v>
      </c>
      <c r="H192" s="924">
        <v>200</v>
      </c>
      <c r="I192" s="879">
        <v>45839</v>
      </c>
      <c r="J192" s="921"/>
      <c r="K192" s="884"/>
      <c r="L192" s="884"/>
      <c r="M192" s="884"/>
      <c r="N192" s="884"/>
      <c r="O192" s="884"/>
      <c r="P192" s="884"/>
      <c r="Q192" s="884"/>
      <c r="R192" s="884"/>
      <c r="S192" s="1417"/>
      <c r="T192" s="883"/>
      <c r="U192" s="884"/>
      <c r="V192" s="884" t="s">
        <v>41</v>
      </c>
      <c r="W192" s="884"/>
      <c r="X192" s="884"/>
      <c r="Y192" s="884"/>
      <c r="Z192" s="884"/>
      <c r="AA192" s="884"/>
      <c r="AB192" s="1417"/>
      <c r="AC192" s="1454"/>
    </row>
    <row r="193" spans="1:29" ht="34.35" customHeight="1">
      <c r="A193" s="59" t="s">
        <v>309</v>
      </c>
      <c r="B193" s="61" t="s">
        <v>325</v>
      </c>
      <c r="C193" s="29">
        <v>45</v>
      </c>
      <c r="D193" s="5" t="s">
        <v>350</v>
      </c>
      <c r="E193" s="14" t="s">
        <v>136</v>
      </c>
      <c r="F193" s="2" t="s">
        <v>106</v>
      </c>
      <c r="G193" s="2" t="s">
        <v>134</v>
      </c>
      <c r="H193" s="924">
        <v>90</v>
      </c>
      <c r="I193" s="879">
        <v>45839</v>
      </c>
      <c r="J193" s="921"/>
      <c r="K193" s="884"/>
      <c r="L193" s="884"/>
      <c r="M193" s="884"/>
      <c r="N193" s="884"/>
      <c r="O193" s="884"/>
      <c r="P193" s="884"/>
      <c r="Q193" s="884"/>
      <c r="R193" s="884"/>
      <c r="S193" s="1417"/>
      <c r="T193" s="883"/>
      <c r="U193" s="884"/>
      <c r="V193" s="884" t="s">
        <v>41</v>
      </c>
      <c r="W193" s="884"/>
      <c r="X193" s="884"/>
      <c r="Y193" s="884"/>
      <c r="Z193" s="884"/>
      <c r="AA193" s="884"/>
      <c r="AB193" s="1417"/>
      <c r="AC193" s="1454"/>
    </row>
    <row r="194" spans="1:29" ht="34.35" customHeight="1">
      <c r="A194" s="59" t="s">
        <v>309</v>
      </c>
      <c r="B194" s="62" t="s">
        <v>351</v>
      </c>
      <c r="C194" s="29">
        <v>46</v>
      </c>
      <c r="D194" s="63" t="s">
        <v>41</v>
      </c>
      <c r="E194" s="14" t="s">
        <v>353</v>
      </c>
      <c r="F194" s="2" t="s">
        <v>312</v>
      </c>
      <c r="G194" s="1" t="s">
        <v>40</v>
      </c>
      <c r="H194" s="920">
        <v>1.2</v>
      </c>
      <c r="I194" s="879">
        <v>45839</v>
      </c>
      <c r="J194" s="921"/>
      <c r="K194" s="884"/>
      <c r="L194" s="884"/>
      <c r="M194" s="884"/>
      <c r="N194" s="884"/>
      <c r="O194" s="884"/>
      <c r="P194" s="884"/>
      <c r="Q194" s="884"/>
      <c r="R194" s="884"/>
      <c r="S194" s="1417"/>
      <c r="T194" s="883"/>
      <c r="U194" s="884"/>
      <c r="V194" s="884"/>
      <c r="W194" s="884"/>
      <c r="X194" s="884"/>
      <c r="Y194" s="884"/>
      <c r="Z194" s="884"/>
      <c r="AA194" s="884"/>
      <c r="AB194" s="1417"/>
      <c r="AC194" s="1456" t="s">
        <v>352</v>
      </c>
    </row>
    <row r="195" spans="1:29" ht="34.35" customHeight="1">
      <c r="A195" s="59" t="s">
        <v>309</v>
      </c>
      <c r="B195" s="64" t="s">
        <v>354</v>
      </c>
      <c r="C195" s="29">
        <v>47</v>
      </c>
      <c r="D195" s="63" t="s">
        <v>41</v>
      </c>
      <c r="E195" s="14" t="s">
        <v>353</v>
      </c>
      <c r="F195" s="2" t="s">
        <v>327</v>
      </c>
      <c r="G195" s="1" t="s">
        <v>40</v>
      </c>
      <c r="H195" s="922">
        <v>0</v>
      </c>
      <c r="I195" s="879">
        <v>45839</v>
      </c>
      <c r="J195" s="921"/>
      <c r="K195" s="884"/>
      <c r="L195" s="884"/>
      <c r="M195" s="884"/>
      <c r="N195" s="884"/>
      <c r="O195" s="884"/>
      <c r="P195" s="884"/>
      <c r="Q195" s="884"/>
      <c r="R195" s="884"/>
      <c r="S195" s="1417"/>
      <c r="T195" s="883"/>
      <c r="U195" s="884"/>
      <c r="V195" s="884"/>
      <c r="W195" s="884"/>
      <c r="X195" s="884"/>
      <c r="Y195" s="884"/>
      <c r="Z195" s="884"/>
      <c r="AA195" s="884"/>
      <c r="AB195" s="1417"/>
      <c r="AC195" s="1457" t="s">
        <v>466</v>
      </c>
    </row>
    <row r="196" spans="1:29" ht="34.35" customHeight="1">
      <c r="A196" s="59" t="s">
        <v>309</v>
      </c>
      <c r="B196" s="64" t="s">
        <v>356</v>
      </c>
      <c r="C196" s="29">
        <v>48</v>
      </c>
      <c r="D196" s="63" t="s">
        <v>41</v>
      </c>
      <c r="E196" s="14" t="s">
        <v>353</v>
      </c>
      <c r="F196" s="2" t="s">
        <v>321</v>
      </c>
      <c r="G196" s="1" t="s">
        <v>40</v>
      </c>
      <c r="H196" s="922">
        <v>0</v>
      </c>
      <c r="I196" s="879">
        <v>45839</v>
      </c>
      <c r="J196" s="921" t="s">
        <v>41</v>
      </c>
      <c r="K196" s="884" t="s">
        <v>41</v>
      </c>
      <c r="L196" s="884" t="s">
        <v>41</v>
      </c>
      <c r="M196" s="884" t="s">
        <v>41</v>
      </c>
      <c r="N196" s="884" t="s">
        <v>41</v>
      </c>
      <c r="O196" s="884" t="s">
        <v>41</v>
      </c>
      <c r="P196" s="884" t="s">
        <v>41</v>
      </c>
      <c r="Q196" s="884" t="s">
        <v>41</v>
      </c>
      <c r="R196" s="884" t="s">
        <v>41</v>
      </c>
      <c r="S196" s="1417" t="s">
        <v>41</v>
      </c>
      <c r="T196" s="883" t="s">
        <v>41</v>
      </c>
      <c r="U196" s="884" t="s">
        <v>41</v>
      </c>
      <c r="V196" s="884" t="s">
        <v>41</v>
      </c>
      <c r="W196" s="884" t="s">
        <v>41</v>
      </c>
      <c r="X196" s="884" t="s">
        <v>41</v>
      </c>
      <c r="Y196" s="884" t="s">
        <v>41</v>
      </c>
      <c r="Z196" s="884" t="s">
        <v>41</v>
      </c>
      <c r="AA196" s="884" t="s">
        <v>41</v>
      </c>
      <c r="AB196" s="1417" t="s">
        <v>41</v>
      </c>
      <c r="AC196" s="1457" t="s">
        <v>466</v>
      </c>
    </row>
    <row r="197" spans="1:29" ht="34.35" customHeight="1">
      <c r="A197" s="69" t="s">
        <v>309</v>
      </c>
      <c r="B197" s="11" t="s">
        <v>357</v>
      </c>
      <c r="C197" s="73">
        <v>49</v>
      </c>
      <c r="D197" s="7" t="s">
        <v>41</v>
      </c>
      <c r="E197" s="71" t="s">
        <v>38</v>
      </c>
      <c r="F197" s="2" t="s">
        <v>312</v>
      </c>
      <c r="G197" s="1" t="s">
        <v>41</v>
      </c>
      <c r="I197" s="879">
        <v>45809</v>
      </c>
      <c r="J197" s="931"/>
      <c r="K197" s="887"/>
      <c r="L197" s="887"/>
      <c r="M197" s="887"/>
      <c r="N197" s="887"/>
      <c r="O197" s="887"/>
      <c r="P197" s="887"/>
      <c r="Q197" s="887"/>
      <c r="R197" s="887"/>
      <c r="S197" s="887"/>
      <c r="T197" s="887"/>
      <c r="U197" s="887"/>
      <c r="V197" s="887"/>
      <c r="W197" s="887"/>
      <c r="X197" s="887"/>
      <c r="Y197" s="887"/>
      <c r="Z197" s="887"/>
      <c r="AA197" s="887"/>
      <c r="AC197" s="1459"/>
    </row>
    <row r="198" spans="1:29" ht="34.35" customHeight="1">
      <c r="A198" s="69" t="s">
        <v>309</v>
      </c>
      <c r="B198" s="60" t="s">
        <v>310</v>
      </c>
      <c r="C198" s="73">
        <v>1</v>
      </c>
      <c r="D198" s="72" t="s">
        <v>311</v>
      </c>
      <c r="E198" s="71" t="s">
        <v>38</v>
      </c>
      <c r="F198" s="2" t="s">
        <v>312</v>
      </c>
      <c r="G198" s="70" t="s">
        <v>40</v>
      </c>
      <c r="H198" s="920">
        <v>0</v>
      </c>
      <c r="I198" s="879">
        <v>45870</v>
      </c>
      <c r="J198" s="921"/>
      <c r="K198" s="884"/>
      <c r="L198" s="884"/>
      <c r="M198" s="884"/>
      <c r="N198" s="884"/>
      <c r="O198" s="884"/>
      <c r="P198" s="884"/>
      <c r="Q198" s="884"/>
      <c r="R198" s="884"/>
      <c r="S198" s="1417"/>
      <c r="T198" s="883"/>
      <c r="U198" s="884"/>
      <c r="V198" s="884"/>
      <c r="W198" s="884"/>
      <c r="X198" s="884"/>
      <c r="Y198" s="884"/>
      <c r="Z198" s="884"/>
      <c r="AA198" s="884"/>
      <c r="AB198" s="1417"/>
      <c r="AC198" s="1460"/>
    </row>
    <row r="199" spans="1:29" ht="34.35" customHeight="1">
      <c r="A199" s="59" t="s">
        <v>309</v>
      </c>
      <c r="B199" s="60" t="s">
        <v>310</v>
      </c>
      <c r="C199" s="29">
        <v>2</v>
      </c>
      <c r="D199" s="5" t="s">
        <v>313</v>
      </c>
      <c r="E199" s="14" t="s">
        <v>38</v>
      </c>
      <c r="F199" s="2" t="s">
        <v>312</v>
      </c>
      <c r="G199" s="2" t="s">
        <v>40</v>
      </c>
      <c r="H199" s="920">
        <v>0</v>
      </c>
      <c r="I199" s="879">
        <v>45870</v>
      </c>
      <c r="J199" s="921"/>
      <c r="K199" s="884"/>
      <c r="L199" s="884"/>
      <c r="M199" s="884"/>
      <c r="N199" s="884"/>
      <c r="O199" s="884"/>
      <c r="P199" s="884"/>
      <c r="Q199" s="884"/>
      <c r="R199" s="884"/>
      <c r="S199" s="1417"/>
      <c r="T199" s="883"/>
      <c r="U199" s="884"/>
      <c r="V199" s="884"/>
      <c r="W199" s="884"/>
      <c r="X199" s="884"/>
      <c r="Y199" s="884"/>
      <c r="Z199" s="884"/>
      <c r="AA199" s="884"/>
      <c r="AB199" s="1417"/>
      <c r="AC199" s="1454"/>
    </row>
    <row r="200" spans="1:29" ht="34.35" customHeight="1">
      <c r="A200" s="59" t="s">
        <v>309</v>
      </c>
      <c r="B200" s="60" t="s">
        <v>310</v>
      </c>
      <c r="C200" s="29">
        <v>3</v>
      </c>
      <c r="D200" s="6" t="s">
        <v>314</v>
      </c>
      <c r="E200" s="14" t="s">
        <v>38</v>
      </c>
      <c r="F200" s="2" t="s">
        <v>312</v>
      </c>
      <c r="G200" s="2" t="s">
        <v>40</v>
      </c>
      <c r="H200" s="920">
        <v>0</v>
      </c>
      <c r="I200" s="879">
        <v>45870</v>
      </c>
      <c r="J200" s="921"/>
      <c r="K200" s="884"/>
      <c r="L200" s="884"/>
      <c r="M200" s="884"/>
      <c r="N200" s="884"/>
      <c r="O200" s="884"/>
      <c r="P200" s="884"/>
      <c r="Q200" s="884"/>
      <c r="R200" s="884"/>
      <c r="S200" s="1417"/>
      <c r="T200" s="883"/>
      <c r="U200" s="884"/>
      <c r="V200" s="884"/>
      <c r="W200" s="884"/>
      <c r="X200" s="884"/>
      <c r="Y200" s="884"/>
      <c r="Z200" s="884"/>
      <c r="AA200" s="884"/>
      <c r="AB200" s="1417"/>
      <c r="AC200" s="1455"/>
    </row>
    <row r="201" spans="1:29" ht="34.35" customHeight="1">
      <c r="A201" s="59" t="s">
        <v>309</v>
      </c>
      <c r="B201" s="60" t="s">
        <v>310</v>
      </c>
      <c r="C201" s="29">
        <v>4</v>
      </c>
      <c r="D201" s="5" t="s">
        <v>315</v>
      </c>
      <c r="E201" s="14" t="s">
        <v>38</v>
      </c>
      <c r="F201" s="2" t="s">
        <v>316</v>
      </c>
      <c r="G201" s="2" t="s">
        <v>40</v>
      </c>
      <c r="H201" s="920">
        <v>280</v>
      </c>
      <c r="I201" s="879">
        <v>45870</v>
      </c>
      <c r="J201" s="921"/>
      <c r="K201" s="884"/>
      <c r="L201" s="884"/>
      <c r="M201" s="884"/>
      <c r="N201" s="884"/>
      <c r="O201" s="884"/>
      <c r="P201" s="884"/>
      <c r="Q201" s="884"/>
      <c r="R201" s="884">
        <v>1</v>
      </c>
      <c r="S201" s="922"/>
      <c r="T201" s="883"/>
      <c r="U201" s="884"/>
      <c r="V201" s="884">
        <v>12</v>
      </c>
      <c r="W201" s="884"/>
      <c r="X201" s="884"/>
      <c r="Y201" s="884">
        <v>11</v>
      </c>
      <c r="Z201" s="884"/>
      <c r="AA201" s="884"/>
      <c r="AB201" s="1417"/>
      <c r="AC201" s="1456" t="s">
        <v>458</v>
      </c>
    </row>
    <row r="202" spans="1:29" ht="34.35" customHeight="1">
      <c r="A202" s="59" t="s">
        <v>309</v>
      </c>
      <c r="B202" s="60" t="s">
        <v>310</v>
      </c>
      <c r="C202" s="29">
        <v>5</v>
      </c>
      <c r="D202" s="5" t="s">
        <v>315</v>
      </c>
      <c r="E202" s="14" t="s">
        <v>136</v>
      </c>
      <c r="F202" s="2" t="s">
        <v>316</v>
      </c>
      <c r="G202" s="2" t="s">
        <v>40</v>
      </c>
      <c r="H202" s="920">
        <v>106</v>
      </c>
      <c r="I202" s="879">
        <v>45870</v>
      </c>
      <c r="J202" s="921"/>
      <c r="K202" s="884"/>
      <c r="L202" s="884"/>
      <c r="M202" s="884"/>
      <c r="N202" s="884"/>
      <c r="O202" s="884"/>
      <c r="P202" s="884"/>
      <c r="Q202" s="884"/>
      <c r="R202" s="885">
        <v>8.2000000000000007E-3</v>
      </c>
      <c r="S202" s="1418"/>
      <c r="T202" s="889"/>
      <c r="U202" s="885"/>
      <c r="V202" s="885">
        <v>1.4810000000000001</v>
      </c>
      <c r="W202" s="885"/>
      <c r="X202" s="885"/>
      <c r="Y202" s="885">
        <f>6.011+0.1197</f>
        <v>6.1307</v>
      </c>
      <c r="Z202" s="884"/>
      <c r="AA202" s="884"/>
      <c r="AB202" s="1417"/>
      <c r="AC202" s="1456" t="s">
        <v>459</v>
      </c>
    </row>
    <row r="203" spans="1:29" ht="34.35" customHeight="1">
      <c r="A203" s="59" t="s">
        <v>309</v>
      </c>
      <c r="B203" s="60" t="s">
        <v>310</v>
      </c>
      <c r="C203" s="29">
        <v>6</v>
      </c>
      <c r="D203" s="5" t="s">
        <v>317</v>
      </c>
      <c r="E203" s="14" t="s">
        <v>38</v>
      </c>
      <c r="F203" s="2" t="s">
        <v>316</v>
      </c>
      <c r="G203" s="2" t="s">
        <v>40</v>
      </c>
      <c r="H203" s="920">
        <v>0</v>
      </c>
      <c r="I203" s="879">
        <v>45870</v>
      </c>
      <c r="J203" s="921">
        <v>0</v>
      </c>
      <c r="K203" s="884">
        <v>0</v>
      </c>
      <c r="L203" s="884">
        <v>0</v>
      </c>
      <c r="M203" s="884">
        <v>0</v>
      </c>
      <c r="N203" s="884">
        <v>0</v>
      </c>
      <c r="O203" s="884">
        <v>0</v>
      </c>
      <c r="P203" s="884">
        <v>0</v>
      </c>
      <c r="Q203" s="884">
        <v>0</v>
      </c>
      <c r="R203" s="884">
        <v>0</v>
      </c>
      <c r="S203" s="1417">
        <v>0</v>
      </c>
      <c r="T203" s="883">
        <v>0</v>
      </c>
      <c r="U203" s="884">
        <v>0</v>
      </c>
      <c r="V203" s="884">
        <v>0</v>
      </c>
      <c r="W203" s="884">
        <v>0</v>
      </c>
      <c r="X203" s="884">
        <v>0</v>
      </c>
      <c r="Y203" s="884">
        <v>0</v>
      </c>
      <c r="Z203" s="884">
        <v>0</v>
      </c>
      <c r="AA203" s="884">
        <v>0</v>
      </c>
      <c r="AB203" s="1417">
        <v>0</v>
      </c>
      <c r="AC203" s="1454"/>
    </row>
    <row r="204" spans="1:29" ht="34.35" customHeight="1">
      <c r="A204" s="59" t="s">
        <v>309</v>
      </c>
      <c r="B204" s="60" t="s">
        <v>310</v>
      </c>
      <c r="C204" s="29">
        <v>7</v>
      </c>
      <c r="D204" s="5" t="s">
        <v>317</v>
      </c>
      <c r="E204" s="14" t="s">
        <v>136</v>
      </c>
      <c r="F204" s="2" t="s">
        <v>316</v>
      </c>
      <c r="G204" s="2" t="s">
        <v>40</v>
      </c>
      <c r="H204" s="920">
        <v>0</v>
      </c>
      <c r="I204" s="879">
        <v>45870</v>
      </c>
      <c r="J204" s="921">
        <v>0</v>
      </c>
      <c r="K204" s="884">
        <v>0</v>
      </c>
      <c r="L204" s="884">
        <v>0</v>
      </c>
      <c r="M204" s="884">
        <v>0</v>
      </c>
      <c r="N204" s="884">
        <v>0</v>
      </c>
      <c r="O204" s="884">
        <v>0</v>
      </c>
      <c r="P204" s="884">
        <v>0</v>
      </c>
      <c r="Q204" s="884">
        <v>0</v>
      </c>
      <c r="R204" s="884">
        <v>0</v>
      </c>
      <c r="S204" s="1417">
        <v>0</v>
      </c>
      <c r="T204" s="883">
        <v>0</v>
      </c>
      <c r="U204" s="884">
        <v>0</v>
      </c>
      <c r="V204" s="884">
        <v>0</v>
      </c>
      <c r="W204" s="884">
        <v>0</v>
      </c>
      <c r="X204" s="884">
        <v>0</v>
      </c>
      <c r="Y204" s="884">
        <v>0</v>
      </c>
      <c r="Z204" s="884">
        <v>0</v>
      </c>
      <c r="AA204" s="884">
        <v>0</v>
      </c>
      <c r="AB204" s="1417">
        <v>0</v>
      </c>
      <c r="AC204" s="1454"/>
    </row>
    <row r="205" spans="1:29" ht="34.35" customHeight="1">
      <c r="A205" s="59" t="s">
        <v>309</v>
      </c>
      <c r="B205" s="60" t="s">
        <v>310</v>
      </c>
      <c r="C205" s="29">
        <v>8</v>
      </c>
      <c r="D205" s="5" t="s">
        <v>318</v>
      </c>
      <c r="E205" s="14" t="s">
        <v>38</v>
      </c>
      <c r="F205" s="2" t="s">
        <v>316</v>
      </c>
      <c r="G205" s="2" t="s">
        <v>40</v>
      </c>
      <c r="H205" s="920">
        <v>192</v>
      </c>
      <c r="I205" s="879">
        <v>45870</v>
      </c>
      <c r="J205" s="921">
        <v>0</v>
      </c>
      <c r="K205" s="884">
        <v>0</v>
      </c>
      <c r="L205" s="884">
        <v>0</v>
      </c>
      <c r="M205" s="884">
        <v>0</v>
      </c>
      <c r="N205" s="884">
        <v>0</v>
      </c>
      <c r="O205" s="884">
        <v>0</v>
      </c>
      <c r="P205" s="884">
        <v>0</v>
      </c>
      <c r="Q205" s="884">
        <v>0</v>
      </c>
      <c r="R205" s="884">
        <v>0</v>
      </c>
      <c r="S205" s="1417">
        <v>0</v>
      </c>
      <c r="T205" s="883">
        <v>1</v>
      </c>
      <c r="U205" s="884">
        <v>1</v>
      </c>
      <c r="V205" s="884">
        <v>2</v>
      </c>
      <c r="W205" s="884">
        <v>0</v>
      </c>
      <c r="X205" s="884">
        <v>0</v>
      </c>
      <c r="Y205" s="884">
        <v>5</v>
      </c>
      <c r="Z205" s="884">
        <v>0</v>
      </c>
      <c r="AA205" s="884">
        <v>2</v>
      </c>
      <c r="AB205" s="1417">
        <v>1</v>
      </c>
      <c r="AC205" s="1456" t="s">
        <v>460</v>
      </c>
    </row>
    <row r="206" spans="1:29" ht="34.35" customHeight="1">
      <c r="A206" s="59" t="s">
        <v>309</v>
      </c>
      <c r="B206" s="60" t="s">
        <v>310</v>
      </c>
      <c r="C206" s="29">
        <v>9</v>
      </c>
      <c r="D206" s="5" t="s">
        <v>318</v>
      </c>
      <c r="E206" s="14" t="s">
        <v>136</v>
      </c>
      <c r="F206" s="2" t="s">
        <v>316</v>
      </c>
      <c r="G206" s="2" t="s">
        <v>40</v>
      </c>
      <c r="H206" s="920">
        <v>307</v>
      </c>
      <c r="I206" s="879">
        <v>45870</v>
      </c>
      <c r="J206" s="921">
        <v>0</v>
      </c>
      <c r="K206" s="884">
        <v>0</v>
      </c>
      <c r="L206" s="884">
        <v>0</v>
      </c>
      <c r="M206" s="884">
        <v>0</v>
      </c>
      <c r="N206" s="884">
        <v>0</v>
      </c>
      <c r="O206" s="884">
        <v>0</v>
      </c>
      <c r="P206" s="884">
        <v>0</v>
      </c>
      <c r="Q206" s="884">
        <v>0</v>
      </c>
      <c r="R206" s="884">
        <v>0</v>
      </c>
      <c r="S206" s="1417">
        <v>0</v>
      </c>
      <c r="T206" s="883">
        <v>0.31</v>
      </c>
      <c r="U206" s="884">
        <v>0.31</v>
      </c>
      <c r="V206" s="884">
        <v>1.8</v>
      </c>
      <c r="W206" s="884">
        <v>0</v>
      </c>
      <c r="X206" s="884">
        <v>0</v>
      </c>
      <c r="Y206" s="884">
        <v>5.86</v>
      </c>
      <c r="Z206" s="884">
        <v>0</v>
      </c>
      <c r="AA206" s="884">
        <v>0.61</v>
      </c>
      <c r="AB206" s="1417">
        <v>0.34</v>
      </c>
      <c r="AC206" s="1456" t="s">
        <v>461</v>
      </c>
    </row>
    <row r="207" spans="1:29" ht="34.35" customHeight="1">
      <c r="A207" s="59" t="s">
        <v>309</v>
      </c>
      <c r="B207" s="60" t="s">
        <v>319</v>
      </c>
      <c r="C207" s="29">
        <v>10</v>
      </c>
      <c r="D207" s="5" t="s">
        <v>320</v>
      </c>
      <c r="E207" s="14" t="s">
        <v>38</v>
      </c>
      <c r="F207" s="2" t="s">
        <v>321</v>
      </c>
      <c r="G207" s="2" t="s">
        <v>40</v>
      </c>
      <c r="H207" s="920">
        <v>0</v>
      </c>
      <c r="I207" s="879">
        <v>45870</v>
      </c>
      <c r="J207" s="921">
        <v>0</v>
      </c>
      <c r="K207" s="884">
        <v>0</v>
      </c>
      <c r="L207" s="884">
        <v>0</v>
      </c>
      <c r="M207" s="884">
        <v>0</v>
      </c>
      <c r="N207" s="884">
        <v>0</v>
      </c>
      <c r="O207" s="884">
        <v>0</v>
      </c>
      <c r="P207" s="884">
        <v>0</v>
      </c>
      <c r="Q207" s="884">
        <v>0</v>
      </c>
      <c r="R207" s="884">
        <v>0</v>
      </c>
      <c r="S207" s="1417">
        <v>0</v>
      </c>
      <c r="T207" s="883">
        <v>0</v>
      </c>
      <c r="U207" s="884">
        <v>0</v>
      </c>
      <c r="V207" s="884">
        <v>0</v>
      </c>
      <c r="W207" s="884">
        <v>0</v>
      </c>
      <c r="X207" s="884">
        <v>0</v>
      </c>
      <c r="Y207" s="884">
        <v>0</v>
      </c>
      <c r="Z207" s="884">
        <v>0</v>
      </c>
      <c r="AA207" s="884">
        <v>0</v>
      </c>
      <c r="AB207" s="1417">
        <v>0</v>
      </c>
      <c r="AC207" s="1454"/>
    </row>
    <row r="208" spans="1:29" ht="34.35" customHeight="1">
      <c r="A208" s="59" t="s">
        <v>309</v>
      </c>
      <c r="B208" s="60" t="s">
        <v>319</v>
      </c>
      <c r="C208" s="29">
        <v>11</v>
      </c>
      <c r="D208" s="5" t="s">
        <v>322</v>
      </c>
      <c r="E208" s="14" t="s">
        <v>38</v>
      </c>
      <c r="F208" s="2" t="s">
        <v>321</v>
      </c>
      <c r="G208" s="2" t="s">
        <v>40</v>
      </c>
      <c r="H208" s="920">
        <v>0</v>
      </c>
      <c r="I208" s="879">
        <v>45870</v>
      </c>
      <c r="J208" s="921">
        <v>0</v>
      </c>
      <c r="K208" s="884">
        <v>0</v>
      </c>
      <c r="L208" s="884">
        <v>0</v>
      </c>
      <c r="M208" s="884">
        <v>0</v>
      </c>
      <c r="N208" s="884">
        <v>0</v>
      </c>
      <c r="O208" s="884">
        <v>0</v>
      </c>
      <c r="P208" s="884">
        <v>0</v>
      </c>
      <c r="Q208" s="884">
        <v>0</v>
      </c>
      <c r="R208" s="884">
        <v>0</v>
      </c>
      <c r="S208" s="1417">
        <v>0</v>
      </c>
      <c r="T208" s="883">
        <v>0</v>
      </c>
      <c r="U208" s="884">
        <v>0</v>
      </c>
      <c r="V208" s="884">
        <v>0</v>
      </c>
      <c r="W208" s="884">
        <v>0</v>
      </c>
      <c r="X208" s="884">
        <v>0</v>
      </c>
      <c r="Y208" s="884">
        <v>0</v>
      </c>
      <c r="Z208" s="884">
        <v>0</v>
      </c>
      <c r="AA208" s="884">
        <v>0</v>
      </c>
      <c r="AB208" s="1417">
        <v>0</v>
      </c>
      <c r="AC208" s="1454"/>
    </row>
    <row r="209" spans="1:29" ht="34.35" customHeight="1">
      <c r="A209" s="59" t="s">
        <v>309</v>
      </c>
      <c r="B209" s="60" t="s">
        <v>319</v>
      </c>
      <c r="C209" s="29">
        <v>12</v>
      </c>
      <c r="D209" s="5" t="s">
        <v>313</v>
      </c>
      <c r="E209" s="14" t="s">
        <v>38</v>
      </c>
      <c r="F209" s="2" t="s">
        <v>321</v>
      </c>
      <c r="G209" s="2" t="s">
        <v>40</v>
      </c>
      <c r="H209" s="920">
        <v>0</v>
      </c>
      <c r="I209" s="879">
        <v>45870</v>
      </c>
      <c r="J209" s="921">
        <v>0</v>
      </c>
      <c r="K209" s="884">
        <v>0</v>
      </c>
      <c r="L209" s="884">
        <v>0</v>
      </c>
      <c r="M209" s="884">
        <v>0</v>
      </c>
      <c r="N209" s="884">
        <v>0</v>
      </c>
      <c r="O209" s="884">
        <v>0</v>
      </c>
      <c r="P209" s="884">
        <v>0</v>
      </c>
      <c r="Q209" s="884">
        <v>0</v>
      </c>
      <c r="R209" s="884">
        <v>0</v>
      </c>
      <c r="S209" s="1417">
        <v>0</v>
      </c>
      <c r="T209" s="883">
        <v>0</v>
      </c>
      <c r="U209" s="884">
        <v>0</v>
      </c>
      <c r="V209" s="884">
        <v>0</v>
      </c>
      <c r="W209" s="884">
        <v>0</v>
      </c>
      <c r="X209" s="884">
        <v>0</v>
      </c>
      <c r="Y209" s="884">
        <v>0</v>
      </c>
      <c r="Z209" s="884">
        <v>0</v>
      </c>
      <c r="AA209" s="884">
        <v>0</v>
      </c>
      <c r="AB209" s="1417">
        <v>0</v>
      </c>
      <c r="AC209" s="1454"/>
    </row>
    <row r="210" spans="1:29" ht="34.35" customHeight="1">
      <c r="A210" s="59" t="s">
        <v>309</v>
      </c>
      <c r="B210" s="60" t="s">
        <v>319</v>
      </c>
      <c r="C210" s="29">
        <v>13</v>
      </c>
      <c r="D210" s="5" t="s">
        <v>323</v>
      </c>
      <c r="E210" s="14" t="s">
        <v>38</v>
      </c>
      <c r="F210" s="2" t="s">
        <v>321</v>
      </c>
      <c r="G210" s="2" t="s">
        <v>40</v>
      </c>
      <c r="H210" s="920">
        <v>5</v>
      </c>
      <c r="I210" s="879">
        <v>45870</v>
      </c>
      <c r="J210" s="921">
        <v>0</v>
      </c>
      <c r="K210" s="884">
        <v>0</v>
      </c>
      <c r="L210" s="884">
        <v>0</v>
      </c>
      <c r="M210" s="884">
        <v>0</v>
      </c>
      <c r="N210" s="884">
        <v>0</v>
      </c>
      <c r="O210" s="884">
        <v>0</v>
      </c>
      <c r="P210" s="884">
        <v>0</v>
      </c>
      <c r="Q210" s="884">
        <v>0</v>
      </c>
      <c r="R210" s="884">
        <v>0</v>
      </c>
      <c r="S210" s="1417">
        <v>0</v>
      </c>
      <c r="T210" s="883">
        <v>0</v>
      </c>
      <c r="U210" s="884">
        <v>0</v>
      </c>
      <c r="V210" s="884">
        <v>0</v>
      </c>
      <c r="W210" s="884">
        <v>0</v>
      </c>
      <c r="X210" s="884">
        <v>0</v>
      </c>
      <c r="Y210" s="884">
        <v>0</v>
      </c>
      <c r="Z210" s="884">
        <v>0</v>
      </c>
      <c r="AA210" s="884">
        <v>0</v>
      </c>
      <c r="AB210" s="1417">
        <v>0</v>
      </c>
      <c r="AC210" s="1454"/>
    </row>
    <row r="211" spans="1:29" ht="34.35" customHeight="1">
      <c r="A211" s="59" t="s">
        <v>309</v>
      </c>
      <c r="B211" s="61" t="s">
        <v>324</v>
      </c>
      <c r="C211" s="29">
        <v>14</v>
      </c>
      <c r="D211" s="5" t="s">
        <v>311</v>
      </c>
      <c r="E211" s="14" t="s">
        <v>38</v>
      </c>
      <c r="F211" s="2" t="s">
        <v>312</v>
      </c>
      <c r="G211" s="2" t="s">
        <v>40</v>
      </c>
      <c r="H211" s="922">
        <v>0</v>
      </c>
      <c r="I211" s="879">
        <v>45870</v>
      </c>
      <c r="J211" s="921"/>
      <c r="K211" s="884"/>
      <c r="L211" s="884"/>
      <c r="M211" s="884"/>
      <c r="N211" s="884"/>
      <c r="O211" s="884"/>
      <c r="P211" s="884"/>
      <c r="Q211" s="884"/>
      <c r="R211" s="884"/>
      <c r="S211" s="1417"/>
      <c r="T211" s="883"/>
      <c r="U211" s="884"/>
      <c r="V211" s="884"/>
      <c r="W211" s="884"/>
      <c r="X211" s="884"/>
      <c r="Y211" s="884"/>
      <c r="Z211" s="884"/>
      <c r="AA211" s="884"/>
      <c r="AB211" s="1417"/>
      <c r="AC211" s="1454"/>
    </row>
    <row r="212" spans="1:29" ht="34.35" customHeight="1">
      <c r="A212" s="59" t="s">
        <v>309</v>
      </c>
      <c r="B212" s="61" t="s">
        <v>324</v>
      </c>
      <c r="C212" s="29">
        <v>15</v>
      </c>
      <c r="D212" s="5" t="s">
        <v>313</v>
      </c>
      <c r="E212" s="14" t="s">
        <v>38</v>
      </c>
      <c r="F212" s="2" t="s">
        <v>312</v>
      </c>
      <c r="G212" s="2" t="s">
        <v>40</v>
      </c>
      <c r="H212" s="922">
        <v>0</v>
      </c>
      <c r="I212" s="879">
        <v>45870</v>
      </c>
      <c r="J212" s="921"/>
      <c r="K212" s="884"/>
      <c r="L212" s="884"/>
      <c r="M212" s="884"/>
      <c r="N212" s="884"/>
      <c r="O212" s="884"/>
      <c r="P212" s="884"/>
      <c r="Q212" s="884"/>
      <c r="R212" s="884"/>
      <c r="S212" s="1417"/>
      <c r="T212" s="883"/>
      <c r="U212" s="884"/>
      <c r="V212" s="884"/>
      <c r="W212" s="884"/>
      <c r="X212" s="884"/>
      <c r="Y212" s="884"/>
      <c r="Z212" s="884"/>
      <c r="AA212" s="884"/>
      <c r="AB212" s="1417"/>
      <c r="AC212" s="1454"/>
    </row>
    <row r="213" spans="1:29" ht="34.35" customHeight="1">
      <c r="A213" s="59" t="s">
        <v>309</v>
      </c>
      <c r="B213" s="61" t="s">
        <v>324</v>
      </c>
      <c r="C213" s="29">
        <v>16</v>
      </c>
      <c r="D213" s="6" t="s">
        <v>314</v>
      </c>
      <c r="E213" s="14" t="s">
        <v>38</v>
      </c>
      <c r="F213" s="2" t="s">
        <v>312</v>
      </c>
      <c r="G213" s="2" t="s">
        <v>40</v>
      </c>
      <c r="H213" s="922">
        <v>0</v>
      </c>
      <c r="I213" s="879">
        <v>45870</v>
      </c>
      <c r="J213" s="921"/>
      <c r="K213" s="884"/>
      <c r="L213" s="884"/>
      <c r="M213" s="884"/>
      <c r="N213" s="884"/>
      <c r="O213" s="884"/>
      <c r="P213" s="884"/>
      <c r="Q213" s="884"/>
      <c r="R213" s="884"/>
      <c r="S213" s="1417"/>
      <c r="T213" s="883"/>
      <c r="U213" s="884"/>
      <c r="V213" s="884"/>
      <c r="W213" s="884"/>
      <c r="X213" s="884"/>
      <c r="Y213" s="884"/>
      <c r="Z213" s="884"/>
      <c r="AA213" s="884"/>
      <c r="AB213" s="1417"/>
      <c r="AC213" s="1455"/>
    </row>
    <row r="214" spans="1:29" ht="34.35" customHeight="1">
      <c r="A214" s="59" t="s">
        <v>309</v>
      </c>
      <c r="B214" s="61" t="s">
        <v>325</v>
      </c>
      <c r="C214" s="29">
        <v>17</v>
      </c>
      <c r="D214" s="5" t="s">
        <v>326</v>
      </c>
      <c r="E214" s="14" t="s">
        <v>38</v>
      </c>
      <c r="F214" s="2" t="s">
        <v>327</v>
      </c>
      <c r="G214" s="2" t="s">
        <v>40</v>
      </c>
      <c r="H214" s="922">
        <v>0</v>
      </c>
      <c r="I214" s="879">
        <v>45870</v>
      </c>
      <c r="J214" s="921"/>
      <c r="K214" s="884"/>
      <c r="L214" s="884"/>
      <c r="M214" s="884"/>
      <c r="N214" s="884"/>
      <c r="O214" s="884"/>
      <c r="P214" s="884"/>
      <c r="Q214" s="884"/>
      <c r="R214" s="884"/>
      <c r="S214" s="1417"/>
      <c r="T214" s="883"/>
      <c r="U214" s="884"/>
      <c r="V214" s="884"/>
      <c r="W214" s="884"/>
      <c r="X214" s="884"/>
      <c r="Y214" s="884"/>
      <c r="Z214" s="884"/>
      <c r="AA214" s="884"/>
      <c r="AB214" s="1417"/>
      <c r="AC214" s="1454"/>
    </row>
    <row r="215" spans="1:29" ht="34.35" customHeight="1">
      <c r="A215" s="59" t="s">
        <v>309</v>
      </c>
      <c r="B215" s="61" t="s">
        <v>325</v>
      </c>
      <c r="C215" s="29">
        <v>18</v>
      </c>
      <c r="D215" s="5" t="s">
        <v>326</v>
      </c>
      <c r="E215" s="14" t="s">
        <v>136</v>
      </c>
      <c r="F215" s="2" t="s">
        <v>327</v>
      </c>
      <c r="G215" s="2" t="s">
        <v>40</v>
      </c>
      <c r="H215" s="922">
        <v>0</v>
      </c>
      <c r="I215" s="879">
        <v>45870</v>
      </c>
      <c r="J215" s="921"/>
      <c r="K215" s="884"/>
      <c r="L215" s="884"/>
      <c r="M215" s="884"/>
      <c r="N215" s="884"/>
      <c r="O215" s="884"/>
      <c r="P215" s="884"/>
      <c r="Q215" s="884"/>
      <c r="R215" s="884"/>
      <c r="S215" s="1417"/>
      <c r="T215" s="883"/>
      <c r="U215" s="884"/>
      <c r="V215" s="884"/>
      <c r="W215" s="884"/>
      <c r="X215" s="884"/>
      <c r="Y215" s="884"/>
      <c r="Z215" s="884"/>
      <c r="AA215" s="884"/>
      <c r="AB215" s="1417"/>
      <c r="AC215" s="1454"/>
    </row>
    <row r="216" spans="1:29" ht="34.35" customHeight="1">
      <c r="A216" s="59" t="s">
        <v>309</v>
      </c>
      <c r="B216" s="61" t="s">
        <v>325</v>
      </c>
      <c r="C216" s="29">
        <v>19</v>
      </c>
      <c r="D216" s="6" t="s">
        <v>328</v>
      </c>
      <c r="E216" s="14" t="s">
        <v>38</v>
      </c>
      <c r="F216" s="2" t="s">
        <v>327</v>
      </c>
      <c r="G216" s="2" t="s">
        <v>40</v>
      </c>
      <c r="H216" s="922" t="s">
        <v>41</v>
      </c>
      <c r="I216" s="879">
        <v>45870</v>
      </c>
      <c r="J216" s="921"/>
      <c r="K216" s="884"/>
      <c r="L216" s="884"/>
      <c r="M216" s="884"/>
      <c r="N216" s="884"/>
      <c r="O216" s="884"/>
      <c r="P216" s="884"/>
      <c r="Q216" s="884"/>
      <c r="R216" s="884"/>
      <c r="S216" s="1417"/>
      <c r="T216" s="883"/>
      <c r="U216" s="884"/>
      <c r="V216" s="884"/>
      <c r="W216" s="884"/>
      <c r="X216" s="884"/>
      <c r="Y216" s="884"/>
      <c r="Z216" s="884"/>
      <c r="AA216" s="884"/>
      <c r="AB216" s="1417"/>
      <c r="AC216" s="1455"/>
    </row>
    <row r="217" spans="1:29" ht="34.35" customHeight="1">
      <c r="A217" s="59" t="s">
        <v>309</v>
      </c>
      <c r="B217" s="61" t="s">
        <v>325</v>
      </c>
      <c r="C217" s="29">
        <v>20</v>
      </c>
      <c r="D217" s="6" t="s">
        <v>328</v>
      </c>
      <c r="E217" s="14" t="s">
        <v>136</v>
      </c>
      <c r="F217" s="2" t="s">
        <v>327</v>
      </c>
      <c r="G217" s="2" t="s">
        <v>40</v>
      </c>
      <c r="H217" s="922" t="s">
        <v>41</v>
      </c>
      <c r="I217" s="879">
        <v>45870</v>
      </c>
      <c r="J217" s="921"/>
      <c r="K217" s="884"/>
      <c r="L217" s="884"/>
      <c r="M217" s="884"/>
      <c r="N217" s="884"/>
      <c r="O217" s="884"/>
      <c r="P217" s="884"/>
      <c r="Q217" s="884"/>
      <c r="R217" s="884"/>
      <c r="S217" s="1417"/>
      <c r="T217" s="883"/>
      <c r="U217" s="884"/>
      <c r="V217" s="884"/>
      <c r="W217" s="884"/>
      <c r="X217" s="884"/>
      <c r="Y217" s="884"/>
      <c r="Z217" s="884"/>
      <c r="AA217" s="884"/>
      <c r="AB217" s="1417"/>
      <c r="AC217" s="1455"/>
    </row>
    <row r="218" spans="1:29" ht="34.35" customHeight="1">
      <c r="A218" s="59" t="s">
        <v>309</v>
      </c>
      <c r="B218" s="61" t="s">
        <v>325</v>
      </c>
      <c r="C218" s="29">
        <v>21</v>
      </c>
      <c r="D218" s="98" t="s">
        <v>329</v>
      </c>
      <c r="E218" s="14" t="s">
        <v>38</v>
      </c>
      <c r="F218" s="2" t="s">
        <v>327</v>
      </c>
      <c r="G218" s="2" t="s">
        <v>40</v>
      </c>
      <c r="H218" s="922" t="s">
        <v>41</v>
      </c>
      <c r="I218" s="879">
        <v>45870</v>
      </c>
      <c r="J218" s="921"/>
      <c r="K218" s="884">
        <v>1</v>
      </c>
      <c r="L218" s="884"/>
      <c r="M218" s="884">
        <v>1</v>
      </c>
      <c r="N218" s="884">
        <v>2</v>
      </c>
      <c r="O218" s="884">
        <v>3</v>
      </c>
      <c r="P218" s="884"/>
      <c r="Q218" s="884"/>
      <c r="R218" s="884"/>
      <c r="S218" s="1417">
        <v>2</v>
      </c>
      <c r="T218" s="883"/>
      <c r="U218" s="884"/>
      <c r="V218" s="884">
        <f>1+20</f>
        <v>21</v>
      </c>
      <c r="W218" s="884">
        <v>2</v>
      </c>
      <c r="X218" s="884">
        <f>28+19</f>
        <v>47</v>
      </c>
      <c r="Y218" s="884">
        <f>47+128</f>
        <v>175</v>
      </c>
      <c r="Z218" s="884">
        <v>4</v>
      </c>
      <c r="AA218" s="884">
        <v>1</v>
      </c>
      <c r="AB218" s="1417">
        <v>7</v>
      </c>
      <c r="AC218" s="1455"/>
    </row>
    <row r="219" spans="1:29" ht="34.35" customHeight="1">
      <c r="A219" s="59" t="s">
        <v>309</v>
      </c>
      <c r="B219" s="61" t="s">
        <v>325</v>
      </c>
      <c r="C219" s="29">
        <v>22</v>
      </c>
      <c r="D219" s="6" t="s">
        <v>329</v>
      </c>
      <c r="E219" s="14" t="s">
        <v>136</v>
      </c>
      <c r="F219" s="2" t="s">
        <v>327</v>
      </c>
      <c r="G219" s="2" t="s">
        <v>40</v>
      </c>
      <c r="H219" s="922" t="s">
        <v>41</v>
      </c>
      <c r="I219" s="879">
        <v>45870</v>
      </c>
      <c r="J219" s="921"/>
      <c r="K219" s="884">
        <v>0.8</v>
      </c>
      <c r="L219" s="884"/>
      <c r="M219" s="884">
        <v>1.05</v>
      </c>
      <c r="N219" s="887">
        <f>1729858.29/1000000</f>
        <v>1.7298582900000001</v>
      </c>
      <c r="O219" s="887">
        <f>1924593.02/1000000</f>
        <v>1.9245930200000001</v>
      </c>
      <c r="P219" s="884"/>
      <c r="Q219" s="884"/>
      <c r="R219" s="884"/>
      <c r="S219" s="1429">
        <f>5223276.26/1000000</f>
        <v>5.2232762599999996</v>
      </c>
      <c r="T219" s="883"/>
      <c r="U219" s="884"/>
      <c r="V219" s="887">
        <f>36850/1000000+21.7</f>
        <v>21.73685</v>
      </c>
      <c r="W219" s="884">
        <v>0.32</v>
      </c>
      <c r="X219" s="887">
        <f>36490564/1000000+173.67</f>
        <v>210.16056399999999</v>
      </c>
      <c r="Y219" s="887">
        <f>32335686.0113289/1000000+59.9</f>
        <v>92.235686011328895</v>
      </c>
      <c r="Z219" s="887">
        <v>2.2999999999999998</v>
      </c>
      <c r="AA219" s="884">
        <v>1.3</v>
      </c>
      <c r="AB219" s="1417">
        <v>7.7</v>
      </c>
      <c r="AC219" s="1455"/>
    </row>
    <row r="220" spans="1:29" ht="34.35" customHeight="1">
      <c r="A220" s="59" t="s">
        <v>309</v>
      </c>
      <c r="B220" s="61" t="s">
        <v>325</v>
      </c>
      <c r="C220" s="29">
        <v>23</v>
      </c>
      <c r="D220" s="98" t="s">
        <v>330</v>
      </c>
      <c r="E220" s="14" t="s">
        <v>38</v>
      </c>
      <c r="F220" s="2" t="s">
        <v>327</v>
      </c>
      <c r="G220" s="2" t="s">
        <v>40</v>
      </c>
      <c r="H220" s="922" t="s">
        <v>41</v>
      </c>
      <c r="I220" s="879">
        <v>45870</v>
      </c>
      <c r="J220" s="921"/>
      <c r="K220" s="884">
        <v>9</v>
      </c>
      <c r="L220" s="884">
        <v>13</v>
      </c>
      <c r="M220" s="884">
        <v>3</v>
      </c>
      <c r="N220" s="884">
        <v>6</v>
      </c>
      <c r="O220" s="884">
        <v>6</v>
      </c>
      <c r="P220" s="884"/>
      <c r="Q220" s="884"/>
      <c r="R220" s="884"/>
      <c r="S220" s="1417">
        <v>3</v>
      </c>
      <c r="T220" s="883"/>
      <c r="U220" s="884"/>
      <c r="V220" s="884">
        <v>12</v>
      </c>
      <c r="W220" s="884">
        <v>2</v>
      </c>
      <c r="X220" s="884">
        <v>2</v>
      </c>
      <c r="Y220" s="884">
        <f>54+105</f>
        <v>159</v>
      </c>
      <c r="Z220" s="884"/>
      <c r="AA220" s="884">
        <v>1</v>
      </c>
      <c r="AB220" s="1417">
        <v>3</v>
      </c>
      <c r="AC220" s="1455"/>
    </row>
    <row r="221" spans="1:29" ht="34.35" customHeight="1">
      <c r="A221" s="59" t="s">
        <v>309</v>
      </c>
      <c r="B221" s="61" t="s">
        <v>325</v>
      </c>
      <c r="C221" s="29">
        <v>24</v>
      </c>
      <c r="D221" s="6" t="s">
        <v>462</v>
      </c>
      <c r="E221" s="14" t="s">
        <v>136</v>
      </c>
      <c r="F221" s="2" t="s">
        <v>327</v>
      </c>
      <c r="G221" s="2" t="s">
        <v>40</v>
      </c>
      <c r="H221" s="922" t="s">
        <v>41</v>
      </c>
      <c r="I221" s="879">
        <v>45870</v>
      </c>
      <c r="J221" s="921"/>
      <c r="K221" s="884">
        <v>2.2200000000000002</v>
      </c>
      <c r="L221" s="884">
        <v>3.78</v>
      </c>
      <c r="M221" s="884">
        <v>1.4</v>
      </c>
      <c r="N221" s="887">
        <f>6489450/1000000</f>
        <v>6.4894499999999997</v>
      </c>
      <c r="O221" s="887">
        <f>4268122.6/1000000</f>
        <v>4.2681225999999999</v>
      </c>
      <c r="P221" s="884"/>
      <c r="Q221" s="884"/>
      <c r="R221" s="884"/>
      <c r="S221" s="1429">
        <f>2982119.4/1000000</f>
        <v>2.9821193999999998</v>
      </c>
      <c r="T221" s="883"/>
      <c r="U221" s="884"/>
      <c r="V221" s="884">
        <v>22.7</v>
      </c>
      <c r="W221" s="884">
        <v>0.57999999999999996</v>
      </c>
      <c r="X221" s="884">
        <f>220000/1000000</f>
        <v>0.22</v>
      </c>
      <c r="Y221" s="887">
        <f>38298490.2/1000000+85.5</f>
        <v>123.7984902</v>
      </c>
      <c r="Z221" s="884"/>
      <c r="AA221" s="884">
        <v>1.5</v>
      </c>
      <c r="AB221" s="1417">
        <v>2.0499999999999998</v>
      </c>
      <c r="AC221" s="1455"/>
    </row>
    <row r="222" spans="1:29" ht="34.35" customHeight="1">
      <c r="A222" s="59" t="s">
        <v>309</v>
      </c>
      <c r="B222" s="61" t="s">
        <v>325</v>
      </c>
      <c r="C222" s="29">
        <v>25</v>
      </c>
      <c r="D222" s="99" t="s">
        <v>331</v>
      </c>
      <c r="E222" s="14" t="s">
        <v>38</v>
      </c>
      <c r="F222" s="2" t="s">
        <v>327</v>
      </c>
      <c r="G222" s="2" t="s">
        <v>332</v>
      </c>
      <c r="H222" s="922">
        <v>0</v>
      </c>
      <c r="I222" s="879">
        <v>45870</v>
      </c>
      <c r="J222" s="921"/>
      <c r="K222" s="884">
        <v>1</v>
      </c>
      <c r="L222" s="884"/>
      <c r="M222" s="884">
        <v>2</v>
      </c>
      <c r="N222" s="884">
        <v>2</v>
      </c>
      <c r="O222" s="884"/>
      <c r="P222" s="884"/>
      <c r="Q222" s="884"/>
      <c r="R222" s="884"/>
      <c r="S222" s="1417">
        <v>1</v>
      </c>
      <c r="T222" s="883"/>
      <c r="U222" s="884"/>
      <c r="V222" s="884">
        <v>1</v>
      </c>
      <c r="W222" s="884"/>
      <c r="X222" s="884">
        <v>2</v>
      </c>
      <c r="Y222" s="884">
        <f>10+1</f>
        <v>11</v>
      </c>
      <c r="Z222" s="884"/>
      <c r="AA222" s="884"/>
      <c r="AB222" s="1417"/>
      <c r="AC222" s="1454"/>
    </row>
    <row r="223" spans="1:29" ht="34.35" customHeight="1">
      <c r="A223" s="59" t="s">
        <v>309</v>
      </c>
      <c r="B223" s="61" t="s">
        <v>325</v>
      </c>
      <c r="C223" s="29">
        <v>26</v>
      </c>
      <c r="D223" s="5" t="s">
        <v>463</v>
      </c>
      <c r="E223" s="14" t="s">
        <v>136</v>
      </c>
      <c r="F223" s="2" t="s">
        <v>327</v>
      </c>
      <c r="G223" s="2" t="s">
        <v>332</v>
      </c>
      <c r="H223" s="922">
        <v>0</v>
      </c>
      <c r="I223" s="879">
        <v>45870</v>
      </c>
      <c r="J223" s="921"/>
      <c r="K223" s="884">
        <v>0.42</v>
      </c>
      <c r="L223" s="884"/>
      <c r="M223" s="884">
        <v>1.05</v>
      </c>
      <c r="N223" s="887">
        <f>2787600/1000000</f>
        <v>2.7875999999999999</v>
      </c>
      <c r="O223" s="884"/>
      <c r="P223" s="884"/>
      <c r="Q223" s="884"/>
      <c r="R223" s="884"/>
      <c r="S223" s="1429">
        <f>1168500/1000000</f>
        <v>1.1685000000000001</v>
      </c>
      <c r="T223" s="883"/>
      <c r="U223" s="884"/>
      <c r="V223" s="884">
        <v>0.39</v>
      </c>
      <c r="W223" s="884"/>
      <c r="X223" s="887">
        <f>1931906/1000000</f>
        <v>1.9319059999999999</v>
      </c>
      <c r="Y223" s="887">
        <f>9559363.5/1000000+1.35</f>
        <v>10.9093635</v>
      </c>
      <c r="Z223" s="884"/>
      <c r="AA223" s="884"/>
      <c r="AB223" s="1417"/>
      <c r="AC223" s="1454"/>
    </row>
    <row r="224" spans="1:29" ht="34.35" customHeight="1">
      <c r="A224" s="59" t="s">
        <v>309</v>
      </c>
      <c r="B224" s="61" t="s">
        <v>325</v>
      </c>
      <c r="C224" s="29">
        <v>27</v>
      </c>
      <c r="D224" s="99" t="s">
        <v>464</v>
      </c>
      <c r="E224" s="14" t="s">
        <v>38</v>
      </c>
      <c r="F224" s="2" t="s">
        <v>327</v>
      </c>
      <c r="G224" s="2" t="s">
        <v>332</v>
      </c>
      <c r="H224" s="922">
        <v>0</v>
      </c>
      <c r="I224" s="879">
        <v>45870</v>
      </c>
      <c r="J224" s="921"/>
      <c r="K224" s="884"/>
      <c r="L224" s="884">
        <v>1</v>
      </c>
      <c r="M224" s="884"/>
      <c r="N224" s="884"/>
      <c r="O224" s="884">
        <v>3</v>
      </c>
      <c r="P224" s="884"/>
      <c r="Q224" s="884"/>
      <c r="R224" s="884"/>
      <c r="S224" s="1417">
        <v>2</v>
      </c>
      <c r="T224" s="883"/>
      <c r="U224" s="884"/>
      <c r="V224" s="884"/>
      <c r="W224" s="884"/>
      <c r="X224" s="884">
        <v>22</v>
      </c>
      <c r="Y224" s="884">
        <f>7+12</f>
        <v>19</v>
      </c>
      <c r="Z224" s="884"/>
      <c r="AA224" s="884"/>
      <c r="AB224" s="1417"/>
      <c r="AC224" s="1454"/>
    </row>
    <row r="225" spans="1:29" ht="34.35" customHeight="1">
      <c r="A225" s="59" t="s">
        <v>309</v>
      </c>
      <c r="B225" s="61" t="s">
        <v>325</v>
      </c>
      <c r="C225" s="29">
        <v>28</v>
      </c>
      <c r="D225" s="5" t="s">
        <v>464</v>
      </c>
      <c r="E225" s="14" t="s">
        <v>136</v>
      </c>
      <c r="F225" s="2" t="s">
        <v>327</v>
      </c>
      <c r="G225" s="2" t="s">
        <v>332</v>
      </c>
      <c r="H225" s="922">
        <v>0</v>
      </c>
      <c r="I225" s="879">
        <v>45870</v>
      </c>
      <c r="J225" s="921"/>
      <c r="K225" s="884"/>
      <c r="L225" s="884">
        <v>0.49</v>
      </c>
      <c r="M225" s="884"/>
      <c r="N225" s="884"/>
      <c r="O225" s="887">
        <f>2142500/1000000</f>
        <v>2.1425000000000001</v>
      </c>
      <c r="P225" s="884"/>
      <c r="Q225" s="884"/>
      <c r="R225" s="884"/>
      <c r="S225" s="1429">
        <f>874095/1000000</f>
        <v>0.87409499999999996</v>
      </c>
      <c r="T225" s="883"/>
      <c r="U225" s="884"/>
      <c r="V225" s="884"/>
      <c r="W225" s="884"/>
      <c r="X225" s="887">
        <f>29315564/1000000</f>
        <v>29.315563999999998</v>
      </c>
      <c r="Y225" s="887">
        <f>4108750/1000000+9.4</f>
        <v>13.508749999999999</v>
      </c>
      <c r="Z225" s="884"/>
      <c r="AA225" s="884"/>
      <c r="AB225" s="1417"/>
      <c r="AC225" s="1454"/>
    </row>
    <row r="226" spans="1:29" ht="34.35" customHeight="1">
      <c r="A226" s="59" t="s">
        <v>309</v>
      </c>
      <c r="B226" s="61" t="s">
        <v>325</v>
      </c>
      <c r="C226" s="29">
        <v>29</v>
      </c>
      <c r="D226" s="5" t="s">
        <v>336</v>
      </c>
      <c r="E226" s="14" t="s">
        <v>38</v>
      </c>
      <c r="F226" s="2" t="s">
        <v>316</v>
      </c>
      <c r="G226" s="2" t="s">
        <v>40</v>
      </c>
      <c r="H226" s="922">
        <v>0</v>
      </c>
      <c r="I226" s="879">
        <v>45870</v>
      </c>
      <c r="J226" s="921"/>
      <c r="K226" s="884"/>
      <c r="L226" s="884"/>
      <c r="M226" s="884"/>
      <c r="N226" s="884"/>
      <c r="O226" s="884"/>
      <c r="P226" s="884"/>
      <c r="Q226" s="884"/>
      <c r="R226" s="884"/>
      <c r="S226" s="1417"/>
      <c r="T226" s="883">
        <v>3</v>
      </c>
      <c r="U226" s="884">
        <v>1</v>
      </c>
      <c r="V226" s="884"/>
      <c r="W226" s="884"/>
      <c r="X226" s="884"/>
      <c r="Y226" s="884"/>
      <c r="Z226" s="884"/>
      <c r="AA226" s="884"/>
      <c r="AB226" s="1417"/>
      <c r="AC226" s="1454"/>
    </row>
    <row r="227" spans="1:29" ht="34.35" customHeight="1">
      <c r="A227" s="59" t="s">
        <v>309</v>
      </c>
      <c r="B227" s="61" t="s">
        <v>325</v>
      </c>
      <c r="C227" s="29">
        <v>30</v>
      </c>
      <c r="D227" s="5" t="s">
        <v>336</v>
      </c>
      <c r="E227" s="14" t="s">
        <v>136</v>
      </c>
      <c r="F227" s="2" t="s">
        <v>316</v>
      </c>
      <c r="G227" s="2" t="s">
        <v>40</v>
      </c>
      <c r="H227" s="922">
        <v>0</v>
      </c>
      <c r="I227" s="879">
        <v>45870</v>
      </c>
      <c r="J227" s="921"/>
      <c r="K227" s="884"/>
      <c r="L227" s="884"/>
      <c r="M227" s="884"/>
      <c r="N227" s="884"/>
      <c r="O227" s="884"/>
      <c r="P227" s="884"/>
      <c r="Q227" s="884"/>
      <c r="R227" s="884"/>
      <c r="S227" s="1417"/>
      <c r="T227" s="883">
        <v>1.19</v>
      </c>
      <c r="U227" s="884">
        <v>0.27</v>
      </c>
      <c r="V227" s="884"/>
      <c r="W227" s="884"/>
      <c r="X227" s="884"/>
      <c r="Y227" s="884"/>
      <c r="Z227" s="884"/>
      <c r="AA227" s="884"/>
      <c r="AB227" s="1417"/>
      <c r="AC227" s="1454"/>
    </row>
    <row r="228" spans="1:29" ht="34.35" customHeight="1">
      <c r="A228" s="59" t="s">
        <v>309</v>
      </c>
      <c r="B228" s="61" t="s">
        <v>325</v>
      </c>
      <c r="C228" s="29">
        <v>31</v>
      </c>
      <c r="D228" s="5" t="s">
        <v>338</v>
      </c>
      <c r="E228" s="14" t="s">
        <v>38</v>
      </c>
      <c r="F228" s="2" t="s">
        <v>316</v>
      </c>
      <c r="G228" s="2" t="s">
        <v>40</v>
      </c>
      <c r="H228" s="922">
        <v>0</v>
      </c>
      <c r="I228" s="879">
        <v>45870</v>
      </c>
      <c r="J228" s="921"/>
      <c r="K228" s="884"/>
      <c r="L228" s="884"/>
      <c r="M228" s="884"/>
      <c r="N228" s="884"/>
      <c r="O228" s="884"/>
      <c r="P228" s="884"/>
      <c r="Q228" s="884"/>
      <c r="R228" s="884"/>
      <c r="S228" s="1417"/>
      <c r="T228" s="883"/>
      <c r="U228" s="884"/>
      <c r="V228" s="884">
        <v>1</v>
      </c>
      <c r="W228" s="884"/>
      <c r="X228" s="884"/>
      <c r="Y228" s="884">
        <v>8</v>
      </c>
      <c r="Z228" s="884"/>
      <c r="AA228" s="884"/>
      <c r="AB228" s="1417"/>
      <c r="AC228" s="1454"/>
    </row>
    <row r="229" spans="1:29" ht="34.35" customHeight="1">
      <c r="A229" s="59" t="s">
        <v>309</v>
      </c>
      <c r="B229" s="61" t="s">
        <v>325</v>
      </c>
      <c r="C229" s="29">
        <v>32</v>
      </c>
      <c r="D229" s="5" t="s">
        <v>338</v>
      </c>
      <c r="E229" s="14" t="s">
        <v>136</v>
      </c>
      <c r="F229" s="2" t="s">
        <v>316</v>
      </c>
      <c r="G229" s="2" t="s">
        <v>40</v>
      </c>
      <c r="H229" s="922">
        <v>0</v>
      </c>
      <c r="I229" s="879">
        <v>45870</v>
      </c>
      <c r="J229" s="921"/>
      <c r="K229" s="884"/>
      <c r="L229" s="884"/>
      <c r="M229" s="884"/>
      <c r="N229" s="884"/>
      <c r="O229" s="884"/>
      <c r="P229" s="884"/>
      <c r="Q229" s="884"/>
      <c r="R229" s="884"/>
      <c r="S229" s="1417"/>
      <c r="T229" s="883"/>
      <c r="U229" s="884"/>
      <c r="V229" s="884">
        <v>0.22</v>
      </c>
      <c r="W229" s="884"/>
      <c r="X229" s="884"/>
      <c r="Y229" s="884">
        <v>2.0699999999999998</v>
      </c>
      <c r="Z229" s="884"/>
      <c r="AA229" s="884"/>
      <c r="AB229" s="1417"/>
      <c r="AC229" s="1454"/>
    </row>
    <row r="230" spans="1:29" ht="34.35" customHeight="1">
      <c r="A230" s="59" t="s">
        <v>309</v>
      </c>
      <c r="B230" s="61" t="s">
        <v>325</v>
      </c>
      <c r="C230" s="29">
        <v>33</v>
      </c>
      <c r="D230" s="5" t="s">
        <v>339</v>
      </c>
      <c r="E230" s="14" t="s">
        <v>133</v>
      </c>
      <c r="F230" s="2" t="s">
        <v>340</v>
      </c>
      <c r="G230" s="2" t="s">
        <v>341</v>
      </c>
      <c r="H230" s="927">
        <v>5.0000000000000001E-3</v>
      </c>
      <c r="I230" s="879">
        <v>45870</v>
      </c>
      <c r="J230" s="921"/>
      <c r="K230" s="884"/>
      <c r="L230" s="884"/>
      <c r="M230" s="884"/>
      <c r="N230" s="884"/>
      <c r="O230" s="884"/>
      <c r="P230" s="884"/>
      <c r="Q230" s="884"/>
      <c r="R230" s="884"/>
      <c r="S230" s="1417"/>
      <c r="T230" s="883"/>
      <c r="U230" s="884"/>
      <c r="V230" s="884"/>
      <c r="W230" s="884"/>
      <c r="X230" s="884"/>
      <c r="Y230" s="884"/>
      <c r="Z230" s="884"/>
      <c r="AA230" s="884"/>
      <c r="AB230" s="1417"/>
      <c r="AC230" s="1457" t="s">
        <v>465</v>
      </c>
    </row>
    <row r="231" spans="1:29" ht="34.35" customHeight="1">
      <c r="A231" s="59" t="s">
        <v>309</v>
      </c>
      <c r="B231" s="61" t="s">
        <v>325</v>
      </c>
      <c r="C231" s="29">
        <v>34</v>
      </c>
      <c r="D231" s="5" t="s">
        <v>339</v>
      </c>
      <c r="E231" s="14" t="s">
        <v>136</v>
      </c>
      <c r="F231" s="2" t="s">
        <v>340</v>
      </c>
      <c r="G231" s="2" t="s">
        <v>341</v>
      </c>
      <c r="H231" s="928" t="s">
        <v>41</v>
      </c>
      <c r="I231" s="879">
        <v>45870</v>
      </c>
      <c r="J231" s="921"/>
      <c r="K231" s="884"/>
      <c r="L231" s="884"/>
      <c r="M231" s="884"/>
      <c r="N231" s="884"/>
      <c r="O231" s="884"/>
      <c r="P231" s="884"/>
      <c r="Q231" s="884"/>
      <c r="R231" s="884"/>
      <c r="S231" s="1417"/>
      <c r="T231" s="883"/>
      <c r="U231" s="884"/>
      <c r="V231" s="884"/>
      <c r="W231" s="884"/>
      <c r="X231" s="884"/>
      <c r="Y231" s="884"/>
      <c r="Z231" s="884"/>
      <c r="AA231" s="884"/>
      <c r="AB231" s="1417"/>
      <c r="AC231" s="1454"/>
    </row>
    <row r="232" spans="1:29" ht="34.35" customHeight="1">
      <c r="A232" s="59" t="s">
        <v>309</v>
      </c>
      <c r="B232" s="61" t="s">
        <v>325</v>
      </c>
      <c r="C232" s="29">
        <v>35</v>
      </c>
      <c r="D232" s="5" t="s">
        <v>342</v>
      </c>
      <c r="E232" s="14" t="s">
        <v>133</v>
      </c>
      <c r="F232" s="2" t="s">
        <v>106</v>
      </c>
      <c r="G232" s="2" t="s">
        <v>285</v>
      </c>
      <c r="H232" s="933"/>
      <c r="I232" s="879">
        <v>45870</v>
      </c>
      <c r="J232" s="921"/>
      <c r="K232" s="884"/>
      <c r="L232" s="884"/>
      <c r="M232" s="884"/>
      <c r="N232" s="884"/>
      <c r="O232" s="884"/>
      <c r="P232" s="884"/>
      <c r="Q232" s="884"/>
      <c r="R232" s="884"/>
      <c r="S232" s="1417"/>
      <c r="T232" s="883"/>
      <c r="U232" s="884"/>
      <c r="V232" s="884"/>
      <c r="W232" s="884"/>
      <c r="X232" s="884"/>
      <c r="Y232" s="884"/>
      <c r="Z232" s="884"/>
      <c r="AA232" s="884"/>
      <c r="AB232" s="1417"/>
      <c r="AC232" s="1454"/>
    </row>
    <row r="233" spans="1:29" ht="34.35" customHeight="1">
      <c r="A233" s="59" t="s">
        <v>309</v>
      </c>
      <c r="B233" s="61" t="s">
        <v>325</v>
      </c>
      <c r="C233" s="29">
        <v>36</v>
      </c>
      <c r="D233" s="5" t="s">
        <v>342</v>
      </c>
      <c r="E233" s="14" t="s">
        <v>136</v>
      </c>
      <c r="F233" s="2" t="s">
        <v>106</v>
      </c>
      <c r="G233" s="2" t="s">
        <v>285</v>
      </c>
      <c r="H233" s="924"/>
      <c r="I233" s="879">
        <v>45870</v>
      </c>
      <c r="J233" s="921"/>
      <c r="K233" s="884"/>
      <c r="L233" s="884"/>
      <c r="M233" s="884"/>
      <c r="N233" s="884"/>
      <c r="O233" s="884"/>
      <c r="P233" s="884"/>
      <c r="Q233" s="884"/>
      <c r="R233" s="884"/>
      <c r="S233" s="1417"/>
      <c r="T233" s="883"/>
      <c r="U233" s="884"/>
      <c r="V233" s="884"/>
      <c r="W233" s="884"/>
      <c r="X233" s="884"/>
      <c r="Y233" s="884"/>
      <c r="Z233" s="884"/>
      <c r="AA233" s="884"/>
      <c r="AB233" s="1417"/>
      <c r="AC233" s="1454"/>
    </row>
    <row r="234" spans="1:29" ht="34.35" customHeight="1">
      <c r="A234" s="59" t="s">
        <v>309</v>
      </c>
      <c r="B234" s="61" t="s">
        <v>325</v>
      </c>
      <c r="C234" s="29">
        <v>37</v>
      </c>
      <c r="D234" s="6" t="s">
        <v>343</v>
      </c>
      <c r="E234" s="14" t="s">
        <v>38</v>
      </c>
      <c r="F234" s="2" t="s">
        <v>105</v>
      </c>
      <c r="G234" s="2"/>
      <c r="H234" s="925" t="s">
        <v>41</v>
      </c>
      <c r="I234" s="879">
        <v>45870</v>
      </c>
      <c r="J234" s="921"/>
      <c r="K234" s="884"/>
      <c r="L234" s="884"/>
      <c r="M234" s="884"/>
      <c r="N234" s="884"/>
      <c r="O234" s="884"/>
      <c r="P234" s="884"/>
      <c r="Q234" s="884"/>
      <c r="R234" s="884"/>
      <c r="S234" s="1417"/>
      <c r="T234" s="883"/>
      <c r="U234" s="884"/>
      <c r="V234" s="884"/>
      <c r="W234" s="884"/>
      <c r="X234" s="884"/>
      <c r="Y234" s="884"/>
      <c r="Z234" s="884"/>
      <c r="AA234" s="884"/>
      <c r="AB234" s="1417"/>
      <c r="AC234" s="1455"/>
    </row>
    <row r="235" spans="1:29" ht="34.35" customHeight="1">
      <c r="A235" s="59" t="s">
        <v>309</v>
      </c>
      <c r="B235" s="61" t="s">
        <v>325</v>
      </c>
      <c r="C235" s="29">
        <v>38</v>
      </c>
      <c r="D235" s="6" t="s">
        <v>343</v>
      </c>
      <c r="E235" s="14" t="s">
        <v>136</v>
      </c>
      <c r="F235" s="2" t="s">
        <v>105</v>
      </c>
      <c r="G235" s="2"/>
      <c r="H235" s="929">
        <f>84578725.86/10^6</f>
        <v>84.578725860000006</v>
      </c>
      <c r="I235" s="879">
        <v>45870</v>
      </c>
      <c r="J235" s="930">
        <f>16584964.96/10^6</f>
        <v>16.584964960000001</v>
      </c>
      <c r="K235" s="930" t="s">
        <v>41</v>
      </c>
      <c r="L235" s="930">
        <f>302665.2/10^6</f>
        <v>0.30266520000000002</v>
      </c>
      <c r="M235" s="884" t="s">
        <v>41</v>
      </c>
      <c r="N235" s="930">
        <f>2302496.72/10^6</f>
        <v>2.3024967200000002</v>
      </c>
      <c r="O235" s="930" t="s">
        <v>41</v>
      </c>
      <c r="P235" s="930">
        <f>190968.11/10^6</f>
        <v>0.19096811</v>
      </c>
      <c r="Q235" s="884" t="s">
        <v>41</v>
      </c>
      <c r="R235" s="930">
        <f>315649.9/10^6</f>
        <v>0.31564990000000004</v>
      </c>
      <c r="S235" s="930">
        <f>173265.18/10^6</f>
        <v>0.17326517999999999</v>
      </c>
      <c r="T235" s="883"/>
      <c r="U235" s="884"/>
      <c r="V235" s="884"/>
      <c r="W235" s="884"/>
      <c r="X235" s="884"/>
      <c r="Y235" s="884"/>
      <c r="Z235" s="884"/>
      <c r="AA235" s="884"/>
      <c r="AB235" s="1417"/>
      <c r="AC235" s="1455"/>
    </row>
    <row r="236" spans="1:29" ht="34.35" customHeight="1">
      <c r="A236" s="59" t="s">
        <v>309</v>
      </c>
      <c r="B236" s="61" t="s">
        <v>325</v>
      </c>
      <c r="C236" s="29">
        <v>39</v>
      </c>
      <c r="D236" s="5" t="s">
        <v>344</v>
      </c>
      <c r="E236" s="14" t="s">
        <v>136</v>
      </c>
      <c r="F236" s="2" t="s">
        <v>110</v>
      </c>
      <c r="G236" s="2" t="s">
        <v>345</v>
      </c>
      <c r="H236" s="920">
        <v>3.17</v>
      </c>
      <c r="I236" s="879">
        <v>45870</v>
      </c>
      <c r="J236" s="921"/>
      <c r="K236" s="884"/>
      <c r="L236" s="884"/>
      <c r="M236" s="884"/>
      <c r="N236" s="884"/>
      <c r="O236" s="884"/>
      <c r="P236" s="884"/>
      <c r="Q236" s="884"/>
      <c r="R236" s="884"/>
      <c r="S236" s="1417"/>
      <c r="T236" s="883"/>
      <c r="U236" s="884"/>
      <c r="V236" s="884"/>
      <c r="W236" s="884"/>
      <c r="X236" s="884"/>
      <c r="Y236" s="884"/>
      <c r="Z236" s="884"/>
      <c r="AA236" s="884"/>
      <c r="AB236" s="1417"/>
      <c r="AC236" s="1454"/>
    </row>
    <row r="237" spans="1:29" ht="34.35" customHeight="1">
      <c r="A237" s="59" t="s">
        <v>309</v>
      </c>
      <c r="B237" s="61" t="s">
        <v>325</v>
      </c>
      <c r="C237" s="29">
        <v>40</v>
      </c>
      <c r="D237" s="5" t="s">
        <v>346</v>
      </c>
      <c r="E237" s="14" t="s">
        <v>136</v>
      </c>
      <c r="F237" s="2" t="s">
        <v>110</v>
      </c>
      <c r="G237" s="2" t="s">
        <v>345</v>
      </c>
      <c r="H237" s="920">
        <v>5.84</v>
      </c>
      <c r="I237" s="879">
        <v>45870</v>
      </c>
      <c r="J237" s="921"/>
      <c r="K237" s="884"/>
      <c r="L237" s="884"/>
      <c r="M237" s="884"/>
      <c r="N237" s="884"/>
      <c r="O237" s="884"/>
      <c r="P237" s="884"/>
      <c r="Q237" s="884"/>
      <c r="R237" s="884"/>
      <c r="S237" s="1417"/>
      <c r="T237" s="883"/>
      <c r="U237" s="884"/>
      <c r="V237" s="884"/>
      <c r="W237" s="884"/>
      <c r="X237" s="884"/>
      <c r="Y237" s="884"/>
      <c r="Z237" s="884"/>
      <c r="AA237" s="884"/>
      <c r="AB237" s="1417"/>
      <c r="AC237" s="1454"/>
    </row>
    <row r="238" spans="1:29" ht="34.35" customHeight="1">
      <c r="A238" s="59" t="s">
        <v>309</v>
      </c>
      <c r="B238" s="61" t="s">
        <v>325</v>
      </c>
      <c r="C238" s="29">
        <v>41</v>
      </c>
      <c r="D238" s="5" t="s">
        <v>347</v>
      </c>
      <c r="E238" s="14" t="s">
        <v>38</v>
      </c>
      <c r="F238" s="2" t="s">
        <v>106</v>
      </c>
      <c r="G238" s="2" t="s">
        <v>285</v>
      </c>
      <c r="H238" s="924"/>
      <c r="I238" s="879">
        <v>45870</v>
      </c>
      <c r="J238" s="921"/>
      <c r="K238" s="884"/>
      <c r="L238" s="884"/>
      <c r="M238" s="884"/>
      <c r="N238" s="884"/>
      <c r="O238" s="884"/>
      <c r="P238" s="884"/>
      <c r="Q238" s="884"/>
      <c r="R238" s="884"/>
      <c r="S238" s="1417"/>
      <c r="T238" s="883"/>
      <c r="U238" s="884"/>
      <c r="V238" s="884"/>
      <c r="W238" s="884"/>
      <c r="X238" s="884"/>
      <c r="Y238" s="884"/>
      <c r="Z238" s="884"/>
      <c r="AA238" s="884"/>
      <c r="AB238" s="1417"/>
      <c r="AC238" s="1454"/>
    </row>
    <row r="239" spans="1:29" ht="34.35" customHeight="1">
      <c r="A239" s="59" t="s">
        <v>309</v>
      </c>
      <c r="B239" s="61" t="s">
        <v>325</v>
      </c>
      <c r="C239" s="29">
        <v>42</v>
      </c>
      <c r="D239" s="5" t="s">
        <v>347</v>
      </c>
      <c r="E239" s="14" t="s">
        <v>136</v>
      </c>
      <c r="F239" s="2" t="s">
        <v>106</v>
      </c>
      <c r="G239" s="2" t="s">
        <v>285</v>
      </c>
      <c r="H239" s="924"/>
      <c r="I239" s="879">
        <v>45870</v>
      </c>
      <c r="J239" s="921"/>
      <c r="K239" s="884"/>
      <c r="L239" s="884"/>
      <c r="M239" s="884"/>
      <c r="N239" s="884"/>
      <c r="O239" s="884"/>
      <c r="P239" s="884"/>
      <c r="Q239" s="884"/>
      <c r="R239" s="884"/>
      <c r="S239" s="1417"/>
      <c r="T239" s="883"/>
      <c r="U239" s="884"/>
      <c r="V239" s="884"/>
      <c r="W239" s="884"/>
      <c r="X239" s="884"/>
      <c r="Y239" s="884"/>
      <c r="Z239" s="884"/>
      <c r="AA239" s="884"/>
      <c r="AB239" s="1417"/>
      <c r="AC239" s="1454"/>
    </row>
    <row r="240" spans="1:29" ht="34.35" customHeight="1">
      <c r="A240" s="59" t="s">
        <v>309</v>
      </c>
      <c r="B240" s="61" t="s">
        <v>325</v>
      </c>
      <c r="C240" s="29">
        <v>43</v>
      </c>
      <c r="D240" s="5" t="s">
        <v>349</v>
      </c>
      <c r="E240" s="14" t="s">
        <v>136</v>
      </c>
      <c r="F240" s="2" t="s">
        <v>340</v>
      </c>
      <c r="G240" s="2" t="s">
        <v>134</v>
      </c>
      <c r="H240" s="920">
        <v>5.4</v>
      </c>
      <c r="I240" s="879">
        <v>45870</v>
      </c>
      <c r="J240" s="921"/>
      <c r="K240" s="884"/>
      <c r="L240" s="884"/>
      <c r="M240" s="884"/>
      <c r="N240" s="884"/>
      <c r="O240" s="884"/>
      <c r="P240" s="884"/>
      <c r="Q240" s="884"/>
      <c r="R240" s="884"/>
      <c r="S240" s="1417"/>
      <c r="T240" s="883"/>
      <c r="U240" s="884"/>
      <c r="V240" s="884"/>
      <c r="W240" s="884"/>
      <c r="X240" s="884"/>
      <c r="Y240" s="884"/>
      <c r="Z240" s="884"/>
      <c r="AA240" s="884"/>
      <c r="AB240" s="1417"/>
      <c r="AC240" s="1454"/>
    </row>
    <row r="241" spans="1:29" ht="34.35" customHeight="1">
      <c r="A241" s="59" t="s">
        <v>309</v>
      </c>
      <c r="B241" s="61" t="s">
        <v>325</v>
      </c>
      <c r="C241" s="29">
        <v>44</v>
      </c>
      <c r="D241" s="5" t="s">
        <v>350</v>
      </c>
      <c r="E241" s="14" t="s">
        <v>38</v>
      </c>
      <c r="F241" s="2" t="s">
        <v>106</v>
      </c>
      <c r="G241" s="2" t="s">
        <v>134</v>
      </c>
      <c r="H241" s="924">
        <v>200</v>
      </c>
      <c r="I241" s="879">
        <v>45870</v>
      </c>
      <c r="J241" s="921"/>
      <c r="K241" s="884"/>
      <c r="L241" s="884"/>
      <c r="M241" s="884"/>
      <c r="N241" s="884"/>
      <c r="O241" s="884"/>
      <c r="P241" s="884"/>
      <c r="Q241" s="884"/>
      <c r="R241" s="884"/>
      <c r="S241" s="1417"/>
      <c r="T241" s="883"/>
      <c r="U241" s="884"/>
      <c r="V241" s="884"/>
      <c r="W241" s="884"/>
      <c r="X241" s="884"/>
      <c r="Y241" s="884"/>
      <c r="Z241" s="884"/>
      <c r="AA241" s="884"/>
      <c r="AB241" s="1417"/>
      <c r="AC241" s="1454"/>
    </row>
    <row r="242" spans="1:29" ht="34.35" customHeight="1">
      <c r="A242" s="59" t="s">
        <v>309</v>
      </c>
      <c r="B242" s="61" t="s">
        <v>325</v>
      </c>
      <c r="C242" s="29">
        <v>45</v>
      </c>
      <c r="D242" s="5" t="s">
        <v>350</v>
      </c>
      <c r="E242" s="14" t="s">
        <v>136</v>
      </c>
      <c r="F242" s="2" t="s">
        <v>106</v>
      </c>
      <c r="G242" s="2" t="s">
        <v>134</v>
      </c>
      <c r="H242" s="924">
        <v>90</v>
      </c>
      <c r="I242" s="879">
        <v>45870</v>
      </c>
      <c r="J242" s="921"/>
      <c r="K242" s="884"/>
      <c r="L242" s="884"/>
      <c r="M242" s="884"/>
      <c r="N242" s="884"/>
      <c r="O242" s="884"/>
      <c r="P242" s="884"/>
      <c r="Q242" s="884"/>
      <c r="R242" s="884"/>
      <c r="S242" s="1417"/>
      <c r="T242" s="883"/>
      <c r="U242" s="884"/>
      <c r="V242" s="884"/>
      <c r="W242" s="884"/>
      <c r="X242" s="884"/>
      <c r="Y242" s="884"/>
      <c r="Z242" s="884"/>
      <c r="AA242" s="884"/>
      <c r="AB242" s="1417"/>
      <c r="AC242" s="1454"/>
    </row>
    <row r="243" spans="1:29" ht="34.35" customHeight="1">
      <c r="A243" s="59" t="s">
        <v>309</v>
      </c>
      <c r="B243" s="62" t="s">
        <v>351</v>
      </c>
      <c r="C243" s="29">
        <v>46</v>
      </c>
      <c r="D243" s="63" t="s">
        <v>41</v>
      </c>
      <c r="E243" s="14" t="s">
        <v>353</v>
      </c>
      <c r="F243" s="2" t="s">
        <v>312</v>
      </c>
      <c r="G243" s="1" t="s">
        <v>40</v>
      </c>
      <c r="H243" s="920">
        <v>1.2</v>
      </c>
      <c r="I243" s="879">
        <v>45870</v>
      </c>
      <c r="J243" s="921"/>
      <c r="K243" s="884"/>
      <c r="L243" s="884"/>
      <c r="M243" s="884"/>
      <c r="N243" s="884"/>
      <c r="O243" s="884"/>
      <c r="P243" s="884"/>
      <c r="Q243" s="884"/>
      <c r="R243" s="884"/>
      <c r="S243" s="1417"/>
      <c r="T243" s="883"/>
      <c r="U243" s="884"/>
      <c r="V243" s="884"/>
      <c r="W243" s="884"/>
      <c r="X243" s="884"/>
      <c r="Y243" s="884"/>
      <c r="Z243" s="884"/>
      <c r="AA243" s="884"/>
      <c r="AB243" s="1417"/>
      <c r="AC243" s="1456" t="s">
        <v>352</v>
      </c>
    </row>
    <row r="244" spans="1:29" ht="34.35" customHeight="1">
      <c r="A244" s="59" t="s">
        <v>309</v>
      </c>
      <c r="B244" s="64" t="s">
        <v>354</v>
      </c>
      <c r="C244" s="29">
        <v>47</v>
      </c>
      <c r="D244" s="63" t="s">
        <v>41</v>
      </c>
      <c r="E244" s="14" t="s">
        <v>353</v>
      </c>
      <c r="F244" s="2" t="s">
        <v>327</v>
      </c>
      <c r="G244" s="1" t="s">
        <v>40</v>
      </c>
      <c r="H244" s="922">
        <v>0</v>
      </c>
      <c r="I244" s="879">
        <v>45870</v>
      </c>
      <c r="J244" s="921"/>
      <c r="K244" s="884"/>
      <c r="L244" s="884"/>
      <c r="M244" s="884"/>
      <c r="N244" s="884"/>
      <c r="O244" s="884"/>
      <c r="P244" s="884"/>
      <c r="Q244" s="884"/>
      <c r="R244" s="884"/>
      <c r="S244" s="1417"/>
      <c r="T244" s="883"/>
      <c r="U244" s="884"/>
      <c r="V244" s="884"/>
      <c r="W244" s="884"/>
      <c r="X244" s="884"/>
      <c r="Y244" s="884"/>
      <c r="Z244" s="884"/>
      <c r="AA244" s="884"/>
      <c r="AB244" s="1417"/>
      <c r="AC244" s="1457" t="s">
        <v>466</v>
      </c>
    </row>
    <row r="245" spans="1:29" ht="34.35" customHeight="1">
      <c r="A245" s="59" t="s">
        <v>309</v>
      </c>
      <c r="B245" s="64" t="s">
        <v>356</v>
      </c>
      <c r="C245" s="29">
        <v>48</v>
      </c>
      <c r="D245" s="63" t="s">
        <v>41</v>
      </c>
      <c r="E245" s="14" t="s">
        <v>353</v>
      </c>
      <c r="F245" s="2" t="s">
        <v>321</v>
      </c>
      <c r="G245" s="1" t="s">
        <v>40</v>
      </c>
      <c r="H245" s="922">
        <v>0</v>
      </c>
      <c r="I245" s="879">
        <v>45870</v>
      </c>
      <c r="J245" s="921" t="s">
        <v>41</v>
      </c>
      <c r="K245" s="884" t="s">
        <v>41</v>
      </c>
      <c r="L245" s="884" t="s">
        <v>41</v>
      </c>
      <c r="M245" s="884" t="s">
        <v>41</v>
      </c>
      <c r="N245" s="884" t="s">
        <v>41</v>
      </c>
      <c r="O245" s="884" t="s">
        <v>41</v>
      </c>
      <c r="P245" s="884" t="s">
        <v>41</v>
      </c>
      <c r="Q245" s="884" t="s">
        <v>41</v>
      </c>
      <c r="R245" s="884" t="s">
        <v>41</v>
      </c>
      <c r="S245" s="1417" t="s">
        <v>41</v>
      </c>
      <c r="T245" s="883" t="s">
        <v>41</v>
      </c>
      <c r="U245" s="884" t="s">
        <v>41</v>
      </c>
      <c r="V245" s="884" t="s">
        <v>41</v>
      </c>
      <c r="W245" s="884" t="s">
        <v>41</v>
      </c>
      <c r="X245" s="884" t="s">
        <v>41</v>
      </c>
      <c r="Y245" s="884" t="s">
        <v>41</v>
      </c>
      <c r="Z245" s="884" t="s">
        <v>41</v>
      </c>
      <c r="AA245" s="884" t="s">
        <v>41</v>
      </c>
      <c r="AB245" s="1417" t="s">
        <v>41</v>
      </c>
      <c r="AC245" s="1457" t="s">
        <v>466</v>
      </c>
    </row>
    <row r="246" spans="1:29" ht="34.35" customHeight="1">
      <c r="A246" s="69" t="s">
        <v>309</v>
      </c>
      <c r="B246" s="11" t="s">
        <v>357</v>
      </c>
      <c r="C246" s="73">
        <v>49</v>
      </c>
      <c r="D246" s="7" t="s">
        <v>41</v>
      </c>
      <c r="E246" s="71" t="s">
        <v>38</v>
      </c>
      <c r="F246" s="2" t="s">
        <v>312</v>
      </c>
      <c r="G246" s="1" t="s">
        <v>41</v>
      </c>
      <c r="I246" s="879">
        <v>45870</v>
      </c>
      <c r="J246" s="931"/>
      <c r="K246" s="887"/>
      <c r="L246" s="887"/>
      <c r="M246" s="887"/>
      <c r="N246" s="887"/>
      <c r="O246" s="887"/>
      <c r="P246" s="887"/>
      <c r="Q246" s="887"/>
      <c r="R246" s="887"/>
      <c r="S246" s="887"/>
      <c r="T246" s="887"/>
      <c r="U246" s="887"/>
      <c r="V246" s="887"/>
      <c r="W246" s="887"/>
      <c r="X246" s="887"/>
      <c r="Y246" s="887"/>
      <c r="Z246" s="887"/>
      <c r="AA246" s="887"/>
      <c r="AC246" s="1459"/>
    </row>
    <row r="247" spans="1:29" ht="34.35" customHeight="1">
      <c r="A247" s="59" t="s">
        <v>309</v>
      </c>
      <c r="B247" s="60" t="s">
        <v>310</v>
      </c>
      <c r="C247" s="29">
        <v>1</v>
      </c>
      <c r="D247" s="5" t="s">
        <v>311</v>
      </c>
      <c r="E247" s="14" t="s">
        <v>38</v>
      </c>
      <c r="F247" s="2" t="s">
        <v>312</v>
      </c>
      <c r="G247" s="2" t="s">
        <v>40</v>
      </c>
      <c r="H247" s="920">
        <v>0</v>
      </c>
      <c r="I247" s="879">
        <v>45901</v>
      </c>
      <c r="J247" s="921"/>
      <c r="K247" s="884"/>
      <c r="L247" s="884"/>
      <c r="M247" s="884"/>
      <c r="N247" s="884"/>
      <c r="O247" s="884"/>
      <c r="P247" s="884"/>
      <c r="Q247" s="884"/>
      <c r="R247" s="884"/>
      <c r="S247" s="1417"/>
      <c r="T247" s="883"/>
      <c r="U247" s="884"/>
      <c r="V247" s="884"/>
      <c r="W247" s="884"/>
      <c r="X247" s="884"/>
      <c r="Y247" s="884"/>
      <c r="Z247" s="884"/>
      <c r="AA247" s="884"/>
      <c r="AB247" s="1417"/>
      <c r="AC247" s="1454"/>
    </row>
    <row r="248" spans="1:29" ht="34.35" customHeight="1">
      <c r="A248" s="59" t="s">
        <v>309</v>
      </c>
      <c r="B248" s="60" t="s">
        <v>310</v>
      </c>
      <c r="C248" s="29">
        <v>2</v>
      </c>
      <c r="D248" s="5" t="s">
        <v>313</v>
      </c>
      <c r="E248" s="14" t="s">
        <v>38</v>
      </c>
      <c r="F248" s="2" t="s">
        <v>312</v>
      </c>
      <c r="G248" s="2" t="s">
        <v>40</v>
      </c>
      <c r="H248" s="920">
        <v>0</v>
      </c>
      <c r="I248" s="879">
        <v>45901</v>
      </c>
      <c r="J248" s="921"/>
      <c r="K248" s="884"/>
      <c r="L248" s="884"/>
      <c r="M248" s="884"/>
      <c r="N248" s="884"/>
      <c r="O248" s="884"/>
      <c r="P248" s="884"/>
      <c r="Q248" s="884"/>
      <c r="R248" s="884"/>
      <c r="S248" s="1417"/>
      <c r="T248" s="883"/>
      <c r="U248" s="884"/>
      <c r="V248" s="884"/>
      <c r="W248" s="884"/>
      <c r="X248" s="884"/>
      <c r="Y248" s="884"/>
      <c r="Z248" s="884"/>
      <c r="AA248" s="884"/>
      <c r="AB248" s="1417"/>
      <c r="AC248" s="1454"/>
    </row>
    <row r="249" spans="1:29" ht="34.35" customHeight="1">
      <c r="A249" s="59" t="s">
        <v>309</v>
      </c>
      <c r="B249" s="60" t="s">
        <v>310</v>
      </c>
      <c r="C249" s="29">
        <v>3</v>
      </c>
      <c r="D249" s="6" t="s">
        <v>314</v>
      </c>
      <c r="E249" s="14" t="s">
        <v>38</v>
      </c>
      <c r="F249" s="2" t="s">
        <v>312</v>
      </c>
      <c r="G249" s="2" t="s">
        <v>40</v>
      </c>
      <c r="H249" s="920">
        <v>0</v>
      </c>
      <c r="I249" s="879">
        <v>45901</v>
      </c>
      <c r="J249" s="921"/>
      <c r="K249" s="884"/>
      <c r="L249" s="884"/>
      <c r="M249" s="884"/>
      <c r="N249" s="884"/>
      <c r="O249" s="884"/>
      <c r="P249" s="884"/>
      <c r="Q249" s="884"/>
      <c r="R249" s="884"/>
      <c r="S249" s="1417"/>
      <c r="T249" s="883"/>
      <c r="U249" s="884"/>
      <c r="V249" s="884"/>
      <c r="W249" s="884"/>
      <c r="X249" s="884"/>
      <c r="Y249" s="884"/>
      <c r="Z249" s="884"/>
      <c r="AA249" s="884"/>
      <c r="AB249" s="1417"/>
      <c r="AC249" s="1455"/>
    </row>
    <row r="250" spans="1:29" ht="34.35" customHeight="1">
      <c r="A250" s="59" t="s">
        <v>309</v>
      </c>
      <c r="B250" s="60" t="s">
        <v>310</v>
      </c>
      <c r="C250" s="29">
        <v>4</v>
      </c>
      <c r="D250" s="5" t="s">
        <v>315</v>
      </c>
      <c r="E250" s="14" t="s">
        <v>38</v>
      </c>
      <c r="F250" s="2" t="s">
        <v>316</v>
      </c>
      <c r="G250" s="2" t="s">
        <v>40</v>
      </c>
      <c r="H250" s="920">
        <v>280</v>
      </c>
      <c r="I250" s="879">
        <v>45901</v>
      </c>
      <c r="J250" s="921"/>
      <c r="K250" s="884"/>
      <c r="L250" s="884"/>
      <c r="M250" s="884"/>
      <c r="N250" s="884">
        <v>2</v>
      </c>
      <c r="O250" s="884"/>
      <c r="P250" s="884"/>
      <c r="Q250" s="884"/>
      <c r="R250" s="884">
        <v>1</v>
      </c>
      <c r="S250" s="922"/>
      <c r="T250" s="883"/>
      <c r="U250" s="884"/>
      <c r="V250" s="884">
        <v>12</v>
      </c>
      <c r="W250" s="884"/>
      <c r="X250" s="884"/>
      <c r="Y250" s="884">
        <f>7+5</f>
        <v>12</v>
      </c>
      <c r="Z250" s="884">
        <v>1</v>
      </c>
      <c r="AA250" s="884"/>
      <c r="AB250" s="1417"/>
      <c r="AC250" s="1456" t="s">
        <v>458</v>
      </c>
    </row>
    <row r="251" spans="1:29" ht="34.35" customHeight="1">
      <c r="A251" s="59" t="s">
        <v>309</v>
      </c>
      <c r="B251" s="60" t="s">
        <v>310</v>
      </c>
      <c r="C251" s="29">
        <v>5</v>
      </c>
      <c r="D251" s="5" t="s">
        <v>315</v>
      </c>
      <c r="E251" s="14" t="s">
        <v>136</v>
      </c>
      <c r="F251" s="2" t="s">
        <v>316</v>
      </c>
      <c r="G251" s="2" t="s">
        <v>40</v>
      </c>
      <c r="H251" s="920">
        <v>106</v>
      </c>
      <c r="I251" s="879">
        <v>45901</v>
      </c>
      <c r="J251" s="921"/>
      <c r="K251" s="884"/>
      <c r="L251" s="884"/>
      <c r="M251" s="884"/>
      <c r="N251" s="884">
        <f>0.721+0.106</f>
        <v>0.82699999999999996</v>
      </c>
      <c r="O251" s="884"/>
      <c r="P251" s="884"/>
      <c r="Q251" s="884"/>
      <c r="R251" s="884">
        <v>3.6999999999999998E-2</v>
      </c>
      <c r="S251" s="922"/>
      <c r="T251" s="883"/>
      <c r="U251" s="884"/>
      <c r="V251" s="884">
        <f>0.79+0.054</f>
        <v>0.84400000000000008</v>
      </c>
      <c r="W251" s="884"/>
      <c r="X251" s="884"/>
      <c r="Y251" s="885">
        <f>4.737+0.6747</f>
        <v>5.4116999999999997</v>
      </c>
      <c r="Z251" s="884">
        <v>0.80500000000000005</v>
      </c>
      <c r="AA251" s="884"/>
      <c r="AB251" s="1417"/>
      <c r="AC251" s="1456" t="s">
        <v>459</v>
      </c>
    </row>
    <row r="252" spans="1:29" ht="34.35" customHeight="1">
      <c r="A252" s="59" t="s">
        <v>309</v>
      </c>
      <c r="B252" s="60" t="s">
        <v>310</v>
      </c>
      <c r="C252" s="29">
        <v>6</v>
      </c>
      <c r="D252" s="5" t="s">
        <v>317</v>
      </c>
      <c r="E252" s="14" t="s">
        <v>38</v>
      </c>
      <c r="F252" s="2" t="s">
        <v>316</v>
      </c>
      <c r="G252" s="2" t="s">
        <v>40</v>
      </c>
      <c r="H252" s="920">
        <v>0</v>
      </c>
      <c r="I252" s="879">
        <v>45901</v>
      </c>
      <c r="J252" s="921"/>
      <c r="K252" s="884"/>
      <c r="L252" s="884"/>
      <c r="M252" s="884"/>
      <c r="N252" s="884"/>
      <c r="O252" s="884"/>
      <c r="P252" s="884"/>
      <c r="Q252" s="884"/>
      <c r="R252" s="884"/>
      <c r="S252" s="1417"/>
      <c r="T252" s="883"/>
      <c r="U252" s="884"/>
      <c r="V252" s="884"/>
      <c r="W252" s="884"/>
      <c r="X252" s="884"/>
      <c r="Y252" s="884"/>
      <c r="Z252" s="884"/>
      <c r="AA252" s="884"/>
      <c r="AB252" s="1417"/>
      <c r="AC252" s="1454"/>
    </row>
    <row r="253" spans="1:29" ht="34.35" customHeight="1">
      <c r="A253" s="59" t="s">
        <v>309</v>
      </c>
      <c r="B253" s="60" t="s">
        <v>310</v>
      </c>
      <c r="C253" s="29">
        <v>7</v>
      </c>
      <c r="D253" s="5" t="s">
        <v>317</v>
      </c>
      <c r="E253" s="14" t="s">
        <v>136</v>
      </c>
      <c r="F253" s="2" t="s">
        <v>316</v>
      </c>
      <c r="G253" s="2" t="s">
        <v>40</v>
      </c>
      <c r="H253" s="920">
        <v>0</v>
      </c>
      <c r="I253" s="879">
        <v>45901</v>
      </c>
      <c r="J253" s="921"/>
      <c r="K253" s="884"/>
      <c r="L253" s="884"/>
      <c r="M253" s="884"/>
      <c r="N253" s="884"/>
      <c r="O253" s="884"/>
      <c r="P253" s="884"/>
      <c r="Q253" s="884"/>
      <c r="R253" s="884"/>
      <c r="S253" s="1417"/>
      <c r="T253" s="883"/>
      <c r="U253" s="884"/>
      <c r="V253" s="884"/>
      <c r="W253" s="884"/>
      <c r="X253" s="884"/>
      <c r="Y253" s="884"/>
      <c r="Z253" s="884"/>
      <c r="AA253" s="884"/>
      <c r="AB253" s="1417"/>
      <c r="AC253" s="1454"/>
    </row>
    <row r="254" spans="1:29" ht="34.35" customHeight="1">
      <c r="A254" s="59" t="s">
        <v>309</v>
      </c>
      <c r="B254" s="60" t="s">
        <v>310</v>
      </c>
      <c r="C254" s="29">
        <v>8</v>
      </c>
      <c r="D254" s="5" t="s">
        <v>318</v>
      </c>
      <c r="E254" s="14" t="s">
        <v>38</v>
      </c>
      <c r="F254" s="2" t="s">
        <v>316</v>
      </c>
      <c r="G254" s="2" t="s">
        <v>40</v>
      </c>
      <c r="H254" s="920">
        <v>192</v>
      </c>
      <c r="I254" s="879">
        <v>45901</v>
      </c>
      <c r="J254" s="921"/>
      <c r="K254" s="884"/>
      <c r="L254" s="884"/>
      <c r="M254" s="884"/>
      <c r="N254" s="884"/>
      <c r="O254" s="884"/>
      <c r="P254" s="884"/>
      <c r="Q254" s="884"/>
      <c r="R254" s="884"/>
      <c r="S254" s="1417"/>
      <c r="T254" s="883"/>
      <c r="U254" s="884"/>
      <c r="V254" s="884"/>
      <c r="W254" s="884"/>
      <c r="X254" s="884"/>
      <c r="Y254" s="884"/>
      <c r="Z254" s="884"/>
      <c r="AA254" s="884"/>
      <c r="AB254" s="1417"/>
      <c r="AC254" s="1456" t="s">
        <v>460</v>
      </c>
    </row>
    <row r="255" spans="1:29" ht="34.35" customHeight="1">
      <c r="A255" s="59" t="s">
        <v>309</v>
      </c>
      <c r="B255" s="60" t="s">
        <v>310</v>
      </c>
      <c r="C255" s="29">
        <v>9</v>
      </c>
      <c r="D255" s="5" t="s">
        <v>318</v>
      </c>
      <c r="E255" s="14" t="s">
        <v>136</v>
      </c>
      <c r="F255" s="2" t="s">
        <v>316</v>
      </c>
      <c r="G255" s="2" t="s">
        <v>40</v>
      </c>
      <c r="H255" s="920">
        <v>307</v>
      </c>
      <c r="I255" s="879">
        <v>45901</v>
      </c>
      <c r="J255" s="921"/>
      <c r="K255" s="884"/>
      <c r="L255" s="884"/>
      <c r="M255" s="884"/>
      <c r="N255" s="884"/>
      <c r="O255" s="884"/>
      <c r="P255" s="884"/>
      <c r="Q255" s="884"/>
      <c r="R255" s="884"/>
      <c r="S255" s="1417"/>
      <c r="T255" s="883"/>
      <c r="U255" s="884"/>
      <c r="V255" s="884"/>
      <c r="W255" s="884"/>
      <c r="X255" s="884"/>
      <c r="Y255" s="884"/>
      <c r="Z255" s="884"/>
      <c r="AA255" s="884"/>
      <c r="AB255" s="1417"/>
      <c r="AC255" s="1456" t="s">
        <v>461</v>
      </c>
    </row>
    <row r="256" spans="1:29" ht="34.35" customHeight="1">
      <c r="A256" s="59" t="s">
        <v>309</v>
      </c>
      <c r="B256" s="60" t="s">
        <v>319</v>
      </c>
      <c r="C256" s="29">
        <v>10</v>
      </c>
      <c r="D256" s="5" t="s">
        <v>320</v>
      </c>
      <c r="E256" s="14" t="s">
        <v>38</v>
      </c>
      <c r="F256" s="2" t="s">
        <v>321</v>
      </c>
      <c r="G256" s="2" t="s">
        <v>40</v>
      </c>
      <c r="H256" s="920">
        <v>0</v>
      </c>
      <c r="I256" s="879">
        <v>45901</v>
      </c>
      <c r="J256" s="921">
        <v>0</v>
      </c>
      <c r="K256" s="884">
        <v>0</v>
      </c>
      <c r="L256" s="884">
        <v>0</v>
      </c>
      <c r="M256" s="884">
        <v>0</v>
      </c>
      <c r="N256" s="884">
        <v>0</v>
      </c>
      <c r="O256" s="884">
        <v>0</v>
      </c>
      <c r="P256" s="884">
        <v>0</v>
      </c>
      <c r="Q256" s="884">
        <v>0</v>
      </c>
      <c r="R256" s="884">
        <v>0</v>
      </c>
      <c r="S256" s="1417">
        <v>0</v>
      </c>
      <c r="T256" s="883">
        <v>0</v>
      </c>
      <c r="U256" s="884">
        <v>0</v>
      </c>
      <c r="V256" s="884">
        <v>0</v>
      </c>
      <c r="W256" s="884">
        <v>0</v>
      </c>
      <c r="X256" s="884">
        <v>0</v>
      </c>
      <c r="Y256" s="884">
        <v>0</v>
      </c>
      <c r="Z256" s="884">
        <v>0</v>
      </c>
      <c r="AA256" s="884">
        <v>0</v>
      </c>
      <c r="AB256" s="1417">
        <v>0</v>
      </c>
      <c r="AC256" s="1454"/>
    </row>
    <row r="257" spans="1:29" ht="34.35" customHeight="1">
      <c r="A257" s="59" t="s">
        <v>309</v>
      </c>
      <c r="B257" s="60" t="s">
        <v>319</v>
      </c>
      <c r="C257" s="29">
        <v>11</v>
      </c>
      <c r="D257" s="5" t="s">
        <v>322</v>
      </c>
      <c r="E257" s="14" t="s">
        <v>38</v>
      </c>
      <c r="F257" s="2" t="s">
        <v>321</v>
      </c>
      <c r="G257" s="2" t="s">
        <v>40</v>
      </c>
      <c r="H257" s="920">
        <v>0</v>
      </c>
      <c r="I257" s="879">
        <v>45901</v>
      </c>
      <c r="J257" s="921">
        <v>0</v>
      </c>
      <c r="K257" s="884">
        <v>0</v>
      </c>
      <c r="L257" s="884">
        <v>0</v>
      </c>
      <c r="M257" s="884">
        <v>0</v>
      </c>
      <c r="N257" s="884">
        <v>0</v>
      </c>
      <c r="O257" s="884">
        <v>0</v>
      </c>
      <c r="P257" s="884">
        <v>0</v>
      </c>
      <c r="Q257" s="884">
        <v>0</v>
      </c>
      <c r="R257" s="884">
        <v>0</v>
      </c>
      <c r="S257" s="1417">
        <v>0</v>
      </c>
      <c r="T257" s="883">
        <v>0</v>
      </c>
      <c r="U257" s="884">
        <v>0</v>
      </c>
      <c r="V257" s="884">
        <v>0</v>
      </c>
      <c r="W257" s="884">
        <v>0</v>
      </c>
      <c r="X257" s="884">
        <v>0</v>
      </c>
      <c r="Y257" s="884">
        <v>0</v>
      </c>
      <c r="Z257" s="884">
        <v>0</v>
      </c>
      <c r="AA257" s="884">
        <v>0</v>
      </c>
      <c r="AB257" s="1417">
        <v>0</v>
      </c>
      <c r="AC257" s="1454"/>
    </row>
    <row r="258" spans="1:29" ht="34.35" customHeight="1">
      <c r="A258" s="59" t="s">
        <v>309</v>
      </c>
      <c r="B258" s="60" t="s">
        <v>319</v>
      </c>
      <c r="C258" s="29">
        <v>12</v>
      </c>
      <c r="D258" s="5" t="s">
        <v>313</v>
      </c>
      <c r="E258" s="14" t="s">
        <v>38</v>
      </c>
      <c r="F258" s="2" t="s">
        <v>321</v>
      </c>
      <c r="G258" s="2" t="s">
        <v>40</v>
      </c>
      <c r="H258" s="920">
        <v>0</v>
      </c>
      <c r="I258" s="879">
        <v>45901</v>
      </c>
      <c r="J258" s="921">
        <v>0</v>
      </c>
      <c r="K258" s="884">
        <v>0</v>
      </c>
      <c r="L258" s="884">
        <v>0</v>
      </c>
      <c r="M258" s="884">
        <v>0</v>
      </c>
      <c r="N258" s="884">
        <v>0</v>
      </c>
      <c r="O258" s="884">
        <v>0</v>
      </c>
      <c r="P258" s="884">
        <v>0</v>
      </c>
      <c r="Q258" s="884">
        <v>0</v>
      </c>
      <c r="R258" s="884">
        <v>0</v>
      </c>
      <c r="S258" s="1417">
        <v>0</v>
      </c>
      <c r="T258" s="883">
        <v>0</v>
      </c>
      <c r="U258" s="884">
        <v>0</v>
      </c>
      <c r="V258" s="884">
        <v>0</v>
      </c>
      <c r="W258" s="884">
        <v>0</v>
      </c>
      <c r="X258" s="884">
        <v>0</v>
      </c>
      <c r="Y258" s="884">
        <v>0</v>
      </c>
      <c r="Z258" s="884">
        <v>0</v>
      </c>
      <c r="AA258" s="884">
        <v>0</v>
      </c>
      <c r="AB258" s="1417">
        <v>0</v>
      </c>
      <c r="AC258" s="1454"/>
    </row>
    <row r="259" spans="1:29" ht="34.35" customHeight="1">
      <c r="A259" s="59" t="s">
        <v>309</v>
      </c>
      <c r="B259" s="60" t="s">
        <v>319</v>
      </c>
      <c r="C259" s="29">
        <v>13</v>
      </c>
      <c r="D259" s="5" t="s">
        <v>323</v>
      </c>
      <c r="E259" s="14" t="s">
        <v>38</v>
      </c>
      <c r="F259" s="2" t="s">
        <v>321</v>
      </c>
      <c r="G259" s="2" t="s">
        <v>40</v>
      </c>
      <c r="H259" s="920">
        <v>5</v>
      </c>
      <c r="I259" s="879">
        <v>45901</v>
      </c>
      <c r="J259" s="921">
        <v>0</v>
      </c>
      <c r="K259" s="884">
        <v>0</v>
      </c>
      <c r="L259" s="884">
        <v>0</v>
      </c>
      <c r="M259" s="884">
        <v>0</v>
      </c>
      <c r="N259" s="884">
        <v>0</v>
      </c>
      <c r="O259" s="884">
        <v>0</v>
      </c>
      <c r="P259" s="884">
        <v>0</v>
      </c>
      <c r="Q259" s="884">
        <v>0</v>
      </c>
      <c r="R259" s="884">
        <v>0</v>
      </c>
      <c r="S259" s="1417">
        <v>0</v>
      </c>
      <c r="T259" s="883">
        <v>0</v>
      </c>
      <c r="U259" s="884">
        <v>0</v>
      </c>
      <c r="V259" s="884">
        <v>0</v>
      </c>
      <c r="W259" s="884">
        <v>0</v>
      </c>
      <c r="X259" s="884">
        <v>0</v>
      </c>
      <c r="Y259" s="884">
        <v>0</v>
      </c>
      <c r="Z259" s="884">
        <v>0</v>
      </c>
      <c r="AA259" s="884">
        <v>0</v>
      </c>
      <c r="AB259" s="1417">
        <v>0</v>
      </c>
      <c r="AC259" s="1454"/>
    </row>
    <row r="260" spans="1:29" ht="34.35" customHeight="1">
      <c r="A260" s="59" t="s">
        <v>309</v>
      </c>
      <c r="B260" s="61" t="s">
        <v>324</v>
      </c>
      <c r="C260" s="29">
        <v>14</v>
      </c>
      <c r="D260" s="5" t="s">
        <v>311</v>
      </c>
      <c r="E260" s="14" t="s">
        <v>38</v>
      </c>
      <c r="F260" s="2" t="s">
        <v>312</v>
      </c>
      <c r="G260" s="2" t="s">
        <v>40</v>
      </c>
      <c r="H260" s="922">
        <v>0</v>
      </c>
      <c r="I260" s="879">
        <v>45901</v>
      </c>
      <c r="J260" s="921"/>
      <c r="K260" s="884"/>
      <c r="L260" s="884"/>
      <c r="M260" s="884"/>
      <c r="N260" s="884"/>
      <c r="O260" s="884"/>
      <c r="P260" s="884"/>
      <c r="Q260" s="884"/>
      <c r="R260" s="884"/>
      <c r="S260" s="1417"/>
      <c r="T260" s="883"/>
      <c r="U260" s="884"/>
      <c r="V260" s="884"/>
      <c r="W260" s="884"/>
      <c r="X260" s="884"/>
      <c r="Y260" s="884"/>
      <c r="Z260" s="884"/>
      <c r="AA260" s="884"/>
      <c r="AB260" s="1417"/>
      <c r="AC260" s="1454"/>
    </row>
    <row r="261" spans="1:29" ht="34.35" customHeight="1">
      <c r="A261" s="59" t="s">
        <v>309</v>
      </c>
      <c r="B261" s="61" t="s">
        <v>324</v>
      </c>
      <c r="C261" s="29">
        <v>15</v>
      </c>
      <c r="D261" s="5" t="s">
        <v>313</v>
      </c>
      <c r="E261" s="14" t="s">
        <v>38</v>
      </c>
      <c r="F261" s="2" t="s">
        <v>312</v>
      </c>
      <c r="G261" s="2" t="s">
        <v>40</v>
      </c>
      <c r="H261" s="922">
        <v>0</v>
      </c>
      <c r="I261" s="879">
        <v>45901</v>
      </c>
      <c r="J261" s="921"/>
      <c r="K261" s="884"/>
      <c r="L261" s="884"/>
      <c r="M261" s="884"/>
      <c r="N261" s="884"/>
      <c r="O261" s="884"/>
      <c r="P261" s="884"/>
      <c r="Q261" s="884"/>
      <c r="R261" s="884"/>
      <c r="S261" s="1417"/>
      <c r="T261" s="883"/>
      <c r="U261" s="884"/>
      <c r="V261" s="884"/>
      <c r="W261" s="884"/>
      <c r="X261" s="884"/>
      <c r="Y261" s="884">
        <v>1</v>
      </c>
      <c r="Z261" s="884"/>
      <c r="AA261" s="884">
        <v>1</v>
      </c>
      <c r="AB261" s="1417"/>
      <c r="AC261" s="1454"/>
    </row>
    <row r="262" spans="1:29" ht="34.35" customHeight="1">
      <c r="A262" s="59" t="s">
        <v>309</v>
      </c>
      <c r="B262" s="61" t="s">
        <v>324</v>
      </c>
      <c r="C262" s="29">
        <v>16</v>
      </c>
      <c r="D262" s="6" t="s">
        <v>314</v>
      </c>
      <c r="E262" s="14" t="s">
        <v>38</v>
      </c>
      <c r="F262" s="2" t="s">
        <v>312</v>
      </c>
      <c r="G262" s="2" t="s">
        <v>40</v>
      </c>
      <c r="H262" s="922">
        <v>0</v>
      </c>
      <c r="I262" s="879">
        <v>45901</v>
      </c>
      <c r="J262" s="921"/>
      <c r="K262" s="884"/>
      <c r="L262" s="884"/>
      <c r="M262" s="884"/>
      <c r="N262" s="884"/>
      <c r="O262" s="884"/>
      <c r="P262" s="884"/>
      <c r="Q262" s="884"/>
      <c r="R262" s="884"/>
      <c r="S262" s="1417"/>
      <c r="T262" s="883"/>
      <c r="U262" s="884"/>
      <c r="V262" s="884"/>
      <c r="W262" s="884"/>
      <c r="X262" s="884"/>
      <c r="Y262" s="884"/>
      <c r="Z262" s="884"/>
      <c r="AA262" s="884"/>
      <c r="AB262" s="1417"/>
      <c r="AC262" s="1455"/>
    </row>
    <row r="263" spans="1:29" ht="34.35" customHeight="1">
      <c r="A263" s="59" t="s">
        <v>309</v>
      </c>
      <c r="B263" s="61" t="s">
        <v>325</v>
      </c>
      <c r="C263" s="29">
        <v>17</v>
      </c>
      <c r="D263" s="5" t="s">
        <v>326</v>
      </c>
      <c r="E263" s="14" t="s">
        <v>38</v>
      </c>
      <c r="F263" s="2" t="s">
        <v>327</v>
      </c>
      <c r="G263" s="2" t="s">
        <v>40</v>
      </c>
      <c r="H263" s="922">
        <v>0</v>
      </c>
      <c r="I263" s="879">
        <v>45901</v>
      </c>
      <c r="J263" s="921"/>
      <c r="K263" s="884"/>
      <c r="L263" s="884"/>
      <c r="M263" s="884"/>
      <c r="N263" s="884"/>
      <c r="O263" s="884"/>
      <c r="P263" s="884"/>
      <c r="Q263" s="884"/>
      <c r="R263" s="884"/>
      <c r="S263" s="1417"/>
      <c r="T263" s="883"/>
      <c r="U263" s="884"/>
      <c r="V263" s="884"/>
      <c r="W263" s="884"/>
      <c r="X263" s="884"/>
      <c r="Y263" s="884"/>
      <c r="Z263" s="884"/>
      <c r="AA263" s="884"/>
      <c r="AB263" s="1417"/>
      <c r="AC263" s="1454"/>
    </row>
    <row r="264" spans="1:29" ht="34.35" customHeight="1">
      <c r="A264" s="59" t="s">
        <v>309</v>
      </c>
      <c r="B264" s="61" t="s">
        <v>325</v>
      </c>
      <c r="C264" s="29">
        <v>18</v>
      </c>
      <c r="D264" s="5" t="s">
        <v>326</v>
      </c>
      <c r="E264" s="14" t="s">
        <v>136</v>
      </c>
      <c r="F264" s="2" t="s">
        <v>327</v>
      </c>
      <c r="G264" s="2" t="s">
        <v>40</v>
      </c>
      <c r="H264" s="922">
        <v>0</v>
      </c>
      <c r="I264" s="879">
        <v>45901</v>
      </c>
      <c r="J264" s="921"/>
      <c r="K264" s="884"/>
      <c r="L264" s="884"/>
      <c r="M264" s="884"/>
      <c r="N264" s="884"/>
      <c r="O264" s="884"/>
      <c r="P264" s="884"/>
      <c r="Q264" s="884"/>
      <c r="R264" s="884"/>
      <c r="S264" s="1417"/>
      <c r="T264" s="883"/>
      <c r="U264" s="884"/>
      <c r="V264" s="884"/>
      <c r="W264" s="884"/>
      <c r="X264" s="884"/>
      <c r="Y264" s="884"/>
      <c r="Z264" s="884"/>
      <c r="AA264" s="884"/>
      <c r="AB264" s="1417"/>
      <c r="AC264" s="1454"/>
    </row>
    <row r="265" spans="1:29" ht="34.35" customHeight="1">
      <c r="A265" s="59" t="s">
        <v>309</v>
      </c>
      <c r="B265" s="61" t="s">
        <v>325</v>
      </c>
      <c r="C265" s="29">
        <v>19</v>
      </c>
      <c r="D265" s="6" t="s">
        <v>328</v>
      </c>
      <c r="E265" s="14" t="s">
        <v>38</v>
      </c>
      <c r="F265" s="2" t="s">
        <v>327</v>
      </c>
      <c r="G265" s="2" t="s">
        <v>40</v>
      </c>
      <c r="H265" s="922" t="s">
        <v>41</v>
      </c>
      <c r="I265" s="879">
        <v>45901</v>
      </c>
      <c r="J265" s="921"/>
      <c r="K265" s="884"/>
      <c r="L265" s="884"/>
      <c r="M265" s="884"/>
      <c r="N265" s="884"/>
      <c r="O265" s="884"/>
      <c r="P265" s="884"/>
      <c r="Q265" s="884"/>
      <c r="R265" s="884"/>
      <c r="S265" s="1417"/>
      <c r="T265" s="883"/>
      <c r="U265" s="884"/>
      <c r="V265" s="884"/>
      <c r="W265" s="884"/>
      <c r="X265" s="884"/>
      <c r="Y265" s="884"/>
      <c r="Z265" s="884"/>
      <c r="AA265" s="884"/>
      <c r="AB265" s="1417"/>
      <c r="AC265" s="1455"/>
    </row>
    <row r="266" spans="1:29" ht="34.35" customHeight="1">
      <c r="A266" s="59" t="s">
        <v>309</v>
      </c>
      <c r="B266" s="61" t="s">
        <v>325</v>
      </c>
      <c r="C266" s="29">
        <v>20</v>
      </c>
      <c r="D266" s="6" t="s">
        <v>328</v>
      </c>
      <c r="E266" s="14" t="s">
        <v>136</v>
      </c>
      <c r="F266" s="2" t="s">
        <v>327</v>
      </c>
      <c r="G266" s="2" t="s">
        <v>40</v>
      </c>
      <c r="H266" s="922" t="s">
        <v>41</v>
      </c>
      <c r="I266" s="879">
        <v>45901</v>
      </c>
      <c r="J266" s="921"/>
      <c r="K266" s="884"/>
      <c r="L266" s="884"/>
      <c r="M266" s="884"/>
      <c r="N266" s="884"/>
      <c r="O266" s="884"/>
      <c r="P266" s="884"/>
      <c r="Q266" s="884"/>
      <c r="R266" s="884"/>
      <c r="S266" s="1417"/>
      <c r="T266" s="883"/>
      <c r="U266" s="884"/>
      <c r="V266" s="884"/>
      <c r="W266" s="884"/>
      <c r="X266" s="884"/>
      <c r="Y266" s="884"/>
      <c r="Z266" s="884"/>
      <c r="AA266" s="884"/>
      <c r="AB266" s="1417"/>
      <c r="AC266" s="1455"/>
    </row>
    <row r="267" spans="1:29" ht="34.35" customHeight="1">
      <c r="A267" s="59" t="s">
        <v>309</v>
      </c>
      <c r="B267" s="61" t="s">
        <v>325</v>
      </c>
      <c r="C267" s="29">
        <v>21</v>
      </c>
      <c r="D267" s="6" t="s">
        <v>329</v>
      </c>
      <c r="E267" s="14" t="s">
        <v>38</v>
      </c>
      <c r="F267" s="2" t="s">
        <v>327</v>
      </c>
      <c r="G267" s="2" t="s">
        <v>40</v>
      </c>
      <c r="H267" s="922" t="s">
        <v>41</v>
      </c>
      <c r="I267" s="879">
        <v>45901</v>
      </c>
      <c r="J267" s="921"/>
      <c r="K267" s="884">
        <v>2</v>
      </c>
      <c r="L267" s="884"/>
      <c r="M267" s="884"/>
      <c r="N267" s="884">
        <v>2</v>
      </c>
      <c r="O267" s="884"/>
      <c r="P267" s="884"/>
      <c r="Q267" s="884"/>
      <c r="R267" s="884"/>
      <c r="S267" s="1417">
        <v>1</v>
      </c>
      <c r="T267" s="883"/>
      <c r="U267" s="884"/>
      <c r="V267" s="884">
        <f>15+1</f>
        <v>16</v>
      </c>
      <c r="W267" s="884"/>
      <c r="X267" s="884">
        <f>4+1+26</f>
        <v>31</v>
      </c>
      <c r="Y267" s="884">
        <f>132+38</f>
        <v>170</v>
      </c>
      <c r="Z267" s="884">
        <f>1+1</f>
        <v>2</v>
      </c>
      <c r="AA267" s="884"/>
      <c r="AB267" s="1417">
        <v>4</v>
      </c>
      <c r="AC267" s="1455"/>
    </row>
    <row r="268" spans="1:29" ht="34.35" customHeight="1">
      <c r="A268" s="59" t="s">
        <v>309</v>
      </c>
      <c r="B268" s="61" t="s">
        <v>325</v>
      </c>
      <c r="C268" s="29">
        <v>22</v>
      </c>
      <c r="D268" s="6" t="s">
        <v>329</v>
      </c>
      <c r="E268" s="14" t="s">
        <v>136</v>
      </c>
      <c r="F268" s="2" t="s">
        <v>327</v>
      </c>
      <c r="G268" s="2" t="s">
        <v>40</v>
      </c>
      <c r="H268" s="922" t="s">
        <v>41</v>
      </c>
      <c r="I268" s="879">
        <v>45901</v>
      </c>
      <c r="J268" s="921"/>
      <c r="K268" s="884">
        <v>0.22</v>
      </c>
      <c r="L268" s="884"/>
      <c r="M268" s="884"/>
      <c r="N268" s="884">
        <v>3.7</v>
      </c>
      <c r="O268" s="884"/>
      <c r="P268" s="884"/>
      <c r="Q268" s="884"/>
      <c r="R268" s="884"/>
      <c r="S268" s="1417">
        <v>0.19800000000000001</v>
      </c>
      <c r="T268" s="883"/>
      <c r="U268" s="884"/>
      <c r="V268" s="884">
        <f>32+0.036</f>
        <v>32.036000000000001</v>
      </c>
      <c r="W268" s="884"/>
      <c r="X268" s="884">
        <f>2.6+1.2+35.27</f>
        <v>39.07</v>
      </c>
      <c r="Y268" s="884">
        <f>98.4+20.84</f>
        <v>119.24000000000001</v>
      </c>
      <c r="Z268" s="884">
        <f>1.8+0.02</f>
        <v>1.82</v>
      </c>
      <c r="AA268" s="884"/>
      <c r="AB268" s="1417">
        <v>3.1</v>
      </c>
      <c r="AC268" s="1455"/>
    </row>
    <row r="269" spans="1:29" ht="34.35" customHeight="1">
      <c r="A269" s="59" t="s">
        <v>309</v>
      </c>
      <c r="B269" s="61" t="s">
        <v>325</v>
      </c>
      <c r="C269" s="29">
        <v>23</v>
      </c>
      <c r="D269" s="6" t="s">
        <v>462</v>
      </c>
      <c r="E269" s="14" t="s">
        <v>38</v>
      </c>
      <c r="F269" s="2" t="s">
        <v>327</v>
      </c>
      <c r="G269" s="2" t="s">
        <v>40</v>
      </c>
      <c r="H269" s="922" t="s">
        <v>41</v>
      </c>
      <c r="I269" s="879">
        <v>45901</v>
      </c>
      <c r="J269" s="921">
        <v>1</v>
      </c>
      <c r="K269" s="884">
        <v>3</v>
      </c>
      <c r="L269" s="884">
        <v>2</v>
      </c>
      <c r="M269" s="884"/>
      <c r="N269" s="884">
        <v>8</v>
      </c>
      <c r="O269" s="884">
        <v>7</v>
      </c>
      <c r="P269" s="884"/>
      <c r="Q269" s="884"/>
      <c r="R269" s="884"/>
      <c r="S269" s="1417">
        <v>8</v>
      </c>
      <c r="T269" s="883">
        <v>2</v>
      </c>
      <c r="U269" s="884"/>
      <c r="V269" s="884"/>
      <c r="W269" s="884">
        <v>2</v>
      </c>
      <c r="X269" s="884">
        <v>2</v>
      </c>
      <c r="Y269" s="884">
        <f>40+44</f>
        <v>84</v>
      </c>
      <c r="Z269" s="884"/>
      <c r="AA269" s="884"/>
      <c r="AB269" s="1417"/>
      <c r="AC269" s="1455"/>
    </row>
    <row r="270" spans="1:29" ht="34.35" customHeight="1">
      <c r="A270" s="59" t="s">
        <v>309</v>
      </c>
      <c r="B270" s="61" t="s">
        <v>325</v>
      </c>
      <c r="C270" s="29">
        <v>24</v>
      </c>
      <c r="D270" s="6" t="s">
        <v>462</v>
      </c>
      <c r="E270" s="14" t="s">
        <v>136</v>
      </c>
      <c r="F270" s="2" t="s">
        <v>327</v>
      </c>
      <c r="G270" s="2" t="s">
        <v>40</v>
      </c>
      <c r="H270" s="922" t="s">
        <v>41</v>
      </c>
      <c r="I270" s="879">
        <v>45901</v>
      </c>
      <c r="J270" s="921">
        <v>0.25</v>
      </c>
      <c r="K270" s="884">
        <v>0.68</v>
      </c>
      <c r="L270" s="884">
        <v>0.37</v>
      </c>
      <c r="M270" s="884"/>
      <c r="N270" s="884">
        <v>3.67</v>
      </c>
      <c r="O270" s="884">
        <v>6.13</v>
      </c>
      <c r="P270" s="884"/>
      <c r="Q270" s="884"/>
      <c r="R270" s="884"/>
      <c r="S270" s="1417">
        <v>9.3000000000000007</v>
      </c>
      <c r="T270" s="883">
        <v>0.46</v>
      </c>
      <c r="U270" s="884"/>
      <c r="V270" s="884"/>
      <c r="W270" s="884">
        <v>0.32</v>
      </c>
      <c r="X270" s="884">
        <v>1.32</v>
      </c>
      <c r="Y270" s="884">
        <f>14.47+28.98</f>
        <v>43.45</v>
      </c>
      <c r="Z270" s="884"/>
      <c r="AA270" s="884"/>
      <c r="AB270" s="1417"/>
      <c r="AC270" s="1455"/>
    </row>
    <row r="271" spans="1:29" ht="34.35" customHeight="1">
      <c r="A271" s="59" t="s">
        <v>309</v>
      </c>
      <c r="B271" s="61" t="s">
        <v>325</v>
      </c>
      <c r="C271" s="29">
        <v>25</v>
      </c>
      <c r="D271" s="5" t="s">
        <v>331</v>
      </c>
      <c r="E271" s="14" t="s">
        <v>38</v>
      </c>
      <c r="F271" s="2" t="s">
        <v>327</v>
      </c>
      <c r="G271" s="2" t="s">
        <v>332</v>
      </c>
      <c r="H271" s="922">
        <v>0</v>
      </c>
      <c r="I271" s="879">
        <v>45901</v>
      </c>
      <c r="J271" s="921">
        <v>0</v>
      </c>
      <c r="K271" s="884">
        <v>0</v>
      </c>
      <c r="L271" s="884">
        <v>0</v>
      </c>
      <c r="M271" s="884">
        <v>0</v>
      </c>
      <c r="N271" s="884">
        <v>0</v>
      </c>
      <c r="O271" s="884">
        <v>0</v>
      </c>
      <c r="P271" s="884">
        <v>0</v>
      </c>
      <c r="Q271" s="884">
        <v>0</v>
      </c>
      <c r="R271" s="884">
        <v>0</v>
      </c>
      <c r="S271" s="1417">
        <v>2</v>
      </c>
      <c r="T271" s="883">
        <v>0</v>
      </c>
      <c r="U271" s="884">
        <v>0</v>
      </c>
      <c r="V271" s="884">
        <v>0</v>
      </c>
      <c r="W271" s="884">
        <v>0</v>
      </c>
      <c r="X271" s="884">
        <v>0</v>
      </c>
      <c r="Y271" s="884"/>
      <c r="Z271" s="884">
        <v>0</v>
      </c>
      <c r="AA271" s="884">
        <v>0</v>
      </c>
      <c r="AB271" s="1417">
        <v>0</v>
      </c>
      <c r="AC271" s="1454"/>
    </row>
    <row r="272" spans="1:29" ht="34.35" customHeight="1">
      <c r="A272" s="59" t="s">
        <v>309</v>
      </c>
      <c r="B272" s="61" t="s">
        <v>325</v>
      </c>
      <c r="C272" s="29">
        <v>26</v>
      </c>
      <c r="D272" s="5" t="s">
        <v>463</v>
      </c>
      <c r="E272" s="14" t="s">
        <v>136</v>
      </c>
      <c r="F272" s="2" t="s">
        <v>327</v>
      </c>
      <c r="G272" s="2" t="s">
        <v>332</v>
      </c>
      <c r="H272" s="922">
        <v>0</v>
      </c>
      <c r="I272" s="879">
        <v>45901</v>
      </c>
      <c r="J272" s="921">
        <v>0</v>
      </c>
      <c r="K272" s="884">
        <v>0</v>
      </c>
      <c r="L272" s="884">
        <v>0</v>
      </c>
      <c r="M272" s="884">
        <v>0</v>
      </c>
      <c r="N272" s="884">
        <v>0</v>
      </c>
      <c r="O272" s="884">
        <v>0</v>
      </c>
      <c r="P272" s="884">
        <v>0</v>
      </c>
      <c r="Q272" s="884">
        <v>0</v>
      </c>
      <c r="R272" s="884">
        <v>0</v>
      </c>
      <c r="S272" s="1417">
        <v>1.7</v>
      </c>
      <c r="T272" s="883">
        <v>0</v>
      </c>
      <c r="U272" s="884">
        <v>0</v>
      </c>
      <c r="V272" s="884">
        <v>0</v>
      </c>
      <c r="W272" s="884">
        <v>0</v>
      </c>
      <c r="X272" s="884">
        <v>0</v>
      </c>
      <c r="Y272" s="884"/>
      <c r="Z272" s="884">
        <v>0</v>
      </c>
      <c r="AA272" s="884">
        <v>0</v>
      </c>
      <c r="AB272" s="1417">
        <v>0</v>
      </c>
      <c r="AC272" s="1454"/>
    </row>
    <row r="273" spans="1:29" ht="34.35" customHeight="1">
      <c r="A273" s="59" t="s">
        <v>309</v>
      </c>
      <c r="B273" s="61" t="s">
        <v>325</v>
      </c>
      <c r="C273" s="29">
        <v>27</v>
      </c>
      <c r="D273" s="5" t="s">
        <v>464</v>
      </c>
      <c r="E273" s="14" t="s">
        <v>38</v>
      </c>
      <c r="F273" s="2" t="s">
        <v>327</v>
      </c>
      <c r="G273" s="2" t="s">
        <v>332</v>
      </c>
      <c r="H273" s="922">
        <v>0</v>
      </c>
      <c r="I273" s="879">
        <v>45901</v>
      </c>
      <c r="J273" s="921">
        <v>0</v>
      </c>
      <c r="K273" s="884">
        <v>0</v>
      </c>
      <c r="L273" s="884">
        <v>0</v>
      </c>
      <c r="M273" s="884">
        <v>0</v>
      </c>
      <c r="N273" s="884">
        <v>0</v>
      </c>
      <c r="O273" s="884">
        <v>0</v>
      </c>
      <c r="P273" s="884">
        <v>0</v>
      </c>
      <c r="Q273" s="884">
        <v>0</v>
      </c>
      <c r="R273" s="884">
        <v>0</v>
      </c>
      <c r="S273" s="1417">
        <v>1</v>
      </c>
      <c r="T273" s="883">
        <v>0</v>
      </c>
      <c r="U273" s="884">
        <v>0</v>
      </c>
      <c r="V273" s="884">
        <v>0</v>
      </c>
      <c r="W273" s="884">
        <v>0</v>
      </c>
      <c r="X273" s="884">
        <v>3</v>
      </c>
      <c r="Y273" s="884">
        <v>4</v>
      </c>
      <c r="Z273" s="884">
        <v>0</v>
      </c>
      <c r="AA273" s="884">
        <v>0</v>
      </c>
      <c r="AB273" s="1417">
        <v>0</v>
      </c>
      <c r="AC273" s="1454"/>
    </row>
    <row r="274" spans="1:29" ht="34.35" customHeight="1">
      <c r="A274" s="59" t="s">
        <v>309</v>
      </c>
      <c r="B274" s="61" t="s">
        <v>325</v>
      </c>
      <c r="C274" s="29">
        <v>28</v>
      </c>
      <c r="D274" s="5" t="s">
        <v>464</v>
      </c>
      <c r="E274" s="14" t="s">
        <v>136</v>
      </c>
      <c r="F274" s="2" t="s">
        <v>327</v>
      </c>
      <c r="G274" s="2" t="s">
        <v>332</v>
      </c>
      <c r="H274" s="922">
        <v>0</v>
      </c>
      <c r="I274" s="879">
        <v>45901</v>
      </c>
      <c r="J274" s="921">
        <v>0</v>
      </c>
      <c r="K274" s="884">
        <v>0</v>
      </c>
      <c r="L274" s="884">
        <v>0</v>
      </c>
      <c r="M274" s="884">
        <v>0</v>
      </c>
      <c r="N274" s="884">
        <v>0</v>
      </c>
      <c r="O274" s="884">
        <v>0</v>
      </c>
      <c r="P274" s="884">
        <v>0</v>
      </c>
      <c r="Q274" s="884">
        <v>0</v>
      </c>
      <c r="R274" s="884">
        <v>0</v>
      </c>
      <c r="S274" s="1417">
        <v>0.87</v>
      </c>
      <c r="T274" s="883">
        <v>0</v>
      </c>
      <c r="U274" s="884">
        <v>0</v>
      </c>
      <c r="V274" s="884">
        <v>0</v>
      </c>
      <c r="W274" s="884">
        <v>0</v>
      </c>
      <c r="X274" s="884">
        <v>2.77</v>
      </c>
      <c r="Y274" s="884">
        <v>0.22</v>
      </c>
      <c r="Z274" s="884">
        <v>0</v>
      </c>
      <c r="AA274" s="884">
        <v>0</v>
      </c>
      <c r="AB274" s="1417">
        <v>0</v>
      </c>
      <c r="AC274" s="1454"/>
    </row>
    <row r="275" spans="1:29" ht="34.35" customHeight="1">
      <c r="A275" s="59" t="s">
        <v>309</v>
      </c>
      <c r="B275" s="61" t="s">
        <v>325</v>
      </c>
      <c r="C275" s="29">
        <v>29</v>
      </c>
      <c r="D275" s="5" t="s">
        <v>336</v>
      </c>
      <c r="E275" s="14" t="s">
        <v>38</v>
      </c>
      <c r="F275" s="2" t="s">
        <v>316</v>
      </c>
      <c r="G275" s="2" t="s">
        <v>40</v>
      </c>
      <c r="H275" s="922">
        <v>0</v>
      </c>
      <c r="I275" s="879">
        <v>45901</v>
      </c>
      <c r="J275" s="921"/>
      <c r="K275" s="884"/>
      <c r="L275" s="884"/>
      <c r="M275" s="884"/>
      <c r="N275" s="884"/>
      <c r="O275" s="884"/>
      <c r="P275" s="884"/>
      <c r="Q275" s="884"/>
      <c r="R275" s="884"/>
      <c r="S275" s="1417"/>
      <c r="T275" s="883"/>
      <c r="U275" s="884"/>
      <c r="V275" s="884"/>
      <c r="W275" s="884"/>
      <c r="X275" s="884"/>
      <c r="Y275" s="884"/>
      <c r="Z275" s="884"/>
      <c r="AA275" s="884"/>
      <c r="AB275" s="1417"/>
      <c r="AC275" s="1454"/>
    </row>
    <row r="276" spans="1:29" ht="34.35" customHeight="1">
      <c r="A276" s="59" t="s">
        <v>309</v>
      </c>
      <c r="B276" s="61" t="s">
        <v>325</v>
      </c>
      <c r="C276" s="29">
        <v>30</v>
      </c>
      <c r="D276" s="5" t="s">
        <v>336</v>
      </c>
      <c r="E276" s="14" t="s">
        <v>136</v>
      </c>
      <c r="F276" s="2" t="s">
        <v>316</v>
      </c>
      <c r="G276" s="2" t="s">
        <v>40</v>
      </c>
      <c r="H276" s="922">
        <v>0</v>
      </c>
      <c r="I276" s="879">
        <v>45901</v>
      </c>
      <c r="J276" s="921"/>
      <c r="K276" s="884"/>
      <c r="L276" s="884"/>
      <c r="M276" s="884"/>
      <c r="N276" s="884"/>
      <c r="O276" s="884"/>
      <c r="P276" s="884"/>
      <c r="Q276" s="884"/>
      <c r="R276" s="884"/>
      <c r="S276" s="1417"/>
      <c r="T276" s="883"/>
      <c r="U276" s="884"/>
      <c r="V276" s="884"/>
      <c r="W276" s="884"/>
      <c r="X276" s="884"/>
      <c r="Y276" s="884"/>
      <c r="Z276" s="884"/>
      <c r="AA276" s="884"/>
      <c r="AB276" s="1417"/>
      <c r="AC276" s="1454"/>
    </row>
    <row r="277" spans="1:29" ht="34.35" customHeight="1">
      <c r="A277" s="59" t="s">
        <v>309</v>
      </c>
      <c r="B277" s="61" t="s">
        <v>325</v>
      </c>
      <c r="C277" s="29">
        <v>31</v>
      </c>
      <c r="D277" s="5" t="s">
        <v>338</v>
      </c>
      <c r="E277" s="14" t="s">
        <v>38</v>
      </c>
      <c r="F277" s="2" t="s">
        <v>316</v>
      </c>
      <c r="G277" s="2" t="s">
        <v>40</v>
      </c>
      <c r="H277" s="922">
        <v>0</v>
      </c>
      <c r="I277" s="879">
        <v>45901</v>
      </c>
      <c r="J277" s="921"/>
      <c r="K277" s="884"/>
      <c r="L277" s="884"/>
      <c r="M277" s="884"/>
      <c r="N277" s="884"/>
      <c r="O277" s="884"/>
      <c r="P277" s="884"/>
      <c r="Q277" s="884"/>
      <c r="R277" s="884"/>
      <c r="S277" s="1417"/>
      <c r="T277" s="883"/>
      <c r="U277" s="884"/>
      <c r="V277" s="884"/>
      <c r="W277" s="884"/>
      <c r="X277" s="884"/>
      <c r="Y277" s="884"/>
      <c r="Z277" s="884"/>
      <c r="AA277" s="884"/>
      <c r="AB277" s="1417"/>
      <c r="AC277" s="1454"/>
    </row>
    <row r="278" spans="1:29" ht="34.35" customHeight="1">
      <c r="A278" s="59" t="s">
        <v>309</v>
      </c>
      <c r="B278" s="61" t="s">
        <v>325</v>
      </c>
      <c r="C278" s="29">
        <v>32</v>
      </c>
      <c r="D278" s="5" t="s">
        <v>338</v>
      </c>
      <c r="E278" s="14" t="s">
        <v>136</v>
      </c>
      <c r="F278" s="2" t="s">
        <v>316</v>
      </c>
      <c r="G278" s="2" t="s">
        <v>40</v>
      </c>
      <c r="H278" s="922">
        <v>0</v>
      </c>
      <c r="I278" s="879">
        <v>45901</v>
      </c>
      <c r="J278" s="921"/>
      <c r="K278" s="884"/>
      <c r="L278" s="884"/>
      <c r="M278" s="884"/>
      <c r="N278" s="884"/>
      <c r="O278" s="884"/>
      <c r="P278" s="884"/>
      <c r="Q278" s="884"/>
      <c r="R278" s="884"/>
      <c r="S278" s="1417"/>
      <c r="T278" s="883"/>
      <c r="U278" s="884"/>
      <c r="V278" s="884"/>
      <c r="W278" s="884"/>
      <c r="X278" s="884"/>
      <c r="Y278" s="884"/>
      <c r="Z278" s="884"/>
      <c r="AA278" s="884"/>
      <c r="AB278" s="1417"/>
      <c r="AC278" s="1454"/>
    </row>
    <row r="279" spans="1:29" ht="34.35" customHeight="1">
      <c r="A279" s="59" t="s">
        <v>309</v>
      </c>
      <c r="B279" s="61" t="s">
        <v>325</v>
      </c>
      <c r="C279" s="29">
        <v>33</v>
      </c>
      <c r="D279" s="5" t="s">
        <v>339</v>
      </c>
      <c r="E279" s="14" t="s">
        <v>133</v>
      </c>
      <c r="F279" s="2" t="s">
        <v>340</v>
      </c>
      <c r="G279" s="2" t="s">
        <v>341</v>
      </c>
      <c r="H279" s="927">
        <v>5.0000000000000001E-3</v>
      </c>
      <c r="I279" s="879">
        <v>45901</v>
      </c>
      <c r="J279" s="921"/>
      <c r="K279" s="884"/>
      <c r="L279" s="884"/>
      <c r="M279" s="884"/>
      <c r="N279" s="884"/>
      <c r="O279" s="884"/>
      <c r="P279" s="884"/>
      <c r="Q279" s="884"/>
      <c r="R279" s="884"/>
      <c r="S279" s="1417"/>
      <c r="T279" s="883"/>
      <c r="U279" s="884"/>
      <c r="V279" s="884"/>
      <c r="W279" s="884"/>
      <c r="X279" s="884"/>
      <c r="Y279" s="884"/>
      <c r="Z279" s="884"/>
      <c r="AA279" s="884"/>
      <c r="AB279" s="1417"/>
      <c r="AC279" s="1457" t="s">
        <v>465</v>
      </c>
    </row>
    <row r="280" spans="1:29" ht="34.35" customHeight="1">
      <c r="A280" s="59" t="s">
        <v>309</v>
      </c>
      <c r="B280" s="61" t="s">
        <v>325</v>
      </c>
      <c r="C280" s="29">
        <v>34</v>
      </c>
      <c r="D280" s="5" t="s">
        <v>339</v>
      </c>
      <c r="E280" s="14" t="s">
        <v>136</v>
      </c>
      <c r="F280" s="2" t="s">
        <v>340</v>
      </c>
      <c r="G280" s="2" t="s">
        <v>341</v>
      </c>
      <c r="H280" s="928" t="s">
        <v>41</v>
      </c>
      <c r="I280" s="879">
        <v>45901</v>
      </c>
      <c r="J280" s="921"/>
      <c r="K280" s="884"/>
      <c r="L280" s="884"/>
      <c r="M280" s="884"/>
      <c r="N280" s="884"/>
      <c r="O280" s="884"/>
      <c r="P280" s="884"/>
      <c r="Q280" s="884"/>
      <c r="R280" s="884"/>
      <c r="S280" s="1417"/>
      <c r="T280" s="883"/>
      <c r="U280" s="884"/>
      <c r="V280" s="884"/>
      <c r="W280" s="884"/>
      <c r="X280" s="884"/>
      <c r="Y280" s="884"/>
      <c r="Z280" s="884"/>
      <c r="AA280" s="884"/>
      <c r="AB280" s="1417"/>
      <c r="AC280" s="1454"/>
    </row>
    <row r="281" spans="1:29" ht="34.35" customHeight="1">
      <c r="A281" s="59" t="s">
        <v>309</v>
      </c>
      <c r="B281" s="61" t="s">
        <v>325</v>
      </c>
      <c r="C281" s="29">
        <v>35</v>
      </c>
      <c r="D281" s="5" t="s">
        <v>342</v>
      </c>
      <c r="E281" s="14" t="s">
        <v>133</v>
      </c>
      <c r="F281" s="2" t="s">
        <v>106</v>
      </c>
      <c r="G281" s="2" t="s">
        <v>285</v>
      </c>
      <c r="H281" s="933"/>
      <c r="I281" s="879">
        <v>45901</v>
      </c>
      <c r="J281" s="921"/>
      <c r="K281" s="884"/>
      <c r="L281" s="884"/>
      <c r="M281" s="884"/>
      <c r="N281" s="884"/>
      <c r="O281" s="884"/>
      <c r="P281" s="884"/>
      <c r="Q281" s="884"/>
      <c r="R281" s="884"/>
      <c r="S281" s="1417"/>
      <c r="T281" s="883"/>
      <c r="U281" s="884"/>
      <c r="V281" s="884"/>
      <c r="W281" s="884"/>
      <c r="X281" s="884"/>
      <c r="Y281" s="884"/>
      <c r="Z281" s="884"/>
      <c r="AA281" s="884"/>
      <c r="AB281" s="1417"/>
      <c r="AC281" s="1454"/>
    </row>
    <row r="282" spans="1:29" ht="34.35" customHeight="1">
      <c r="A282" s="59" t="s">
        <v>309</v>
      </c>
      <c r="B282" s="61" t="s">
        <v>325</v>
      </c>
      <c r="C282" s="29">
        <v>36</v>
      </c>
      <c r="D282" s="5" t="s">
        <v>342</v>
      </c>
      <c r="E282" s="14" t="s">
        <v>136</v>
      </c>
      <c r="F282" s="2" t="s">
        <v>106</v>
      </c>
      <c r="G282" s="2" t="s">
        <v>285</v>
      </c>
      <c r="H282" s="924"/>
      <c r="I282" s="879">
        <v>45901</v>
      </c>
      <c r="J282" s="921"/>
      <c r="K282" s="884"/>
      <c r="L282" s="884"/>
      <c r="M282" s="884"/>
      <c r="N282" s="884"/>
      <c r="O282" s="884"/>
      <c r="P282" s="884"/>
      <c r="Q282" s="884"/>
      <c r="R282" s="884"/>
      <c r="S282" s="1417"/>
      <c r="T282" s="883"/>
      <c r="U282" s="884"/>
      <c r="V282" s="884"/>
      <c r="W282" s="884"/>
      <c r="X282" s="884"/>
      <c r="Y282" s="884"/>
      <c r="Z282" s="884"/>
      <c r="AA282" s="884"/>
      <c r="AB282" s="1417"/>
      <c r="AC282" s="1454"/>
    </row>
    <row r="283" spans="1:29" ht="34.35" customHeight="1">
      <c r="A283" s="59" t="s">
        <v>309</v>
      </c>
      <c r="B283" s="61" t="s">
        <v>325</v>
      </c>
      <c r="C283" s="29">
        <v>37</v>
      </c>
      <c r="D283" s="6" t="s">
        <v>343</v>
      </c>
      <c r="E283" s="14" t="s">
        <v>38</v>
      </c>
      <c r="F283" s="2" t="s">
        <v>105</v>
      </c>
      <c r="G283" s="2"/>
      <c r="H283" s="925" t="s">
        <v>41</v>
      </c>
      <c r="I283" s="879">
        <v>45901</v>
      </c>
      <c r="J283" s="921"/>
      <c r="K283" s="884"/>
      <c r="L283" s="884"/>
      <c r="M283" s="884"/>
      <c r="N283" s="884"/>
      <c r="O283" s="884"/>
      <c r="P283" s="884"/>
      <c r="Q283" s="884"/>
      <c r="R283" s="884"/>
      <c r="S283" s="1417"/>
      <c r="T283" s="883"/>
      <c r="U283" s="884"/>
      <c r="V283" s="884"/>
      <c r="W283" s="884"/>
      <c r="X283" s="884"/>
      <c r="Y283" s="884"/>
      <c r="Z283" s="884"/>
      <c r="AA283" s="884"/>
      <c r="AB283" s="1417"/>
      <c r="AC283" s="1455"/>
    </row>
    <row r="284" spans="1:29" ht="34.35" customHeight="1">
      <c r="A284" s="59" t="s">
        <v>309</v>
      </c>
      <c r="B284" s="61" t="s">
        <v>325</v>
      </c>
      <c r="C284" s="29">
        <v>38</v>
      </c>
      <c r="D284" s="6" t="s">
        <v>343</v>
      </c>
      <c r="E284" s="14" t="s">
        <v>136</v>
      </c>
      <c r="F284" s="2" t="s">
        <v>105</v>
      </c>
      <c r="G284" s="2"/>
      <c r="H284" s="929">
        <f>84578725.86/10^6</f>
        <v>84.578725860000006</v>
      </c>
      <c r="I284" s="879">
        <v>45901</v>
      </c>
      <c r="J284" s="934">
        <f>2484306.62/10^6</f>
        <v>2.4843066199999999</v>
      </c>
      <c r="K284" s="887" t="s">
        <v>41</v>
      </c>
      <c r="L284" s="887">
        <f>175457.53/10^6</f>
        <v>0.17545753</v>
      </c>
      <c r="M284" s="887" t="s">
        <v>41</v>
      </c>
      <c r="N284" s="887" t="s">
        <v>41</v>
      </c>
      <c r="O284" s="887">
        <f>50248.52/10^6</f>
        <v>5.0248519999999998E-2</v>
      </c>
      <c r="P284" s="887">
        <f>(54196.94+2245.83)/10^6</f>
        <v>5.6442770000000003E-2</v>
      </c>
      <c r="Q284" s="887" t="s">
        <v>41</v>
      </c>
      <c r="R284" s="887">
        <f>6522225.44/10^6</f>
        <v>6.5222254400000006</v>
      </c>
      <c r="S284" s="1429">
        <f>140848.45/10^6</f>
        <v>0.14084845000000001</v>
      </c>
      <c r="T284" s="883"/>
      <c r="U284" s="884"/>
      <c r="V284" s="884"/>
      <c r="W284" s="884"/>
      <c r="X284" s="884"/>
      <c r="Y284" s="884"/>
      <c r="Z284" s="884"/>
      <c r="AA284" s="884"/>
      <c r="AB284" s="1417"/>
      <c r="AC284" s="1455"/>
    </row>
    <row r="285" spans="1:29" ht="34.35" customHeight="1">
      <c r="A285" s="59" t="s">
        <v>309</v>
      </c>
      <c r="B285" s="61" t="s">
        <v>325</v>
      </c>
      <c r="C285" s="29">
        <v>39</v>
      </c>
      <c r="D285" s="5" t="s">
        <v>344</v>
      </c>
      <c r="E285" s="14" t="s">
        <v>136</v>
      </c>
      <c r="F285" s="2" t="s">
        <v>110</v>
      </c>
      <c r="G285" s="2" t="s">
        <v>345</v>
      </c>
      <c r="H285" s="920">
        <v>3.17</v>
      </c>
      <c r="I285" s="879">
        <v>45901</v>
      </c>
      <c r="J285" s="921"/>
      <c r="K285" s="884"/>
      <c r="L285" s="884"/>
      <c r="M285" s="884"/>
      <c r="N285" s="884"/>
      <c r="O285" s="884"/>
      <c r="P285" s="884"/>
      <c r="Q285" s="884"/>
      <c r="R285" s="884"/>
      <c r="S285" s="1417"/>
      <c r="T285" s="883"/>
      <c r="U285" s="884"/>
      <c r="V285" s="884"/>
      <c r="W285" s="884"/>
      <c r="X285" s="884"/>
      <c r="Y285" s="884"/>
      <c r="Z285" s="884"/>
      <c r="AA285" s="884"/>
      <c r="AB285" s="1417"/>
      <c r="AC285" s="1454"/>
    </row>
    <row r="286" spans="1:29" ht="34.35" customHeight="1">
      <c r="A286" s="59" t="s">
        <v>309</v>
      </c>
      <c r="B286" s="61" t="s">
        <v>325</v>
      </c>
      <c r="C286" s="29">
        <v>40</v>
      </c>
      <c r="D286" s="5" t="s">
        <v>346</v>
      </c>
      <c r="E286" s="14" t="s">
        <v>136</v>
      </c>
      <c r="F286" s="2" t="s">
        <v>110</v>
      </c>
      <c r="G286" s="2" t="s">
        <v>345</v>
      </c>
      <c r="H286" s="920">
        <v>5.84</v>
      </c>
      <c r="I286" s="879">
        <v>45901</v>
      </c>
      <c r="J286" s="921"/>
      <c r="K286" s="884"/>
      <c r="L286" s="884"/>
      <c r="M286" s="884"/>
      <c r="N286" s="884"/>
      <c r="O286" s="884"/>
      <c r="P286" s="884"/>
      <c r="Q286" s="884"/>
      <c r="R286" s="884"/>
      <c r="S286" s="1417"/>
      <c r="T286" s="883"/>
      <c r="U286" s="884"/>
      <c r="V286" s="884"/>
      <c r="W286" s="884"/>
      <c r="X286" s="884"/>
      <c r="Y286" s="884"/>
      <c r="Z286" s="884"/>
      <c r="AA286" s="884"/>
      <c r="AB286" s="1417"/>
      <c r="AC286" s="1454"/>
    </row>
    <row r="287" spans="1:29" ht="34.35" customHeight="1">
      <c r="A287" s="59" t="s">
        <v>309</v>
      </c>
      <c r="B287" s="61" t="s">
        <v>325</v>
      </c>
      <c r="C287" s="29">
        <v>41</v>
      </c>
      <c r="D287" s="5" t="s">
        <v>347</v>
      </c>
      <c r="E287" s="14" t="s">
        <v>38</v>
      </c>
      <c r="F287" s="2" t="s">
        <v>106</v>
      </c>
      <c r="G287" s="2" t="s">
        <v>285</v>
      </c>
      <c r="H287" s="924"/>
      <c r="I287" s="879">
        <v>45901</v>
      </c>
      <c r="J287" s="921"/>
      <c r="K287" s="884"/>
      <c r="L287" s="884"/>
      <c r="M287" s="884"/>
      <c r="N287" s="884"/>
      <c r="O287" s="884"/>
      <c r="P287" s="884"/>
      <c r="Q287" s="884"/>
      <c r="R287" s="884"/>
      <c r="S287" s="1417"/>
      <c r="T287" s="883"/>
      <c r="U287" s="884"/>
      <c r="V287" s="884"/>
      <c r="W287" s="884"/>
      <c r="X287" s="884"/>
      <c r="Y287" s="884"/>
      <c r="Z287" s="884"/>
      <c r="AA287" s="884"/>
      <c r="AB287" s="1417"/>
      <c r="AC287" s="1454"/>
    </row>
    <row r="288" spans="1:29" ht="34.35" customHeight="1">
      <c r="A288" s="59" t="s">
        <v>309</v>
      </c>
      <c r="B288" s="61" t="s">
        <v>325</v>
      </c>
      <c r="C288" s="29">
        <v>42</v>
      </c>
      <c r="D288" s="5" t="s">
        <v>347</v>
      </c>
      <c r="E288" s="14" t="s">
        <v>136</v>
      </c>
      <c r="F288" s="2" t="s">
        <v>106</v>
      </c>
      <c r="G288" s="2" t="s">
        <v>285</v>
      </c>
      <c r="H288" s="924"/>
      <c r="I288" s="879">
        <v>45901</v>
      </c>
      <c r="J288" s="921"/>
      <c r="K288" s="884"/>
      <c r="L288" s="884"/>
      <c r="M288" s="884"/>
      <c r="N288" s="884"/>
      <c r="O288" s="884"/>
      <c r="P288" s="884"/>
      <c r="Q288" s="884"/>
      <c r="R288" s="884"/>
      <c r="S288" s="1417"/>
      <c r="T288" s="883"/>
      <c r="U288" s="884"/>
      <c r="V288" s="884"/>
      <c r="W288" s="884"/>
      <c r="X288" s="884"/>
      <c r="Y288" s="884"/>
      <c r="Z288" s="884"/>
      <c r="AA288" s="884"/>
      <c r="AB288" s="1417"/>
      <c r="AC288" s="1454"/>
    </row>
    <row r="289" spans="1:29" ht="34.35" customHeight="1">
      <c r="A289" s="59" t="s">
        <v>309</v>
      </c>
      <c r="B289" s="61" t="s">
        <v>325</v>
      </c>
      <c r="C289" s="29">
        <v>43</v>
      </c>
      <c r="D289" s="5" t="s">
        <v>349</v>
      </c>
      <c r="E289" s="14" t="s">
        <v>136</v>
      </c>
      <c r="F289" s="2" t="s">
        <v>340</v>
      </c>
      <c r="G289" s="2" t="s">
        <v>134</v>
      </c>
      <c r="H289" s="920">
        <v>5.4</v>
      </c>
      <c r="I289" s="879">
        <v>45901</v>
      </c>
      <c r="J289" s="921"/>
      <c r="K289" s="884"/>
      <c r="L289" s="884"/>
      <c r="M289" s="884"/>
      <c r="N289" s="884"/>
      <c r="O289" s="884"/>
      <c r="P289" s="884"/>
      <c r="Q289" s="884"/>
      <c r="R289" s="884"/>
      <c r="S289" s="1417"/>
      <c r="T289" s="883"/>
      <c r="U289" s="884"/>
      <c r="V289" s="884"/>
      <c r="W289" s="884"/>
      <c r="X289" s="884"/>
      <c r="Y289" s="884"/>
      <c r="Z289" s="884"/>
      <c r="AA289" s="884"/>
      <c r="AB289" s="1417"/>
      <c r="AC289" s="1454"/>
    </row>
    <row r="290" spans="1:29" ht="34.35" customHeight="1">
      <c r="A290" s="59" t="s">
        <v>309</v>
      </c>
      <c r="B290" s="61" t="s">
        <v>325</v>
      </c>
      <c r="C290" s="29">
        <v>44</v>
      </c>
      <c r="D290" s="5" t="s">
        <v>350</v>
      </c>
      <c r="E290" s="14" t="s">
        <v>38</v>
      </c>
      <c r="F290" s="2" t="s">
        <v>106</v>
      </c>
      <c r="G290" s="2" t="s">
        <v>134</v>
      </c>
      <c r="H290" s="924">
        <v>200</v>
      </c>
      <c r="I290" s="879">
        <v>45901</v>
      </c>
      <c r="J290" s="921"/>
      <c r="K290" s="884"/>
      <c r="L290" s="884"/>
      <c r="M290" s="884"/>
      <c r="N290" s="884"/>
      <c r="O290" s="884"/>
      <c r="P290" s="884"/>
      <c r="Q290" s="884"/>
      <c r="R290" s="884"/>
      <c r="S290" s="1417"/>
      <c r="T290" s="883"/>
      <c r="U290" s="884"/>
      <c r="V290" s="884"/>
      <c r="W290" s="884"/>
      <c r="X290" s="884"/>
      <c r="Y290" s="884"/>
      <c r="Z290" s="884"/>
      <c r="AA290" s="884"/>
      <c r="AB290" s="1417"/>
      <c r="AC290" s="1454"/>
    </row>
    <row r="291" spans="1:29" ht="34.35" customHeight="1">
      <c r="A291" s="59" t="s">
        <v>309</v>
      </c>
      <c r="B291" s="61" t="s">
        <v>325</v>
      </c>
      <c r="C291" s="29">
        <v>45</v>
      </c>
      <c r="D291" s="5" t="s">
        <v>350</v>
      </c>
      <c r="E291" s="14" t="s">
        <v>136</v>
      </c>
      <c r="F291" s="2" t="s">
        <v>106</v>
      </c>
      <c r="G291" s="2" t="s">
        <v>134</v>
      </c>
      <c r="H291" s="924">
        <v>90</v>
      </c>
      <c r="I291" s="879">
        <v>45901</v>
      </c>
      <c r="J291" s="921"/>
      <c r="K291" s="884"/>
      <c r="L291" s="884"/>
      <c r="M291" s="884"/>
      <c r="N291" s="884"/>
      <c r="O291" s="884"/>
      <c r="P291" s="884"/>
      <c r="Q291" s="884"/>
      <c r="R291" s="884"/>
      <c r="S291" s="1417"/>
      <c r="T291" s="883"/>
      <c r="U291" s="884"/>
      <c r="V291" s="884"/>
      <c r="W291" s="884"/>
      <c r="X291" s="884"/>
      <c r="Y291" s="884"/>
      <c r="Z291" s="884"/>
      <c r="AA291" s="884"/>
      <c r="AB291" s="1417"/>
      <c r="AC291" s="1454"/>
    </row>
    <row r="292" spans="1:29" ht="34.35" customHeight="1">
      <c r="A292" s="59" t="s">
        <v>309</v>
      </c>
      <c r="B292" s="62" t="s">
        <v>351</v>
      </c>
      <c r="C292" s="29">
        <v>46</v>
      </c>
      <c r="D292" s="63" t="s">
        <v>41</v>
      </c>
      <c r="E292" s="14" t="s">
        <v>353</v>
      </c>
      <c r="F292" s="2" t="s">
        <v>312</v>
      </c>
      <c r="G292" s="1" t="s">
        <v>40</v>
      </c>
      <c r="H292" s="920">
        <v>1.2</v>
      </c>
      <c r="I292" s="879">
        <v>45901</v>
      </c>
      <c r="J292" s="921"/>
      <c r="K292" s="884"/>
      <c r="L292" s="884"/>
      <c r="M292" s="884"/>
      <c r="N292" s="884"/>
      <c r="O292" s="884"/>
      <c r="P292" s="884"/>
      <c r="Q292" s="884"/>
      <c r="R292" s="884"/>
      <c r="S292" s="1417"/>
      <c r="T292" s="883"/>
      <c r="U292" s="884"/>
      <c r="V292" s="884"/>
      <c r="W292" s="884"/>
      <c r="X292" s="884"/>
      <c r="Y292" s="884"/>
      <c r="Z292" s="884"/>
      <c r="AA292" s="884"/>
      <c r="AB292" s="1417"/>
      <c r="AC292" s="1456" t="s">
        <v>352</v>
      </c>
    </row>
    <row r="293" spans="1:29" ht="34.35" customHeight="1">
      <c r="A293" s="59" t="s">
        <v>309</v>
      </c>
      <c r="B293" s="64" t="s">
        <v>354</v>
      </c>
      <c r="C293" s="29">
        <v>47</v>
      </c>
      <c r="D293" s="63" t="s">
        <v>41</v>
      </c>
      <c r="E293" s="14" t="s">
        <v>353</v>
      </c>
      <c r="F293" s="2" t="s">
        <v>327</v>
      </c>
      <c r="G293" s="1" t="s">
        <v>40</v>
      </c>
      <c r="H293" s="922">
        <v>0</v>
      </c>
      <c r="I293" s="879">
        <v>45901</v>
      </c>
      <c r="J293" s="921"/>
      <c r="K293" s="884"/>
      <c r="L293" s="884"/>
      <c r="M293" s="884"/>
      <c r="N293" s="884"/>
      <c r="O293" s="884"/>
      <c r="P293" s="884"/>
      <c r="Q293" s="884"/>
      <c r="R293" s="884"/>
      <c r="S293" s="1417"/>
      <c r="T293" s="883"/>
      <c r="U293" s="884"/>
      <c r="V293" s="884"/>
      <c r="W293" s="884"/>
      <c r="X293" s="884"/>
      <c r="Y293" s="884"/>
      <c r="Z293" s="884"/>
      <c r="AA293" s="884"/>
      <c r="AB293" s="1417"/>
      <c r="AC293" s="1457" t="s">
        <v>466</v>
      </c>
    </row>
    <row r="294" spans="1:29" ht="34.35" customHeight="1">
      <c r="A294" s="59" t="s">
        <v>309</v>
      </c>
      <c r="B294" s="64" t="s">
        <v>356</v>
      </c>
      <c r="C294" s="29">
        <v>48</v>
      </c>
      <c r="D294" s="63" t="s">
        <v>41</v>
      </c>
      <c r="E294" s="14" t="s">
        <v>353</v>
      </c>
      <c r="F294" s="2" t="s">
        <v>321</v>
      </c>
      <c r="G294" s="1" t="s">
        <v>40</v>
      </c>
      <c r="H294" s="922">
        <v>0</v>
      </c>
      <c r="I294" s="879">
        <v>45901</v>
      </c>
      <c r="J294" s="921">
        <v>0</v>
      </c>
      <c r="K294" s="884">
        <v>0</v>
      </c>
      <c r="L294" s="884">
        <v>0</v>
      </c>
      <c r="M294" s="884">
        <v>0</v>
      </c>
      <c r="N294" s="884">
        <v>0</v>
      </c>
      <c r="O294" s="884">
        <v>0</v>
      </c>
      <c r="P294" s="884">
        <v>0</v>
      </c>
      <c r="Q294" s="884">
        <v>0</v>
      </c>
      <c r="R294" s="884">
        <v>0</v>
      </c>
      <c r="S294" s="1417">
        <v>0</v>
      </c>
      <c r="T294" s="883">
        <v>0</v>
      </c>
      <c r="U294" s="884">
        <v>0</v>
      </c>
      <c r="V294" s="884">
        <v>0</v>
      </c>
      <c r="W294" s="884">
        <v>0</v>
      </c>
      <c r="X294" s="884">
        <v>0</v>
      </c>
      <c r="Y294" s="884">
        <v>0</v>
      </c>
      <c r="Z294" s="884">
        <v>0</v>
      </c>
      <c r="AA294" s="884">
        <v>0</v>
      </c>
      <c r="AB294" s="1417">
        <v>0</v>
      </c>
      <c r="AC294" s="1457" t="s">
        <v>466</v>
      </c>
    </row>
    <row r="295" spans="1:29" ht="34.35" customHeight="1">
      <c r="A295" s="69" t="s">
        <v>309</v>
      </c>
      <c r="B295" s="11" t="s">
        <v>357</v>
      </c>
      <c r="C295" s="73">
        <v>49</v>
      </c>
      <c r="D295" s="7" t="s">
        <v>41</v>
      </c>
      <c r="E295" s="71" t="s">
        <v>38</v>
      </c>
      <c r="F295" s="2" t="s">
        <v>312</v>
      </c>
      <c r="G295" s="1" t="s">
        <v>41</v>
      </c>
      <c r="I295" s="879">
        <v>45901</v>
      </c>
      <c r="J295" s="931"/>
      <c r="K295" s="887"/>
      <c r="L295" s="887"/>
      <c r="M295" s="887"/>
      <c r="N295" s="887"/>
      <c r="O295" s="887"/>
      <c r="P295" s="887"/>
      <c r="Q295" s="887"/>
      <c r="R295" s="887"/>
      <c r="S295" s="887"/>
      <c r="T295" s="887"/>
      <c r="U295" s="887"/>
      <c r="V295" s="887"/>
      <c r="W295" s="887"/>
      <c r="X295" s="887"/>
      <c r="Y295" s="887"/>
      <c r="Z295" s="887"/>
      <c r="AA295" s="887"/>
      <c r="AC295" s="1459"/>
    </row>
    <row r="296" spans="1:29" ht="34.35" customHeight="1">
      <c r="A296" s="59" t="s">
        <v>309</v>
      </c>
      <c r="B296" s="60" t="s">
        <v>310</v>
      </c>
      <c r="C296" s="29">
        <v>1</v>
      </c>
      <c r="D296" s="5" t="s">
        <v>311</v>
      </c>
      <c r="E296" s="14" t="s">
        <v>38</v>
      </c>
      <c r="F296" s="2" t="s">
        <v>312</v>
      </c>
      <c r="G296" s="2" t="s">
        <v>40</v>
      </c>
      <c r="H296" s="920">
        <v>0</v>
      </c>
      <c r="I296" s="879">
        <v>45931</v>
      </c>
      <c r="J296" s="921"/>
      <c r="K296" s="884"/>
      <c r="L296" s="884"/>
      <c r="M296" s="884"/>
      <c r="N296" s="884"/>
      <c r="O296" s="884"/>
      <c r="P296" s="884"/>
      <c r="Q296" s="884"/>
      <c r="R296" s="884"/>
      <c r="S296" s="1417"/>
      <c r="T296" s="883"/>
      <c r="U296" s="884"/>
      <c r="V296" s="884"/>
      <c r="W296" s="884"/>
      <c r="X296" s="884"/>
      <c r="Y296" s="884"/>
      <c r="Z296" s="884"/>
      <c r="AA296" s="884"/>
      <c r="AB296" s="1417"/>
      <c r="AC296" s="1454"/>
    </row>
    <row r="297" spans="1:29" ht="34.35" customHeight="1">
      <c r="A297" s="59" t="s">
        <v>309</v>
      </c>
      <c r="B297" s="60" t="s">
        <v>310</v>
      </c>
      <c r="C297" s="29">
        <v>2</v>
      </c>
      <c r="D297" s="5" t="s">
        <v>313</v>
      </c>
      <c r="E297" s="14" t="s">
        <v>38</v>
      </c>
      <c r="F297" s="2" t="s">
        <v>312</v>
      </c>
      <c r="G297" s="2" t="s">
        <v>40</v>
      </c>
      <c r="H297" s="920">
        <v>0</v>
      </c>
      <c r="I297" s="879">
        <v>45931</v>
      </c>
      <c r="J297" s="921"/>
      <c r="K297" s="884"/>
      <c r="L297" s="884"/>
      <c r="M297" s="884"/>
      <c r="N297" s="884"/>
      <c r="O297" s="884"/>
      <c r="P297" s="884"/>
      <c r="Q297" s="884"/>
      <c r="R297" s="884"/>
      <c r="S297" s="1417"/>
      <c r="T297" s="883"/>
      <c r="U297" s="884"/>
      <c r="V297" s="884"/>
      <c r="W297" s="884"/>
      <c r="X297" s="884"/>
      <c r="Y297" s="884"/>
      <c r="Z297" s="884"/>
      <c r="AA297" s="884"/>
      <c r="AB297" s="1417"/>
      <c r="AC297" s="1454"/>
    </row>
    <row r="298" spans="1:29" ht="34.35" customHeight="1">
      <c r="A298" s="59" t="s">
        <v>309</v>
      </c>
      <c r="B298" s="60" t="s">
        <v>310</v>
      </c>
      <c r="C298" s="29">
        <v>3</v>
      </c>
      <c r="D298" s="6" t="s">
        <v>314</v>
      </c>
      <c r="E298" s="14" t="s">
        <v>38</v>
      </c>
      <c r="F298" s="2" t="s">
        <v>312</v>
      </c>
      <c r="G298" s="2" t="s">
        <v>40</v>
      </c>
      <c r="H298" s="920">
        <v>0</v>
      </c>
      <c r="I298" s="879">
        <v>45931</v>
      </c>
      <c r="J298" s="921"/>
      <c r="K298" s="884"/>
      <c r="L298" s="884"/>
      <c r="M298" s="884"/>
      <c r="N298" s="884"/>
      <c r="O298" s="884"/>
      <c r="P298" s="884"/>
      <c r="Q298" s="884"/>
      <c r="R298" s="884"/>
      <c r="S298" s="1417"/>
      <c r="T298" s="883"/>
      <c r="U298" s="884"/>
      <c r="V298" s="884"/>
      <c r="W298" s="884"/>
      <c r="X298" s="884"/>
      <c r="Y298" s="884"/>
      <c r="Z298" s="884"/>
      <c r="AA298" s="884"/>
      <c r="AB298" s="1417"/>
      <c r="AC298" s="1455"/>
    </row>
    <row r="299" spans="1:29" ht="34.35" customHeight="1">
      <c r="A299" s="59" t="s">
        <v>309</v>
      </c>
      <c r="B299" s="60" t="s">
        <v>310</v>
      </c>
      <c r="C299" s="29">
        <v>4</v>
      </c>
      <c r="D299" s="5" t="s">
        <v>315</v>
      </c>
      <c r="E299" s="14" t="s">
        <v>38</v>
      </c>
      <c r="F299" s="2" t="s">
        <v>316</v>
      </c>
      <c r="G299" s="2" t="s">
        <v>40</v>
      </c>
      <c r="H299" s="920">
        <v>280</v>
      </c>
      <c r="I299" s="879">
        <v>45931</v>
      </c>
      <c r="J299" s="921"/>
      <c r="K299" s="884"/>
      <c r="L299" s="884"/>
      <c r="M299" s="884">
        <v>1</v>
      </c>
      <c r="N299" s="884"/>
      <c r="O299" s="884"/>
      <c r="P299" s="884"/>
      <c r="Q299" s="884"/>
      <c r="R299" s="884">
        <v>1</v>
      </c>
      <c r="S299" s="922"/>
      <c r="T299" s="883"/>
      <c r="U299" s="884"/>
      <c r="V299" s="884">
        <v>11</v>
      </c>
      <c r="W299" s="884">
        <v>1</v>
      </c>
      <c r="X299" s="884"/>
      <c r="Y299" s="884">
        <v>11</v>
      </c>
      <c r="Z299" s="884"/>
      <c r="AA299" s="884"/>
      <c r="AB299" s="1417"/>
      <c r="AC299" s="1456" t="s">
        <v>458</v>
      </c>
    </row>
    <row r="300" spans="1:29" ht="34.35" customHeight="1">
      <c r="A300" s="59" t="s">
        <v>309</v>
      </c>
      <c r="B300" s="60" t="s">
        <v>310</v>
      </c>
      <c r="C300" s="29">
        <v>5</v>
      </c>
      <c r="D300" s="5" t="s">
        <v>315</v>
      </c>
      <c r="E300" s="14" t="s">
        <v>136</v>
      </c>
      <c r="F300" s="2" t="s">
        <v>316</v>
      </c>
      <c r="G300" s="2" t="s">
        <v>40</v>
      </c>
      <c r="H300" s="920">
        <v>106</v>
      </c>
      <c r="I300" s="879">
        <v>45931</v>
      </c>
      <c r="J300" s="921"/>
      <c r="K300" s="884"/>
      <c r="L300" s="884"/>
      <c r="M300" s="884">
        <v>0.09</v>
      </c>
      <c r="N300" s="884"/>
      <c r="O300" s="884"/>
      <c r="P300" s="884"/>
      <c r="Q300" s="884"/>
      <c r="R300" s="885">
        <v>1.4999999999999999E-2</v>
      </c>
      <c r="S300" s="1418"/>
      <c r="T300" s="889"/>
      <c r="U300" s="885"/>
      <c r="V300" s="885">
        <v>2.992</v>
      </c>
      <c r="W300" s="885">
        <v>8.7099999999999997E-2</v>
      </c>
      <c r="X300" s="885"/>
      <c r="Y300" s="885">
        <f>5.269+0.2309</f>
        <v>5.4999000000000002</v>
      </c>
      <c r="Z300" s="884"/>
      <c r="AA300" s="884"/>
      <c r="AB300" s="1417"/>
      <c r="AC300" s="1456" t="s">
        <v>459</v>
      </c>
    </row>
    <row r="301" spans="1:29" ht="34.35" customHeight="1">
      <c r="A301" s="59" t="s">
        <v>309</v>
      </c>
      <c r="B301" s="60" t="s">
        <v>310</v>
      </c>
      <c r="C301" s="29">
        <v>6</v>
      </c>
      <c r="D301" s="5" t="s">
        <v>317</v>
      </c>
      <c r="E301" s="14" t="s">
        <v>38</v>
      </c>
      <c r="F301" s="2" t="s">
        <v>316</v>
      </c>
      <c r="G301" s="2" t="s">
        <v>40</v>
      </c>
      <c r="H301" s="920">
        <v>0</v>
      </c>
      <c r="I301" s="879">
        <v>45931</v>
      </c>
      <c r="J301" s="921">
        <v>0</v>
      </c>
      <c r="K301" s="884">
        <v>0</v>
      </c>
      <c r="L301" s="884">
        <v>0</v>
      </c>
      <c r="M301" s="884">
        <v>0</v>
      </c>
      <c r="N301" s="884">
        <v>0</v>
      </c>
      <c r="O301" s="884">
        <v>0</v>
      </c>
      <c r="P301" s="884">
        <v>0</v>
      </c>
      <c r="Q301" s="884">
        <v>0</v>
      </c>
      <c r="R301" s="884">
        <v>0</v>
      </c>
      <c r="S301" s="1417">
        <v>0</v>
      </c>
      <c r="T301" s="883">
        <v>0</v>
      </c>
      <c r="U301" s="884">
        <v>0</v>
      </c>
      <c r="V301" s="884">
        <v>0</v>
      </c>
      <c r="W301" s="884">
        <v>0</v>
      </c>
      <c r="X301" s="884">
        <v>0</v>
      </c>
      <c r="Y301" s="884">
        <v>0</v>
      </c>
      <c r="Z301" s="884">
        <v>0</v>
      </c>
      <c r="AA301" s="884">
        <v>0</v>
      </c>
      <c r="AB301" s="1417">
        <v>0</v>
      </c>
      <c r="AC301" s="1454"/>
    </row>
    <row r="302" spans="1:29" ht="34.35" customHeight="1">
      <c r="A302" s="59" t="s">
        <v>309</v>
      </c>
      <c r="B302" s="60" t="s">
        <v>310</v>
      </c>
      <c r="C302" s="29">
        <v>7</v>
      </c>
      <c r="D302" s="5" t="s">
        <v>317</v>
      </c>
      <c r="E302" s="14" t="s">
        <v>136</v>
      </c>
      <c r="F302" s="2" t="s">
        <v>316</v>
      </c>
      <c r="G302" s="2" t="s">
        <v>40</v>
      </c>
      <c r="H302" s="920">
        <v>0</v>
      </c>
      <c r="I302" s="879">
        <v>45931</v>
      </c>
      <c r="J302" s="921">
        <v>0</v>
      </c>
      <c r="K302" s="884">
        <v>0</v>
      </c>
      <c r="L302" s="884">
        <v>0</v>
      </c>
      <c r="M302" s="884">
        <v>0</v>
      </c>
      <c r="N302" s="884">
        <v>0</v>
      </c>
      <c r="O302" s="884">
        <v>0</v>
      </c>
      <c r="P302" s="884">
        <v>0</v>
      </c>
      <c r="Q302" s="884">
        <v>0</v>
      </c>
      <c r="R302" s="884">
        <v>0</v>
      </c>
      <c r="S302" s="1417">
        <v>0</v>
      </c>
      <c r="T302" s="883">
        <v>0</v>
      </c>
      <c r="U302" s="884">
        <v>0</v>
      </c>
      <c r="V302" s="884">
        <v>0</v>
      </c>
      <c r="W302" s="884">
        <v>0</v>
      </c>
      <c r="X302" s="884">
        <v>0</v>
      </c>
      <c r="Y302" s="884">
        <v>0</v>
      </c>
      <c r="Z302" s="884">
        <v>0</v>
      </c>
      <c r="AA302" s="884">
        <v>0</v>
      </c>
      <c r="AB302" s="1417">
        <v>0</v>
      </c>
      <c r="AC302" s="1454"/>
    </row>
    <row r="303" spans="1:29" ht="34.35" customHeight="1">
      <c r="A303" s="59" t="s">
        <v>309</v>
      </c>
      <c r="B303" s="60" t="s">
        <v>310</v>
      </c>
      <c r="C303" s="29">
        <v>8</v>
      </c>
      <c r="D303" s="5" t="s">
        <v>318</v>
      </c>
      <c r="E303" s="14" t="s">
        <v>38</v>
      </c>
      <c r="F303" s="2" t="s">
        <v>316</v>
      </c>
      <c r="G303" s="2" t="s">
        <v>40</v>
      </c>
      <c r="H303" s="920">
        <v>192</v>
      </c>
      <c r="I303" s="879">
        <v>45931</v>
      </c>
      <c r="J303" s="921"/>
      <c r="K303" s="884">
        <v>2</v>
      </c>
      <c r="L303" s="884"/>
      <c r="M303" s="884">
        <v>1</v>
      </c>
      <c r="N303" s="884"/>
      <c r="O303" s="884"/>
      <c r="P303" s="884"/>
      <c r="Q303" s="884"/>
      <c r="R303" s="884"/>
      <c r="S303" s="1417"/>
      <c r="T303" s="883"/>
      <c r="U303" s="884"/>
      <c r="V303" s="884"/>
      <c r="W303" s="884">
        <v>1</v>
      </c>
      <c r="X303" s="884"/>
      <c r="Y303" s="884">
        <v>15</v>
      </c>
      <c r="Z303" s="884"/>
      <c r="AA303" s="884">
        <v>1</v>
      </c>
      <c r="AB303" s="1417"/>
      <c r="AC303" s="1456" t="s">
        <v>460</v>
      </c>
    </row>
    <row r="304" spans="1:29" ht="34.35" customHeight="1">
      <c r="A304" s="59" t="s">
        <v>309</v>
      </c>
      <c r="B304" s="60" t="s">
        <v>310</v>
      </c>
      <c r="C304" s="29">
        <v>9</v>
      </c>
      <c r="D304" s="5" t="s">
        <v>318</v>
      </c>
      <c r="E304" s="14" t="s">
        <v>136</v>
      </c>
      <c r="F304" s="2" t="s">
        <v>316</v>
      </c>
      <c r="G304" s="2" t="s">
        <v>40</v>
      </c>
      <c r="H304" s="920">
        <v>307</v>
      </c>
      <c r="I304" s="879">
        <v>45931</v>
      </c>
      <c r="J304" s="921"/>
      <c r="K304" s="884">
        <v>0.65</v>
      </c>
      <c r="L304" s="884"/>
      <c r="M304" s="884">
        <v>0.22</v>
      </c>
      <c r="N304" s="884"/>
      <c r="O304" s="884"/>
      <c r="P304" s="884"/>
      <c r="Q304" s="884"/>
      <c r="R304" s="884"/>
      <c r="S304" s="1417"/>
      <c r="T304" s="883"/>
      <c r="U304" s="884"/>
      <c r="V304" s="884"/>
      <c r="W304" s="884">
        <v>0.4</v>
      </c>
      <c r="X304" s="884"/>
      <c r="Y304" s="884">
        <v>19.686</v>
      </c>
      <c r="Z304" s="884"/>
      <c r="AA304" s="884">
        <v>0.38</v>
      </c>
      <c r="AB304" s="1417"/>
      <c r="AC304" s="1456" t="s">
        <v>461</v>
      </c>
    </row>
    <row r="305" spans="1:29" ht="34.35" customHeight="1">
      <c r="A305" s="59" t="s">
        <v>309</v>
      </c>
      <c r="B305" s="60" t="s">
        <v>319</v>
      </c>
      <c r="C305" s="29">
        <v>10</v>
      </c>
      <c r="D305" s="5" t="s">
        <v>320</v>
      </c>
      <c r="E305" s="14" t="s">
        <v>38</v>
      </c>
      <c r="F305" s="2" t="s">
        <v>321</v>
      </c>
      <c r="G305" s="2" t="s">
        <v>40</v>
      </c>
      <c r="H305" s="920">
        <v>0</v>
      </c>
      <c r="I305" s="879">
        <v>45931</v>
      </c>
      <c r="J305" s="921">
        <v>0</v>
      </c>
      <c r="K305" s="884">
        <v>0</v>
      </c>
      <c r="L305" s="884">
        <v>0</v>
      </c>
      <c r="M305" s="884">
        <v>0</v>
      </c>
      <c r="N305" s="884">
        <v>0</v>
      </c>
      <c r="O305" s="884">
        <v>0</v>
      </c>
      <c r="P305" s="884">
        <v>0</v>
      </c>
      <c r="Q305" s="884">
        <v>0</v>
      </c>
      <c r="R305" s="884">
        <v>0</v>
      </c>
      <c r="S305" s="1417">
        <v>0</v>
      </c>
      <c r="T305" s="883">
        <v>0</v>
      </c>
      <c r="U305" s="884">
        <v>0</v>
      </c>
      <c r="V305" s="884">
        <v>0</v>
      </c>
      <c r="W305" s="884">
        <v>0</v>
      </c>
      <c r="X305" s="884">
        <v>0</v>
      </c>
      <c r="Y305" s="884">
        <v>0</v>
      </c>
      <c r="Z305" s="884">
        <v>0</v>
      </c>
      <c r="AA305" s="884">
        <v>0</v>
      </c>
      <c r="AB305" s="1417">
        <v>0</v>
      </c>
      <c r="AC305" s="1454"/>
    </row>
    <row r="306" spans="1:29" ht="34.35" customHeight="1">
      <c r="A306" s="59" t="s">
        <v>309</v>
      </c>
      <c r="B306" s="60" t="s">
        <v>319</v>
      </c>
      <c r="C306" s="29">
        <v>11</v>
      </c>
      <c r="D306" s="5" t="s">
        <v>322</v>
      </c>
      <c r="E306" s="14" t="s">
        <v>38</v>
      </c>
      <c r="F306" s="2" t="s">
        <v>321</v>
      </c>
      <c r="G306" s="2" t="s">
        <v>40</v>
      </c>
      <c r="H306" s="920">
        <v>0</v>
      </c>
      <c r="I306" s="879">
        <v>45931</v>
      </c>
      <c r="J306" s="921">
        <v>0</v>
      </c>
      <c r="K306" s="884">
        <v>0</v>
      </c>
      <c r="L306" s="884">
        <v>0</v>
      </c>
      <c r="M306" s="884">
        <v>0</v>
      </c>
      <c r="N306" s="884">
        <v>0</v>
      </c>
      <c r="O306" s="884">
        <v>0</v>
      </c>
      <c r="P306" s="884">
        <v>0</v>
      </c>
      <c r="Q306" s="884">
        <v>0</v>
      </c>
      <c r="R306" s="884">
        <v>0</v>
      </c>
      <c r="S306" s="1417">
        <v>0</v>
      </c>
      <c r="T306" s="883">
        <v>0</v>
      </c>
      <c r="U306" s="884">
        <v>0</v>
      </c>
      <c r="V306" s="884">
        <v>0</v>
      </c>
      <c r="W306" s="884">
        <v>0</v>
      </c>
      <c r="X306" s="884">
        <v>0</v>
      </c>
      <c r="Y306" s="884">
        <v>0</v>
      </c>
      <c r="Z306" s="884">
        <v>0</v>
      </c>
      <c r="AA306" s="884">
        <v>0</v>
      </c>
      <c r="AB306" s="1417">
        <v>0</v>
      </c>
      <c r="AC306" s="1454"/>
    </row>
    <row r="307" spans="1:29" ht="34.35" customHeight="1">
      <c r="A307" s="59" t="s">
        <v>309</v>
      </c>
      <c r="B307" s="60" t="s">
        <v>319</v>
      </c>
      <c r="C307" s="29">
        <v>12</v>
      </c>
      <c r="D307" s="5" t="s">
        <v>313</v>
      </c>
      <c r="E307" s="14" t="s">
        <v>38</v>
      </c>
      <c r="F307" s="2" t="s">
        <v>321</v>
      </c>
      <c r="G307" s="2" t="s">
        <v>40</v>
      </c>
      <c r="H307" s="920">
        <v>0</v>
      </c>
      <c r="I307" s="879">
        <v>45931</v>
      </c>
      <c r="J307" s="921">
        <v>0</v>
      </c>
      <c r="K307" s="884">
        <v>0</v>
      </c>
      <c r="L307" s="884">
        <v>0</v>
      </c>
      <c r="M307" s="884">
        <v>0</v>
      </c>
      <c r="N307" s="884">
        <v>0</v>
      </c>
      <c r="O307" s="884">
        <v>0</v>
      </c>
      <c r="P307" s="884">
        <v>0</v>
      </c>
      <c r="Q307" s="884">
        <v>0</v>
      </c>
      <c r="R307" s="884">
        <v>0</v>
      </c>
      <c r="S307" s="1417">
        <v>0</v>
      </c>
      <c r="T307" s="883">
        <v>0</v>
      </c>
      <c r="U307" s="884">
        <v>0</v>
      </c>
      <c r="V307" s="884">
        <v>0</v>
      </c>
      <c r="W307" s="884">
        <v>0</v>
      </c>
      <c r="X307" s="884">
        <v>0</v>
      </c>
      <c r="Y307" s="884">
        <v>0</v>
      </c>
      <c r="Z307" s="884">
        <v>0</v>
      </c>
      <c r="AA307" s="884">
        <v>0</v>
      </c>
      <c r="AB307" s="1417">
        <v>0</v>
      </c>
      <c r="AC307" s="1454"/>
    </row>
    <row r="308" spans="1:29" ht="34.35" customHeight="1">
      <c r="A308" s="59" t="s">
        <v>309</v>
      </c>
      <c r="B308" s="60" t="s">
        <v>319</v>
      </c>
      <c r="C308" s="29">
        <v>13</v>
      </c>
      <c r="D308" s="5" t="s">
        <v>323</v>
      </c>
      <c r="E308" s="14" t="s">
        <v>38</v>
      </c>
      <c r="F308" s="2" t="s">
        <v>321</v>
      </c>
      <c r="G308" s="2" t="s">
        <v>40</v>
      </c>
      <c r="H308" s="920">
        <v>5</v>
      </c>
      <c r="I308" s="879">
        <v>45931</v>
      </c>
      <c r="J308" s="921" t="s">
        <v>41</v>
      </c>
      <c r="K308" s="884" t="s">
        <v>41</v>
      </c>
      <c r="L308" s="884" t="s">
        <v>41</v>
      </c>
      <c r="M308" s="884" t="s">
        <v>41</v>
      </c>
      <c r="N308" s="884" t="s">
        <v>41</v>
      </c>
      <c r="O308" s="884" t="s">
        <v>41</v>
      </c>
      <c r="P308" s="884" t="s">
        <v>41</v>
      </c>
      <c r="Q308" s="884" t="s">
        <v>41</v>
      </c>
      <c r="R308" s="884" t="s">
        <v>41</v>
      </c>
      <c r="S308" s="1417" t="s">
        <v>41</v>
      </c>
      <c r="T308" s="883" t="s">
        <v>41</v>
      </c>
      <c r="U308" s="884" t="s">
        <v>41</v>
      </c>
      <c r="V308" s="884" t="s">
        <v>41</v>
      </c>
      <c r="W308" s="884" t="s">
        <v>41</v>
      </c>
      <c r="X308" s="884" t="s">
        <v>41</v>
      </c>
      <c r="Y308" s="884" t="s">
        <v>41</v>
      </c>
      <c r="Z308" s="884" t="s">
        <v>41</v>
      </c>
      <c r="AA308" s="884" t="s">
        <v>41</v>
      </c>
      <c r="AB308" s="1417" t="s">
        <v>41</v>
      </c>
      <c r="AC308" s="1454"/>
    </row>
    <row r="309" spans="1:29" ht="34.35" customHeight="1">
      <c r="A309" s="59" t="s">
        <v>309</v>
      </c>
      <c r="B309" s="61" t="s">
        <v>324</v>
      </c>
      <c r="C309" s="29">
        <v>14</v>
      </c>
      <c r="D309" s="5" t="s">
        <v>311</v>
      </c>
      <c r="E309" s="14" t="s">
        <v>38</v>
      </c>
      <c r="F309" s="2" t="s">
        <v>312</v>
      </c>
      <c r="G309" s="2" t="s">
        <v>40</v>
      </c>
      <c r="H309" s="922">
        <v>0</v>
      </c>
      <c r="I309" s="879">
        <v>45931</v>
      </c>
      <c r="J309" s="921"/>
      <c r="K309" s="884"/>
      <c r="L309" s="884"/>
      <c r="M309" s="884"/>
      <c r="N309" s="884"/>
      <c r="O309" s="884"/>
      <c r="P309" s="884"/>
      <c r="Q309" s="884"/>
      <c r="R309" s="884"/>
      <c r="S309" s="1417"/>
      <c r="T309" s="883"/>
      <c r="U309" s="884"/>
      <c r="V309" s="884"/>
      <c r="W309" s="884"/>
      <c r="X309" s="884"/>
      <c r="Y309" s="884"/>
      <c r="Z309" s="884"/>
      <c r="AA309" s="884"/>
      <c r="AB309" s="1417"/>
      <c r="AC309" s="1454"/>
    </row>
    <row r="310" spans="1:29" ht="34.35" customHeight="1">
      <c r="A310" s="59" t="s">
        <v>309</v>
      </c>
      <c r="B310" s="61" t="s">
        <v>324</v>
      </c>
      <c r="C310" s="29">
        <v>15</v>
      </c>
      <c r="D310" s="5" t="s">
        <v>313</v>
      </c>
      <c r="E310" s="14" t="s">
        <v>38</v>
      </c>
      <c r="F310" s="2" t="s">
        <v>312</v>
      </c>
      <c r="G310" s="2" t="s">
        <v>40</v>
      </c>
      <c r="H310" s="922">
        <v>0</v>
      </c>
      <c r="I310" s="879">
        <v>45931</v>
      </c>
      <c r="J310" s="921"/>
      <c r="K310" s="884"/>
      <c r="L310" s="884"/>
      <c r="M310" s="884"/>
      <c r="N310" s="884"/>
      <c r="O310" s="884"/>
      <c r="P310" s="884"/>
      <c r="Q310" s="884"/>
      <c r="R310" s="884"/>
      <c r="S310" s="1417"/>
      <c r="T310" s="883"/>
      <c r="U310" s="884"/>
      <c r="V310" s="884"/>
      <c r="W310" s="884"/>
      <c r="X310" s="884"/>
      <c r="Y310" s="884"/>
      <c r="Z310" s="884"/>
      <c r="AA310" s="884"/>
      <c r="AB310" s="1417"/>
      <c r="AC310" s="1454"/>
    </row>
    <row r="311" spans="1:29" ht="34.35" customHeight="1">
      <c r="A311" s="59" t="s">
        <v>309</v>
      </c>
      <c r="B311" s="61" t="s">
        <v>324</v>
      </c>
      <c r="C311" s="29">
        <v>16</v>
      </c>
      <c r="D311" s="6" t="s">
        <v>314</v>
      </c>
      <c r="E311" s="14" t="s">
        <v>38</v>
      </c>
      <c r="F311" s="2" t="s">
        <v>312</v>
      </c>
      <c r="G311" s="2" t="s">
        <v>40</v>
      </c>
      <c r="H311" s="922">
        <v>0</v>
      </c>
      <c r="I311" s="879">
        <v>45931</v>
      </c>
      <c r="J311" s="921"/>
      <c r="K311" s="884"/>
      <c r="L311" s="884"/>
      <c r="M311" s="884"/>
      <c r="N311" s="884"/>
      <c r="O311" s="884"/>
      <c r="P311" s="884"/>
      <c r="Q311" s="884"/>
      <c r="R311" s="884"/>
      <c r="S311" s="1417"/>
      <c r="T311" s="883"/>
      <c r="U311" s="884"/>
      <c r="V311" s="884"/>
      <c r="W311" s="884"/>
      <c r="X311" s="884"/>
      <c r="Y311" s="884"/>
      <c r="Z311" s="884"/>
      <c r="AA311" s="884"/>
      <c r="AB311" s="1417"/>
      <c r="AC311" s="1455"/>
    </row>
    <row r="312" spans="1:29" ht="34.35" customHeight="1">
      <c r="A312" s="59" t="s">
        <v>309</v>
      </c>
      <c r="B312" s="61" t="s">
        <v>325</v>
      </c>
      <c r="C312" s="29">
        <v>17</v>
      </c>
      <c r="D312" s="5" t="s">
        <v>326</v>
      </c>
      <c r="E312" s="14" t="s">
        <v>38</v>
      </c>
      <c r="F312" s="2" t="s">
        <v>327</v>
      </c>
      <c r="G312" s="2" t="s">
        <v>40</v>
      </c>
      <c r="H312" s="922">
        <v>0</v>
      </c>
      <c r="I312" s="879">
        <v>45931</v>
      </c>
      <c r="J312" s="921"/>
      <c r="K312" s="884"/>
      <c r="L312" s="884"/>
      <c r="M312" s="884"/>
      <c r="N312" s="884"/>
      <c r="O312" s="884"/>
      <c r="P312" s="884"/>
      <c r="Q312" s="884"/>
      <c r="R312" s="884"/>
      <c r="S312" s="1417"/>
      <c r="T312" s="883"/>
      <c r="U312" s="884"/>
      <c r="V312" s="884"/>
      <c r="W312" s="884"/>
      <c r="X312" s="884"/>
      <c r="Y312" s="884"/>
      <c r="Z312" s="884"/>
      <c r="AA312" s="884"/>
      <c r="AB312" s="1417"/>
      <c r="AC312" s="1454"/>
    </row>
    <row r="313" spans="1:29" ht="34.35" customHeight="1">
      <c r="A313" s="59" t="s">
        <v>309</v>
      </c>
      <c r="B313" s="61" t="s">
        <v>325</v>
      </c>
      <c r="C313" s="29">
        <v>18</v>
      </c>
      <c r="D313" s="5" t="s">
        <v>326</v>
      </c>
      <c r="E313" s="14" t="s">
        <v>136</v>
      </c>
      <c r="F313" s="2" t="s">
        <v>327</v>
      </c>
      <c r="G313" s="2" t="s">
        <v>40</v>
      </c>
      <c r="H313" s="922">
        <v>0</v>
      </c>
      <c r="I313" s="879">
        <v>45931</v>
      </c>
      <c r="J313" s="921"/>
      <c r="K313" s="884"/>
      <c r="L313" s="884"/>
      <c r="M313" s="884"/>
      <c r="N313" s="884"/>
      <c r="O313" s="884"/>
      <c r="P313" s="884"/>
      <c r="Q313" s="884"/>
      <c r="R313" s="884"/>
      <c r="S313" s="1417"/>
      <c r="T313" s="883"/>
      <c r="U313" s="884"/>
      <c r="V313" s="884"/>
      <c r="W313" s="884"/>
      <c r="X313" s="884"/>
      <c r="Y313" s="884"/>
      <c r="Z313" s="884"/>
      <c r="AA313" s="884"/>
      <c r="AB313" s="1417"/>
      <c r="AC313" s="1454"/>
    </row>
    <row r="314" spans="1:29" ht="34.35" customHeight="1">
      <c r="A314" s="59" t="s">
        <v>309</v>
      </c>
      <c r="B314" s="61" t="s">
        <v>325</v>
      </c>
      <c r="C314" s="29">
        <v>19</v>
      </c>
      <c r="D314" s="6" t="s">
        <v>328</v>
      </c>
      <c r="E314" s="14" t="s">
        <v>38</v>
      </c>
      <c r="F314" s="2" t="s">
        <v>327</v>
      </c>
      <c r="G314" s="2" t="s">
        <v>40</v>
      </c>
      <c r="H314" s="922" t="s">
        <v>41</v>
      </c>
      <c r="I314" s="879">
        <v>45931</v>
      </c>
      <c r="J314" s="921"/>
      <c r="K314" s="884"/>
      <c r="L314" s="884"/>
      <c r="M314" s="884"/>
      <c r="N314" s="884"/>
      <c r="O314" s="884"/>
      <c r="P314" s="884"/>
      <c r="Q314" s="884"/>
      <c r="R314" s="884"/>
      <c r="S314" s="1417"/>
      <c r="T314" s="883"/>
      <c r="U314" s="884"/>
      <c r="V314" s="884"/>
      <c r="W314" s="884"/>
      <c r="X314" s="884"/>
      <c r="Y314" s="884"/>
      <c r="Z314" s="884"/>
      <c r="AA314" s="884"/>
      <c r="AB314" s="1417"/>
      <c r="AC314" s="1455"/>
    </row>
    <row r="315" spans="1:29" ht="34.35" customHeight="1">
      <c r="A315" s="59" t="s">
        <v>309</v>
      </c>
      <c r="B315" s="61" t="s">
        <v>325</v>
      </c>
      <c r="C315" s="29">
        <v>20</v>
      </c>
      <c r="D315" s="6" t="s">
        <v>328</v>
      </c>
      <c r="E315" s="14" t="s">
        <v>136</v>
      </c>
      <c r="F315" s="2" t="s">
        <v>327</v>
      </c>
      <c r="G315" s="2" t="s">
        <v>40</v>
      </c>
      <c r="H315" s="922" t="s">
        <v>41</v>
      </c>
      <c r="I315" s="879">
        <v>45931</v>
      </c>
      <c r="J315" s="921"/>
      <c r="K315" s="884"/>
      <c r="L315" s="884"/>
      <c r="M315" s="884"/>
      <c r="N315" s="884"/>
      <c r="O315" s="884"/>
      <c r="P315" s="884"/>
      <c r="Q315" s="884"/>
      <c r="R315" s="884"/>
      <c r="S315" s="1417"/>
      <c r="T315" s="883"/>
      <c r="U315" s="884"/>
      <c r="V315" s="884"/>
      <c r="W315" s="884"/>
      <c r="X315" s="884"/>
      <c r="Y315" s="884"/>
      <c r="Z315" s="884"/>
      <c r="AA315" s="884"/>
      <c r="AB315" s="1417"/>
      <c r="AC315" s="1455"/>
    </row>
    <row r="316" spans="1:29" ht="34.35" customHeight="1">
      <c r="A316" s="59" t="s">
        <v>309</v>
      </c>
      <c r="B316" s="61" t="s">
        <v>325</v>
      </c>
      <c r="C316" s="29">
        <v>21</v>
      </c>
      <c r="D316" s="6" t="s">
        <v>329</v>
      </c>
      <c r="E316" s="14" t="s">
        <v>38</v>
      </c>
      <c r="F316" s="2" t="s">
        <v>327</v>
      </c>
      <c r="G316" s="2" t="s">
        <v>40</v>
      </c>
      <c r="H316" s="922" t="s">
        <v>41</v>
      </c>
      <c r="I316" s="879">
        <v>45931</v>
      </c>
      <c r="J316" s="921"/>
      <c r="K316" s="884"/>
      <c r="L316" s="884"/>
      <c r="M316" s="884">
        <v>1</v>
      </c>
      <c r="N316" s="884"/>
      <c r="O316" s="884"/>
      <c r="P316" s="884"/>
      <c r="Q316" s="884"/>
      <c r="R316" s="884"/>
      <c r="S316" s="1417"/>
      <c r="T316" s="883"/>
      <c r="U316" s="884"/>
      <c r="V316" s="884">
        <f>1+17+1</f>
        <v>19</v>
      </c>
      <c r="W316" s="884">
        <v>1</v>
      </c>
      <c r="X316" s="884">
        <f>25+1+1</f>
        <v>27</v>
      </c>
      <c r="Y316" s="884">
        <f>37+139</f>
        <v>176</v>
      </c>
      <c r="Z316" s="884">
        <v>1</v>
      </c>
      <c r="AA316" s="884"/>
      <c r="AB316" s="1417">
        <v>7</v>
      </c>
      <c r="AC316" s="1455"/>
    </row>
    <row r="317" spans="1:29" ht="34.35" customHeight="1">
      <c r="A317" s="59" t="s">
        <v>309</v>
      </c>
      <c r="B317" s="61" t="s">
        <v>325</v>
      </c>
      <c r="C317" s="29">
        <v>22</v>
      </c>
      <c r="D317" s="6" t="s">
        <v>329</v>
      </c>
      <c r="E317" s="14" t="s">
        <v>136</v>
      </c>
      <c r="F317" s="2" t="s">
        <v>327</v>
      </c>
      <c r="G317" s="2" t="s">
        <v>40</v>
      </c>
      <c r="H317" s="922" t="s">
        <v>41</v>
      </c>
      <c r="I317" s="879">
        <v>45931</v>
      </c>
      <c r="J317" s="921"/>
      <c r="K317" s="884"/>
      <c r="L317" s="884"/>
      <c r="M317" s="884">
        <v>0.76</v>
      </c>
      <c r="N317" s="884"/>
      <c r="O317" s="884"/>
      <c r="P317" s="884"/>
      <c r="Q317" s="884"/>
      <c r="R317" s="884"/>
      <c r="S317" s="1417"/>
      <c r="T317" s="883"/>
      <c r="U317" s="884"/>
      <c r="V317" s="887">
        <f>0.036+26.97+0.036</f>
        <v>27.042000000000002</v>
      </c>
      <c r="W317" s="884">
        <v>1.59</v>
      </c>
      <c r="X317" s="887">
        <f>34.175564+0.299+1.23</f>
        <v>35.704563999999998</v>
      </c>
      <c r="Y317" s="887">
        <f>13.02646688+83.08</f>
        <v>96.106466879999999</v>
      </c>
      <c r="Z317" s="887">
        <v>2.3E-2</v>
      </c>
      <c r="AA317" s="884"/>
      <c r="AB317" s="1417">
        <v>8.4499999999999993</v>
      </c>
      <c r="AC317" s="1455"/>
    </row>
    <row r="318" spans="1:29" ht="34.35" customHeight="1">
      <c r="A318" s="59" t="s">
        <v>309</v>
      </c>
      <c r="B318" s="61" t="s">
        <v>325</v>
      </c>
      <c r="C318" s="29">
        <v>23</v>
      </c>
      <c r="D318" s="6" t="s">
        <v>462</v>
      </c>
      <c r="E318" s="14" t="s">
        <v>38</v>
      </c>
      <c r="F318" s="2" t="s">
        <v>327</v>
      </c>
      <c r="G318" s="2" t="s">
        <v>40</v>
      </c>
      <c r="H318" s="922" t="s">
        <v>41</v>
      </c>
      <c r="I318" s="879">
        <v>45931</v>
      </c>
      <c r="J318" s="921"/>
      <c r="K318" s="884"/>
      <c r="L318" s="884"/>
      <c r="M318" s="884"/>
      <c r="N318" s="884">
        <v>11</v>
      </c>
      <c r="O318" s="884">
        <v>8</v>
      </c>
      <c r="P318" s="884"/>
      <c r="Q318" s="884"/>
      <c r="R318" s="884"/>
      <c r="S318" s="1417">
        <v>6</v>
      </c>
      <c r="T318" s="883">
        <v>1</v>
      </c>
      <c r="U318" s="884"/>
      <c r="V318" s="884">
        <v>10</v>
      </c>
      <c r="W318" s="884">
        <v>2</v>
      </c>
      <c r="X318" s="884">
        <v>3</v>
      </c>
      <c r="Y318" s="884">
        <f>80+127</f>
        <v>207</v>
      </c>
      <c r="Z318" s="884">
        <v>1</v>
      </c>
      <c r="AA318" s="884"/>
      <c r="AB318" s="1417">
        <v>1</v>
      </c>
      <c r="AC318" s="1455"/>
    </row>
    <row r="319" spans="1:29" ht="34.35" customHeight="1">
      <c r="A319" s="59" t="s">
        <v>309</v>
      </c>
      <c r="B319" s="61" t="s">
        <v>325</v>
      </c>
      <c r="C319" s="29">
        <v>24</v>
      </c>
      <c r="D319" s="6" t="s">
        <v>462</v>
      </c>
      <c r="E319" s="14" t="s">
        <v>136</v>
      </c>
      <c r="F319" s="2" t="s">
        <v>327</v>
      </c>
      <c r="G319" s="2" t="s">
        <v>40</v>
      </c>
      <c r="H319" s="922" t="s">
        <v>41</v>
      </c>
      <c r="I319" s="879">
        <v>45931</v>
      </c>
      <c r="J319" s="921"/>
      <c r="K319" s="884"/>
      <c r="L319" s="884"/>
      <c r="M319" s="884"/>
      <c r="N319" s="935">
        <v>5.0011162899999997</v>
      </c>
      <c r="O319" s="887">
        <v>4.5607959999999999</v>
      </c>
      <c r="P319" s="884"/>
      <c r="Q319" s="884"/>
      <c r="R319" s="884"/>
      <c r="S319" s="887">
        <v>8.4573956599999995</v>
      </c>
      <c r="T319" s="883">
        <v>0.08</v>
      </c>
      <c r="U319" s="884"/>
      <c r="V319" s="884">
        <v>15.02</v>
      </c>
      <c r="W319" s="884">
        <v>0.37</v>
      </c>
      <c r="X319" s="887">
        <f>1326906/1000000</f>
        <v>1.3269059999999999</v>
      </c>
      <c r="Y319" s="887">
        <f>28.72243768+77.65</f>
        <v>106.37243768</v>
      </c>
      <c r="Z319" s="884">
        <v>1.89</v>
      </c>
      <c r="AA319" s="884"/>
      <c r="AB319" s="1417">
        <v>1.9</v>
      </c>
      <c r="AC319" s="1455"/>
    </row>
    <row r="320" spans="1:29" ht="34.35" customHeight="1">
      <c r="A320" s="59" t="s">
        <v>309</v>
      </c>
      <c r="B320" s="61" t="s">
        <v>325</v>
      </c>
      <c r="C320" s="29">
        <v>25</v>
      </c>
      <c r="D320" s="5" t="s">
        <v>331</v>
      </c>
      <c r="E320" s="14" t="s">
        <v>38</v>
      </c>
      <c r="F320" s="2" t="s">
        <v>327</v>
      </c>
      <c r="G320" s="2" t="s">
        <v>332</v>
      </c>
      <c r="H320" s="922">
        <v>0</v>
      </c>
      <c r="I320" s="879">
        <v>45931</v>
      </c>
      <c r="J320" s="921"/>
      <c r="K320" s="884">
        <v>1</v>
      </c>
      <c r="L320" s="884">
        <v>9</v>
      </c>
      <c r="M320" s="884">
        <v>2</v>
      </c>
      <c r="N320" s="884"/>
      <c r="O320" s="884">
        <v>1</v>
      </c>
      <c r="P320" s="884"/>
      <c r="Q320" s="884"/>
      <c r="R320" s="884"/>
      <c r="S320" s="1417"/>
      <c r="T320" s="883"/>
      <c r="U320" s="884"/>
      <c r="V320" s="884"/>
      <c r="W320" s="884"/>
      <c r="X320" s="884">
        <v>4</v>
      </c>
      <c r="Y320" s="884">
        <f>2+24</f>
        <v>26</v>
      </c>
      <c r="Z320" s="884"/>
      <c r="AA320" s="884"/>
      <c r="AB320" s="1417"/>
      <c r="AC320" s="1454"/>
    </row>
    <row r="321" spans="1:29" ht="34.35" customHeight="1">
      <c r="A321" s="59" t="s">
        <v>309</v>
      </c>
      <c r="B321" s="61" t="s">
        <v>325</v>
      </c>
      <c r="C321" s="29">
        <v>26</v>
      </c>
      <c r="D321" s="5" t="s">
        <v>463</v>
      </c>
      <c r="E321" s="14" t="s">
        <v>136</v>
      </c>
      <c r="F321" s="2" t="s">
        <v>327</v>
      </c>
      <c r="G321" s="2" t="s">
        <v>332</v>
      </c>
      <c r="H321" s="922">
        <v>0</v>
      </c>
      <c r="I321" s="879">
        <v>45931</v>
      </c>
      <c r="J321" s="921"/>
      <c r="K321" s="884">
        <v>0.43</v>
      </c>
      <c r="L321" s="884">
        <v>2.23</v>
      </c>
      <c r="M321" s="884">
        <v>1.05</v>
      </c>
      <c r="N321" s="884"/>
      <c r="O321" s="887">
        <v>1.4351400000000001</v>
      </c>
      <c r="P321" s="884"/>
      <c r="Q321" s="884"/>
      <c r="R321" s="884"/>
      <c r="S321" s="1417"/>
      <c r="T321" s="883"/>
      <c r="U321" s="884"/>
      <c r="V321" s="884"/>
      <c r="W321" s="884"/>
      <c r="X321" s="884">
        <f>4400000/1000000</f>
        <v>4.4000000000000004</v>
      </c>
      <c r="Y321" s="887">
        <f>2.30739396+37.88</f>
        <v>40.187393960000001</v>
      </c>
      <c r="Z321" s="884"/>
      <c r="AA321" s="884"/>
      <c r="AB321" s="1417"/>
      <c r="AC321" s="1454"/>
    </row>
    <row r="322" spans="1:29" ht="34.35" customHeight="1">
      <c r="A322" s="59" t="s">
        <v>309</v>
      </c>
      <c r="B322" s="61" t="s">
        <v>325</v>
      </c>
      <c r="C322" s="29">
        <v>27</v>
      </c>
      <c r="D322" s="5" t="s">
        <v>464</v>
      </c>
      <c r="E322" s="14" t="s">
        <v>38</v>
      </c>
      <c r="F322" s="2" t="s">
        <v>327</v>
      </c>
      <c r="G322" s="2" t="s">
        <v>332</v>
      </c>
      <c r="H322" s="922">
        <v>0</v>
      </c>
      <c r="I322" s="879">
        <v>45931</v>
      </c>
      <c r="J322" s="921"/>
      <c r="K322" s="884"/>
      <c r="L322" s="884">
        <v>1</v>
      </c>
      <c r="M322" s="884"/>
      <c r="N322" s="884"/>
      <c r="O322" s="884"/>
      <c r="P322" s="884"/>
      <c r="Q322" s="884"/>
      <c r="R322" s="884"/>
      <c r="S322" s="1417"/>
      <c r="T322" s="883"/>
      <c r="U322" s="884"/>
      <c r="V322" s="884">
        <v>1</v>
      </c>
      <c r="W322" s="884"/>
      <c r="X322" s="884">
        <v>23</v>
      </c>
      <c r="Y322" s="884">
        <f>1+13</f>
        <v>14</v>
      </c>
      <c r="Z322" s="884"/>
      <c r="AA322" s="884"/>
      <c r="AB322" s="1417"/>
      <c r="AC322" s="1454"/>
    </row>
    <row r="323" spans="1:29" ht="34.35" customHeight="1">
      <c r="A323" s="59" t="s">
        <v>309</v>
      </c>
      <c r="B323" s="61" t="s">
        <v>325</v>
      </c>
      <c r="C323" s="29">
        <v>28</v>
      </c>
      <c r="D323" s="5" t="s">
        <v>464</v>
      </c>
      <c r="E323" s="14" t="s">
        <v>136</v>
      </c>
      <c r="F323" s="2" t="s">
        <v>327</v>
      </c>
      <c r="G323" s="2" t="s">
        <v>332</v>
      </c>
      <c r="H323" s="922">
        <v>0</v>
      </c>
      <c r="I323" s="879">
        <v>45931</v>
      </c>
      <c r="J323" s="921"/>
      <c r="K323" s="884"/>
      <c r="L323" s="884">
        <v>0.49</v>
      </c>
      <c r="M323" s="884"/>
      <c r="N323" s="884"/>
      <c r="O323" s="884"/>
      <c r="P323" s="884"/>
      <c r="Q323" s="884"/>
      <c r="R323" s="884"/>
      <c r="S323" s="1417"/>
      <c r="T323" s="883"/>
      <c r="U323" s="884"/>
      <c r="V323" s="884">
        <v>0.39</v>
      </c>
      <c r="W323" s="884"/>
      <c r="X323" s="884">
        <v>30.42</v>
      </c>
      <c r="Y323" s="887">
        <f>1.0632+10.76</f>
        <v>11.8232</v>
      </c>
      <c r="Z323" s="884"/>
      <c r="AA323" s="884"/>
      <c r="AB323" s="1417"/>
      <c r="AC323" s="1454"/>
    </row>
    <row r="324" spans="1:29" ht="34.35" customHeight="1">
      <c r="A324" s="59" t="s">
        <v>309</v>
      </c>
      <c r="B324" s="61" t="s">
        <v>325</v>
      </c>
      <c r="C324" s="29">
        <v>29</v>
      </c>
      <c r="D324" s="5" t="s">
        <v>336</v>
      </c>
      <c r="E324" s="14" t="s">
        <v>38</v>
      </c>
      <c r="F324" s="2" t="s">
        <v>316</v>
      </c>
      <c r="G324" s="2" t="s">
        <v>40</v>
      </c>
      <c r="H324" s="922">
        <v>0</v>
      </c>
      <c r="I324" s="879">
        <v>45931</v>
      </c>
      <c r="J324" s="921"/>
      <c r="K324" s="884"/>
      <c r="L324" s="884"/>
      <c r="M324" s="884"/>
      <c r="N324" s="884"/>
      <c r="O324" s="884"/>
      <c r="P324" s="884"/>
      <c r="Q324" s="884"/>
      <c r="R324" s="884"/>
      <c r="S324" s="1417"/>
      <c r="T324" s="883"/>
      <c r="U324" s="884"/>
      <c r="V324" s="884"/>
      <c r="W324" s="884"/>
      <c r="X324" s="884"/>
      <c r="Y324" s="884"/>
      <c r="Z324" s="884"/>
      <c r="AA324" s="884"/>
      <c r="AB324" s="1417"/>
      <c r="AC324" s="1454"/>
    </row>
    <row r="325" spans="1:29" ht="34.35" customHeight="1">
      <c r="A325" s="59" t="s">
        <v>309</v>
      </c>
      <c r="B325" s="61" t="s">
        <v>325</v>
      </c>
      <c r="C325" s="29">
        <v>30</v>
      </c>
      <c r="D325" s="5" t="s">
        <v>336</v>
      </c>
      <c r="E325" s="14" t="s">
        <v>136</v>
      </c>
      <c r="F325" s="2" t="s">
        <v>316</v>
      </c>
      <c r="G325" s="2" t="s">
        <v>40</v>
      </c>
      <c r="H325" s="922">
        <v>0</v>
      </c>
      <c r="I325" s="879">
        <v>45931</v>
      </c>
      <c r="J325" s="921"/>
      <c r="K325" s="884"/>
      <c r="L325" s="884"/>
      <c r="M325" s="884"/>
      <c r="N325" s="884"/>
      <c r="O325" s="884"/>
      <c r="P325" s="884"/>
      <c r="Q325" s="884"/>
      <c r="R325" s="884"/>
      <c r="S325" s="1417"/>
      <c r="T325" s="883"/>
      <c r="U325" s="884"/>
      <c r="V325" s="884"/>
      <c r="W325" s="884"/>
      <c r="X325" s="884"/>
      <c r="Y325" s="884"/>
      <c r="Z325" s="884"/>
      <c r="AA325" s="884"/>
      <c r="AB325" s="1417"/>
      <c r="AC325" s="1454"/>
    </row>
    <row r="326" spans="1:29" ht="34.35" customHeight="1">
      <c r="A326" s="59" t="s">
        <v>309</v>
      </c>
      <c r="B326" s="61" t="s">
        <v>325</v>
      </c>
      <c r="C326" s="29">
        <v>31</v>
      </c>
      <c r="D326" s="5" t="s">
        <v>338</v>
      </c>
      <c r="E326" s="14" t="s">
        <v>38</v>
      </c>
      <c r="F326" s="2" t="s">
        <v>316</v>
      </c>
      <c r="G326" s="2" t="s">
        <v>40</v>
      </c>
      <c r="H326" s="922">
        <v>0</v>
      </c>
      <c r="I326" s="879">
        <v>45931</v>
      </c>
      <c r="J326" s="921"/>
      <c r="K326" s="884"/>
      <c r="L326" s="884"/>
      <c r="M326" s="884"/>
      <c r="N326" s="884"/>
      <c r="O326" s="884"/>
      <c r="P326" s="884"/>
      <c r="Q326" s="884"/>
      <c r="R326" s="884"/>
      <c r="S326" s="1417"/>
      <c r="T326" s="883"/>
      <c r="U326" s="884"/>
      <c r="V326" s="884"/>
      <c r="W326" s="884"/>
      <c r="X326" s="884"/>
      <c r="Y326" s="884"/>
      <c r="Z326" s="884"/>
      <c r="AA326" s="884"/>
      <c r="AB326" s="1417"/>
      <c r="AC326" s="1454"/>
    </row>
    <row r="327" spans="1:29" ht="34.35" customHeight="1">
      <c r="A327" s="59" t="s">
        <v>309</v>
      </c>
      <c r="B327" s="61" t="s">
        <v>325</v>
      </c>
      <c r="C327" s="29">
        <v>32</v>
      </c>
      <c r="D327" s="5" t="s">
        <v>338</v>
      </c>
      <c r="E327" s="14" t="s">
        <v>136</v>
      </c>
      <c r="F327" s="2" t="s">
        <v>316</v>
      </c>
      <c r="G327" s="2" t="s">
        <v>40</v>
      </c>
      <c r="H327" s="922">
        <v>0</v>
      </c>
      <c r="I327" s="879">
        <v>45931</v>
      </c>
      <c r="J327" s="921"/>
      <c r="K327" s="884"/>
      <c r="L327" s="884"/>
      <c r="M327" s="884"/>
      <c r="N327" s="884"/>
      <c r="O327" s="884"/>
      <c r="P327" s="884"/>
      <c r="Q327" s="884"/>
      <c r="R327" s="884"/>
      <c r="S327" s="1417"/>
      <c r="T327" s="883"/>
      <c r="U327" s="884"/>
      <c r="V327" s="884"/>
      <c r="W327" s="884"/>
      <c r="X327" s="884"/>
      <c r="Y327" s="884"/>
      <c r="Z327" s="884"/>
      <c r="AA327" s="884"/>
      <c r="AB327" s="1417"/>
      <c r="AC327" s="1454"/>
    </row>
    <row r="328" spans="1:29" ht="34.35" customHeight="1">
      <c r="A328" s="59" t="s">
        <v>309</v>
      </c>
      <c r="B328" s="61" t="s">
        <v>325</v>
      </c>
      <c r="C328" s="29">
        <v>33</v>
      </c>
      <c r="D328" s="5" t="s">
        <v>339</v>
      </c>
      <c r="E328" s="14" t="s">
        <v>133</v>
      </c>
      <c r="F328" s="2" t="s">
        <v>340</v>
      </c>
      <c r="G328" s="2" t="s">
        <v>341</v>
      </c>
      <c r="H328" s="927">
        <v>5.0000000000000001E-3</v>
      </c>
      <c r="I328" s="879">
        <v>45931</v>
      </c>
      <c r="J328" s="921"/>
      <c r="K328" s="884"/>
      <c r="L328" s="884"/>
      <c r="M328" s="884"/>
      <c r="N328" s="884"/>
      <c r="O328" s="884"/>
      <c r="P328" s="884"/>
      <c r="Q328" s="884"/>
      <c r="R328" s="884"/>
      <c r="S328" s="1417"/>
      <c r="T328" s="883"/>
      <c r="U328" s="884"/>
      <c r="V328" s="884"/>
      <c r="W328" s="884"/>
      <c r="X328" s="884"/>
      <c r="Y328" s="884"/>
      <c r="Z328" s="884"/>
      <c r="AA328" s="884"/>
      <c r="AB328" s="1417"/>
      <c r="AC328" s="1457" t="s">
        <v>465</v>
      </c>
    </row>
    <row r="329" spans="1:29" ht="34.35" customHeight="1">
      <c r="A329" s="59" t="s">
        <v>309</v>
      </c>
      <c r="B329" s="61" t="s">
        <v>325</v>
      </c>
      <c r="C329" s="29">
        <v>34</v>
      </c>
      <c r="D329" s="5" t="s">
        <v>339</v>
      </c>
      <c r="E329" s="14" t="s">
        <v>136</v>
      </c>
      <c r="F329" s="2" t="s">
        <v>340</v>
      </c>
      <c r="G329" s="2" t="s">
        <v>341</v>
      </c>
      <c r="H329" s="928" t="s">
        <v>41</v>
      </c>
      <c r="I329" s="879">
        <v>45931</v>
      </c>
      <c r="J329" s="921"/>
      <c r="K329" s="884"/>
      <c r="L329" s="884"/>
      <c r="M329" s="884"/>
      <c r="N329" s="884"/>
      <c r="O329" s="884"/>
      <c r="P329" s="884"/>
      <c r="Q329" s="884"/>
      <c r="R329" s="884"/>
      <c r="S329" s="1417"/>
      <c r="T329" s="883"/>
      <c r="U329" s="884"/>
      <c r="V329" s="884"/>
      <c r="W329" s="884"/>
      <c r="X329" s="884"/>
      <c r="Y329" s="884"/>
      <c r="Z329" s="884"/>
      <c r="AA329" s="884"/>
      <c r="AB329" s="1417"/>
      <c r="AC329" s="1454"/>
    </row>
    <row r="330" spans="1:29" ht="34.35" customHeight="1">
      <c r="A330" s="59" t="s">
        <v>309</v>
      </c>
      <c r="B330" s="61" t="s">
        <v>325</v>
      </c>
      <c r="C330" s="29">
        <v>35</v>
      </c>
      <c r="D330" s="5" t="s">
        <v>342</v>
      </c>
      <c r="E330" s="14" t="s">
        <v>133</v>
      </c>
      <c r="F330" s="2" t="s">
        <v>106</v>
      </c>
      <c r="G330" s="2" t="s">
        <v>285</v>
      </c>
      <c r="H330" s="933"/>
      <c r="I330" s="879">
        <v>45931</v>
      </c>
      <c r="J330" s="921"/>
      <c r="K330" s="884"/>
      <c r="L330" s="884"/>
      <c r="M330" s="884"/>
      <c r="N330" s="884"/>
      <c r="O330" s="884"/>
      <c r="P330" s="884"/>
      <c r="Q330" s="884"/>
      <c r="R330" s="884"/>
      <c r="S330" s="1417"/>
      <c r="T330" s="883"/>
      <c r="U330" s="884"/>
      <c r="V330" s="884"/>
      <c r="W330" s="884"/>
      <c r="X330" s="884"/>
      <c r="Y330" s="884"/>
      <c r="Z330" s="884"/>
      <c r="AA330" s="884"/>
      <c r="AB330" s="1417"/>
      <c r="AC330" s="1454"/>
    </row>
    <row r="331" spans="1:29" ht="34.35" customHeight="1">
      <c r="A331" s="59" t="s">
        <v>309</v>
      </c>
      <c r="B331" s="61" t="s">
        <v>325</v>
      </c>
      <c r="C331" s="29">
        <v>36</v>
      </c>
      <c r="D331" s="5" t="s">
        <v>342</v>
      </c>
      <c r="E331" s="14" t="s">
        <v>136</v>
      </c>
      <c r="F331" s="2" t="s">
        <v>106</v>
      </c>
      <c r="G331" s="2" t="s">
        <v>285</v>
      </c>
      <c r="H331" s="924"/>
      <c r="I331" s="879">
        <v>45931</v>
      </c>
      <c r="J331" s="921"/>
      <c r="K331" s="884"/>
      <c r="L331" s="884"/>
      <c r="M331" s="884"/>
      <c r="N331" s="884"/>
      <c r="O331" s="884"/>
      <c r="P331" s="884"/>
      <c r="Q331" s="884"/>
      <c r="R331" s="884"/>
      <c r="S331" s="1417"/>
      <c r="T331" s="883"/>
      <c r="U331" s="884"/>
      <c r="V331" s="884"/>
      <c r="W331" s="884"/>
      <c r="X331" s="884"/>
      <c r="Y331" s="884"/>
      <c r="Z331" s="884"/>
      <c r="AA331" s="884"/>
      <c r="AB331" s="1417"/>
      <c r="AC331" s="1454"/>
    </row>
    <row r="332" spans="1:29" ht="34.35" customHeight="1">
      <c r="A332" s="59" t="s">
        <v>309</v>
      </c>
      <c r="B332" s="61" t="s">
        <v>325</v>
      </c>
      <c r="C332" s="29">
        <v>37</v>
      </c>
      <c r="D332" s="6" t="s">
        <v>343</v>
      </c>
      <c r="E332" s="14" t="s">
        <v>38</v>
      </c>
      <c r="F332" s="2" t="s">
        <v>105</v>
      </c>
      <c r="G332" s="2"/>
      <c r="H332" s="925" t="s">
        <v>41</v>
      </c>
      <c r="I332" s="879">
        <v>45931</v>
      </c>
      <c r="J332" s="921"/>
      <c r="K332" s="884"/>
      <c r="L332" s="884"/>
      <c r="M332" s="884"/>
      <c r="N332" s="884"/>
      <c r="O332" s="884"/>
      <c r="P332" s="884"/>
      <c r="Q332" s="884"/>
      <c r="R332" s="884"/>
      <c r="S332" s="1417"/>
      <c r="T332" s="883"/>
      <c r="U332" s="884"/>
      <c r="V332" s="884"/>
      <c r="W332" s="884"/>
      <c r="X332" s="884"/>
      <c r="Y332" s="884"/>
      <c r="Z332" s="884"/>
      <c r="AA332" s="884"/>
      <c r="AB332" s="1417"/>
      <c r="AC332" s="1455"/>
    </row>
    <row r="333" spans="1:29" ht="34.35" customHeight="1">
      <c r="A333" s="59" t="s">
        <v>309</v>
      </c>
      <c r="B333" s="61" t="s">
        <v>325</v>
      </c>
      <c r="C333" s="29">
        <v>38</v>
      </c>
      <c r="D333" s="6" t="s">
        <v>343</v>
      </c>
      <c r="E333" s="14" t="s">
        <v>136</v>
      </c>
      <c r="F333" s="2" t="s">
        <v>105</v>
      </c>
      <c r="G333" s="2"/>
      <c r="H333" s="929">
        <f>84578725.86/10^6</f>
        <v>84.578725860000006</v>
      </c>
      <c r="I333" s="879">
        <v>45931</v>
      </c>
      <c r="J333" s="934">
        <f>1677702.19/10^6</f>
        <v>1.67770219</v>
      </c>
      <c r="K333" s="887" t="s">
        <v>41</v>
      </c>
      <c r="L333" s="887">
        <f>275611.06/10^6</f>
        <v>0.27561106000000002</v>
      </c>
      <c r="M333" s="887" t="s">
        <v>41</v>
      </c>
      <c r="N333" s="887" t="s">
        <v>41</v>
      </c>
      <c r="O333" s="887" t="s">
        <v>41</v>
      </c>
      <c r="P333" s="887">
        <f>46681.83/10^6</f>
        <v>4.6681830000000001E-2</v>
      </c>
      <c r="Q333" s="887" t="s">
        <v>41</v>
      </c>
      <c r="R333" s="887">
        <f>3984821.51/10^6</f>
        <v>3.9848215099999997</v>
      </c>
      <c r="S333" s="1429">
        <f>199604.46/10^6</f>
        <v>0.19960445999999998</v>
      </c>
      <c r="T333" s="883"/>
      <c r="U333" s="884"/>
      <c r="V333" s="884"/>
      <c r="W333" s="884"/>
      <c r="X333" s="884"/>
      <c r="Y333" s="884"/>
      <c r="Z333" s="884"/>
      <c r="AA333" s="884"/>
      <c r="AB333" s="1417"/>
      <c r="AC333" s="1455"/>
    </row>
    <row r="334" spans="1:29" ht="34.35" customHeight="1">
      <c r="A334" s="59" t="s">
        <v>309</v>
      </c>
      <c r="B334" s="61" t="s">
        <v>325</v>
      </c>
      <c r="C334" s="29">
        <v>39</v>
      </c>
      <c r="D334" s="5" t="s">
        <v>344</v>
      </c>
      <c r="E334" s="14" t="s">
        <v>136</v>
      </c>
      <c r="F334" s="2" t="s">
        <v>110</v>
      </c>
      <c r="G334" s="2" t="s">
        <v>345</v>
      </c>
      <c r="H334" s="920">
        <v>3.17</v>
      </c>
      <c r="I334" s="879">
        <v>45931</v>
      </c>
      <c r="J334" s="921"/>
      <c r="K334" s="884"/>
      <c r="L334" s="884"/>
      <c r="M334" s="884"/>
      <c r="N334" s="884"/>
      <c r="O334" s="884"/>
      <c r="P334" s="884"/>
      <c r="Q334" s="884"/>
      <c r="R334" s="884"/>
      <c r="S334" s="1417"/>
      <c r="T334" s="883"/>
      <c r="U334" s="884"/>
      <c r="V334" s="884"/>
      <c r="W334" s="884"/>
      <c r="X334" s="884"/>
      <c r="Y334" s="884"/>
      <c r="Z334" s="884"/>
      <c r="AA334" s="884"/>
      <c r="AB334" s="1417"/>
      <c r="AC334" s="1454"/>
    </row>
    <row r="335" spans="1:29" ht="34.35" customHeight="1">
      <c r="A335" s="59" t="s">
        <v>309</v>
      </c>
      <c r="B335" s="61" t="s">
        <v>325</v>
      </c>
      <c r="C335" s="29">
        <v>40</v>
      </c>
      <c r="D335" s="5" t="s">
        <v>346</v>
      </c>
      <c r="E335" s="14" t="s">
        <v>136</v>
      </c>
      <c r="F335" s="2" t="s">
        <v>110</v>
      </c>
      <c r="G335" s="2" t="s">
        <v>345</v>
      </c>
      <c r="H335" s="920">
        <v>5.84</v>
      </c>
      <c r="I335" s="879">
        <v>45931</v>
      </c>
      <c r="J335" s="921"/>
      <c r="K335" s="884"/>
      <c r="L335" s="884"/>
      <c r="M335" s="884"/>
      <c r="N335" s="884"/>
      <c r="O335" s="884"/>
      <c r="P335" s="884"/>
      <c r="Q335" s="884"/>
      <c r="R335" s="884"/>
      <c r="S335" s="1417"/>
      <c r="T335" s="883"/>
      <c r="U335" s="884"/>
      <c r="V335" s="884"/>
      <c r="W335" s="884"/>
      <c r="X335" s="884"/>
      <c r="Y335" s="884"/>
      <c r="Z335" s="884"/>
      <c r="AA335" s="884"/>
      <c r="AB335" s="1417"/>
      <c r="AC335" s="1454"/>
    </row>
    <row r="336" spans="1:29" ht="34.35" customHeight="1">
      <c r="A336" s="59" t="s">
        <v>309</v>
      </c>
      <c r="B336" s="61" t="s">
        <v>325</v>
      </c>
      <c r="C336" s="29">
        <v>41</v>
      </c>
      <c r="D336" s="5" t="s">
        <v>347</v>
      </c>
      <c r="E336" s="14" t="s">
        <v>38</v>
      </c>
      <c r="F336" s="2" t="s">
        <v>106</v>
      </c>
      <c r="G336" s="2" t="s">
        <v>285</v>
      </c>
      <c r="H336" s="924"/>
      <c r="I336" s="879">
        <v>45931</v>
      </c>
      <c r="J336" s="921"/>
      <c r="K336" s="884"/>
      <c r="L336" s="884"/>
      <c r="M336" s="884"/>
      <c r="N336" s="884"/>
      <c r="O336" s="884"/>
      <c r="P336" s="884"/>
      <c r="Q336" s="884"/>
      <c r="R336" s="884"/>
      <c r="S336" s="1417"/>
      <c r="T336" s="883"/>
      <c r="U336" s="884"/>
      <c r="V336" s="884"/>
      <c r="W336" s="884"/>
      <c r="X336" s="884"/>
      <c r="Y336" s="884"/>
      <c r="Z336" s="884"/>
      <c r="AA336" s="884"/>
      <c r="AB336" s="1417"/>
      <c r="AC336" s="1454"/>
    </row>
    <row r="337" spans="1:29" ht="34.35" customHeight="1">
      <c r="A337" s="59" t="s">
        <v>309</v>
      </c>
      <c r="B337" s="61" t="s">
        <v>325</v>
      </c>
      <c r="C337" s="29">
        <v>42</v>
      </c>
      <c r="D337" s="5" t="s">
        <v>347</v>
      </c>
      <c r="E337" s="14" t="s">
        <v>136</v>
      </c>
      <c r="F337" s="2" t="s">
        <v>106</v>
      </c>
      <c r="G337" s="2" t="s">
        <v>285</v>
      </c>
      <c r="H337" s="924"/>
      <c r="I337" s="879">
        <v>45931</v>
      </c>
      <c r="J337" s="921"/>
      <c r="K337" s="884"/>
      <c r="L337" s="884"/>
      <c r="M337" s="884"/>
      <c r="N337" s="884"/>
      <c r="O337" s="884"/>
      <c r="P337" s="884"/>
      <c r="Q337" s="884"/>
      <c r="R337" s="884"/>
      <c r="S337" s="1417"/>
      <c r="T337" s="883"/>
      <c r="U337" s="884"/>
      <c r="V337" s="884"/>
      <c r="W337" s="884"/>
      <c r="X337" s="884"/>
      <c r="Y337" s="884"/>
      <c r="Z337" s="884"/>
      <c r="AA337" s="884"/>
      <c r="AB337" s="1417"/>
      <c r="AC337" s="1454"/>
    </row>
    <row r="338" spans="1:29" ht="34.35" customHeight="1">
      <c r="A338" s="59" t="s">
        <v>309</v>
      </c>
      <c r="B338" s="61" t="s">
        <v>325</v>
      </c>
      <c r="C338" s="29">
        <v>43</v>
      </c>
      <c r="D338" s="5" t="s">
        <v>349</v>
      </c>
      <c r="E338" s="14" t="s">
        <v>136</v>
      </c>
      <c r="F338" s="2" t="s">
        <v>340</v>
      </c>
      <c r="G338" s="2" t="s">
        <v>134</v>
      </c>
      <c r="H338" s="920">
        <v>5.4</v>
      </c>
      <c r="I338" s="879">
        <v>45931</v>
      </c>
      <c r="J338" s="921"/>
      <c r="K338" s="884"/>
      <c r="L338" s="884"/>
      <c r="M338" s="884"/>
      <c r="N338" s="884"/>
      <c r="O338" s="884"/>
      <c r="P338" s="884"/>
      <c r="Q338" s="884"/>
      <c r="R338" s="884"/>
      <c r="S338" s="1417"/>
      <c r="T338" s="883"/>
      <c r="U338" s="884"/>
      <c r="V338" s="884"/>
      <c r="W338" s="884"/>
      <c r="X338" s="884"/>
      <c r="Y338" s="884"/>
      <c r="Z338" s="884"/>
      <c r="AA338" s="884"/>
      <c r="AB338" s="1417"/>
      <c r="AC338" s="1454"/>
    </row>
    <row r="339" spans="1:29" ht="34.35" customHeight="1">
      <c r="A339" s="59" t="s">
        <v>309</v>
      </c>
      <c r="B339" s="61" t="s">
        <v>325</v>
      </c>
      <c r="C339" s="29">
        <v>44</v>
      </c>
      <c r="D339" s="5" t="s">
        <v>350</v>
      </c>
      <c r="E339" s="14" t="s">
        <v>38</v>
      </c>
      <c r="F339" s="2" t="s">
        <v>106</v>
      </c>
      <c r="G339" s="2" t="s">
        <v>134</v>
      </c>
      <c r="H339" s="924">
        <v>200</v>
      </c>
      <c r="I339" s="879">
        <v>45931</v>
      </c>
      <c r="J339" s="921"/>
      <c r="K339" s="884"/>
      <c r="L339" s="884"/>
      <c r="M339" s="884"/>
      <c r="N339" s="884"/>
      <c r="O339" s="884"/>
      <c r="P339" s="884"/>
      <c r="Q339" s="884"/>
      <c r="R339" s="884"/>
      <c r="S339" s="1417"/>
      <c r="T339" s="883"/>
      <c r="U339" s="884"/>
      <c r="V339" s="884"/>
      <c r="W339" s="884"/>
      <c r="X339" s="884"/>
      <c r="Y339" s="884"/>
      <c r="Z339" s="884"/>
      <c r="AA339" s="884"/>
      <c r="AB339" s="1417"/>
      <c r="AC339" s="1454"/>
    </row>
    <row r="340" spans="1:29" ht="34.35" customHeight="1">
      <c r="A340" s="59" t="s">
        <v>309</v>
      </c>
      <c r="B340" s="61" t="s">
        <v>325</v>
      </c>
      <c r="C340" s="29">
        <v>45</v>
      </c>
      <c r="D340" s="5" t="s">
        <v>350</v>
      </c>
      <c r="E340" s="14" t="s">
        <v>136</v>
      </c>
      <c r="F340" s="2" t="s">
        <v>106</v>
      </c>
      <c r="G340" s="2" t="s">
        <v>134</v>
      </c>
      <c r="H340" s="924">
        <v>90</v>
      </c>
      <c r="I340" s="879">
        <v>45931</v>
      </c>
      <c r="J340" s="921"/>
      <c r="K340" s="884"/>
      <c r="L340" s="884"/>
      <c r="M340" s="884"/>
      <c r="N340" s="884"/>
      <c r="O340" s="884"/>
      <c r="P340" s="884"/>
      <c r="Q340" s="884"/>
      <c r="R340" s="884"/>
      <c r="S340" s="1417"/>
      <c r="T340" s="883"/>
      <c r="U340" s="884"/>
      <c r="V340" s="884"/>
      <c r="W340" s="884"/>
      <c r="X340" s="884"/>
      <c r="Y340" s="884"/>
      <c r="Z340" s="884"/>
      <c r="AA340" s="884"/>
      <c r="AB340" s="1417"/>
      <c r="AC340" s="1454"/>
    </row>
    <row r="341" spans="1:29" ht="34.35" customHeight="1">
      <c r="A341" s="59" t="s">
        <v>309</v>
      </c>
      <c r="B341" s="62" t="s">
        <v>351</v>
      </c>
      <c r="C341" s="29">
        <v>46</v>
      </c>
      <c r="D341" s="63" t="s">
        <v>41</v>
      </c>
      <c r="E341" s="14" t="s">
        <v>353</v>
      </c>
      <c r="F341" s="2" t="s">
        <v>312</v>
      </c>
      <c r="G341" s="1" t="s">
        <v>40</v>
      </c>
      <c r="H341" s="920">
        <v>1.2</v>
      </c>
      <c r="I341" s="879">
        <v>45931</v>
      </c>
      <c r="J341" s="921"/>
      <c r="K341" s="884"/>
      <c r="L341" s="884"/>
      <c r="M341" s="884"/>
      <c r="N341" s="884"/>
      <c r="O341" s="884"/>
      <c r="P341" s="884"/>
      <c r="Q341" s="884"/>
      <c r="R341" s="884"/>
      <c r="S341" s="1417"/>
      <c r="T341" s="883"/>
      <c r="U341" s="884"/>
      <c r="V341" s="884"/>
      <c r="W341" s="884"/>
      <c r="X341" s="884"/>
      <c r="Y341" s="884"/>
      <c r="Z341" s="884"/>
      <c r="AA341" s="884"/>
      <c r="AB341" s="1417"/>
      <c r="AC341" s="1456" t="s">
        <v>352</v>
      </c>
    </row>
    <row r="342" spans="1:29" ht="34.35" customHeight="1">
      <c r="A342" s="59" t="s">
        <v>309</v>
      </c>
      <c r="B342" s="64" t="s">
        <v>354</v>
      </c>
      <c r="C342" s="29">
        <v>47</v>
      </c>
      <c r="D342" s="63" t="s">
        <v>41</v>
      </c>
      <c r="E342" s="14" t="s">
        <v>353</v>
      </c>
      <c r="F342" s="2" t="s">
        <v>327</v>
      </c>
      <c r="G342" s="1" t="s">
        <v>40</v>
      </c>
      <c r="H342" s="922">
        <v>0</v>
      </c>
      <c r="I342" s="879">
        <v>45931</v>
      </c>
      <c r="J342" s="921"/>
      <c r="K342" s="884"/>
      <c r="L342" s="884"/>
      <c r="M342" s="884"/>
      <c r="N342" s="884"/>
      <c r="O342" s="884"/>
      <c r="P342" s="884"/>
      <c r="Q342" s="884"/>
      <c r="R342" s="884"/>
      <c r="S342" s="1417"/>
      <c r="T342" s="883"/>
      <c r="U342" s="884"/>
      <c r="V342" s="884"/>
      <c r="W342" s="884"/>
      <c r="X342" s="884"/>
      <c r="Y342" s="884"/>
      <c r="Z342" s="884"/>
      <c r="AA342" s="884"/>
      <c r="AB342" s="1417"/>
      <c r="AC342" s="1457" t="s">
        <v>466</v>
      </c>
    </row>
    <row r="343" spans="1:29" ht="34.35" customHeight="1">
      <c r="A343" s="59" t="s">
        <v>309</v>
      </c>
      <c r="B343" s="64" t="s">
        <v>356</v>
      </c>
      <c r="C343" s="29">
        <v>48</v>
      </c>
      <c r="D343" s="63" t="s">
        <v>41</v>
      </c>
      <c r="E343" s="14" t="s">
        <v>353</v>
      </c>
      <c r="F343" s="2" t="s">
        <v>321</v>
      </c>
      <c r="G343" s="1" t="s">
        <v>40</v>
      </c>
      <c r="H343" s="922">
        <v>0</v>
      </c>
      <c r="I343" s="879">
        <v>45931</v>
      </c>
      <c r="J343" s="921"/>
      <c r="K343" s="884"/>
      <c r="L343" s="884"/>
      <c r="M343" s="884"/>
      <c r="N343" s="884"/>
      <c r="O343" s="884"/>
      <c r="P343" s="884"/>
      <c r="Q343" s="884"/>
      <c r="R343" s="884"/>
      <c r="S343" s="1417"/>
      <c r="T343" s="883"/>
      <c r="U343" s="884"/>
      <c r="V343" s="884"/>
      <c r="W343" s="884"/>
      <c r="X343" s="884"/>
      <c r="Y343" s="884"/>
      <c r="Z343" s="884"/>
      <c r="AA343" s="884"/>
      <c r="AB343" s="1417"/>
      <c r="AC343" s="1457" t="s">
        <v>466</v>
      </c>
    </row>
    <row r="344" spans="1:29" ht="34.35" customHeight="1">
      <c r="A344" s="69" t="s">
        <v>309</v>
      </c>
      <c r="B344" s="11" t="s">
        <v>357</v>
      </c>
      <c r="C344" s="73">
        <v>49</v>
      </c>
      <c r="D344" s="7" t="s">
        <v>41</v>
      </c>
      <c r="E344" s="71" t="s">
        <v>38</v>
      </c>
      <c r="F344" s="2" t="s">
        <v>312</v>
      </c>
      <c r="G344" s="1" t="s">
        <v>41</v>
      </c>
      <c r="I344" s="879">
        <v>45931</v>
      </c>
      <c r="J344" s="931"/>
      <c r="K344" s="887"/>
      <c r="L344" s="887"/>
      <c r="M344" s="887"/>
      <c r="N344" s="887"/>
      <c r="O344" s="887"/>
      <c r="P344" s="887"/>
      <c r="Q344" s="887"/>
      <c r="R344" s="887"/>
      <c r="S344" s="887"/>
      <c r="T344" s="887"/>
      <c r="U344" s="887"/>
      <c r="V344" s="887"/>
      <c r="W344" s="887"/>
      <c r="X344" s="887"/>
      <c r="Y344" s="887"/>
      <c r="Z344" s="887"/>
      <c r="AA344" s="887"/>
      <c r="AC344" s="1459"/>
    </row>
    <row r="345" spans="1:29" ht="34.35" customHeight="1">
      <c r="A345" s="59" t="s">
        <v>309</v>
      </c>
      <c r="B345" s="60" t="s">
        <v>310</v>
      </c>
      <c r="C345" s="29">
        <v>1</v>
      </c>
      <c r="D345" s="5" t="s">
        <v>311</v>
      </c>
      <c r="E345" s="14" t="s">
        <v>38</v>
      </c>
      <c r="F345" s="2" t="s">
        <v>312</v>
      </c>
      <c r="G345" s="2" t="s">
        <v>40</v>
      </c>
      <c r="H345" s="920">
        <v>0</v>
      </c>
      <c r="I345" s="879">
        <v>45962</v>
      </c>
      <c r="J345" s="921"/>
      <c r="K345" s="884"/>
      <c r="L345" s="884"/>
      <c r="M345" s="884"/>
      <c r="N345" s="884"/>
      <c r="O345" s="884"/>
      <c r="P345" s="884"/>
      <c r="Q345" s="884"/>
      <c r="R345" s="884"/>
      <c r="S345" s="1417"/>
      <c r="T345" s="883"/>
      <c r="U345" s="884"/>
      <c r="V345" s="884"/>
      <c r="W345" s="884"/>
      <c r="X345" s="884"/>
      <c r="Y345" s="884"/>
      <c r="Z345" s="884"/>
      <c r="AA345" s="884"/>
      <c r="AB345" s="1417"/>
      <c r="AC345" s="1454"/>
    </row>
    <row r="346" spans="1:29" ht="34.35" customHeight="1">
      <c r="A346" s="59" t="s">
        <v>309</v>
      </c>
      <c r="B346" s="60" t="s">
        <v>310</v>
      </c>
      <c r="C346" s="29">
        <v>2</v>
      </c>
      <c r="D346" s="5" t="s">
        <v>313</v>
      </c>
      <c r="E346" s="14" t="s">
        <v>38</v>
      </c>
      <c r="F346" s="2" t="s">
        <v>312</v>
      </c>
      <c r="G346" s="2" t="s">
        <v>40</v>
      </c>
      <c r="H346" s="920">
        <v>0</v>
      </c>
      <c r="I346" s="879">
        <v>45962</v>
      </c>
      <c r="J346" s="921"/>
      <c r="K346" s="884"/>
      <c r="L346" s="884"/>
      <c r="M346" s="884"/>
      <c r="N346" s="884"/>
      <c r="O346" s="884"/>
      <c r="P346" s="884"/>
      <c r="Q346" s="884"/>
      <c r="R346" s="884"/>
      <c r="S346" s="1417"/>
      <c r="T346" s="883"/>
      <c r="U346" s="884"/>
      <c r="V346" s="884"/>
      <c r="W346" s="884"/>
      <c r="X346" s="884"/>
      <c r="Y346" s="884"/>
      <c r="Z346" s="884"/>
      <c r="AA346" s="884"/>
      <c r="AB346" s="1417"/>
      <c r="AC346" s="1454"/>
    </row>
    <row r="347" spans="1:29" ht="34.35" customHeight="1">
      <c r="A347" s="59" t="s">
        <v>309</v>
      </c>
      <c r="B347" s="60" t="s">
        <v>310</v>
      </c>
      <c r="C347" s="29">
        <v>3</v>
      </c>
      <c r="D347" s="6" t="s">
        <v>314</v>
      </c>
      <c r="E347" s="14" t="s">
        <v>38</v>
      </c>
      <c r="F347" s="2" t="s">
        <v>312</v>
      </c>
      <c r="G347" s="2" t="s">
        <v>40</v>
      </c>
      <c r="H347" s="920">
        <v>0</v>
      </c>
      <c r="I347" s="879">
        <v>45962</v>
      </c>
      <c r="J347" s="921"/>
      <c r="K347" s="884"/>
      <c r="L347" s="884"/>
      <c r="M347" s="884"/>
      <c r="N347" s="884"/>
      <c r="O347" s="884"/>
      <c r="P347" s="884"/>
      <c r="Q347" s="884"/>
      <c r="R347" s="884"/>
      <c r="S347" s="1417"/>
      <c r="T347" s="883"/>
      <c r="U347" s="884"/>
      <c r="V347" s="884"/>
      <c r="W347" s="884"/>
      <c r="X347" s="884"/>
      <c r="Y347" s="884"/>
      <c r="Z347" s="884"/>
      <c r="AA347" s="884"/>
      <c r="AB347" s="1417"/>
      <c r="AC347" s="1455"/>
    </row>
    <row r="348" spans="1:29" ht="34.35" customHeight="1">
      <c r="A348" s="59" t="s">
        <v>309</v>
      </c>
      <c r="B348" s="60" t="s">
        <v>310</v>
      </c>
      <c r="C348" s="29">
        <v>4</v>
      </c>
      <c r="D348" s="5" t="s">
        <v>315</v>
      </c>
      <c r="E348" s="14" t="s">
        <v>38</v>
      </c>
      <c r="F348" s="2" t="s">
        <v>316</v>
      </c>
      <c r="G348" s="2" t="s">
        <v>40</v>
      </c>
      <c r="H348" s="920">
        <v>280</v>
      </c>
      <c r="I348" s="879">
        <v>45962</v>
      </c>
      <c r="J348" s="921">
        <v>1</v>
      </c>
      <c r="K348" s="884"/>
      <c r="L348" s="884">
        <v>1</v>
      </c>
      <c r="M348" s="884"/>
      <c r="N348" s="884">
        <v>1</v>
      </c>
      <c r="O348" s="884">
        <v>1</v>
      </c>
      <c r="P348" s="884"/>
      <c r="Q348" s="884">
        <v>1</v>
      </c>
      <c r="R348" s="884">
        <v>1</v>
      </c>
      <c r="S348" s="922"/>
      <c r="T348" s="883"/>
      <c r="U348" s="884"/>
      <c r="V348" s="884">
        <v>2</v>
      </c>
      <c r="W348" s="884"/>
      <c r="X348" s="884"/>
      <c r="Y348" s="884">
        <v>9</v>
      </c>
      <c r="Z348" s="884"/>
      <c r="AA348" s="884"/>
      <c r="AB348" s="1417"/>
      <c r="AC348" s="1456" t="s">
        <v>458</v>
      </c>
    </row>
    <row r="349" spans="1:29" ht="34.35" customHeight="1">
      <c r="A349" s="59" t="s">
        <v>309</v>
      </c>
      <c r="B349" s="60" t="s">
        <v>310</v>
      </c>
      <c r="C349" s="29">
        <v>5</v>
      </c>
      <c r="D349" s="5" t="s">
        <v>315</v>
      </c>
      <c r="E349" s="14" t="s">
        <v>136</v>
      </c>
      <c r="F349" s="2" t="s">
        <v>316</v>
      </c>
      <c r="G349" s="2" t="s">
        <v>40</v>
      </c>
      <c r="H349" s="920">
        <v>106</v>
      </c>
      <c r="I349" s="879">
        <v>45962</v>
      </c>
      <c r="J349" s="921">
        <v>0.13600000000000001</v>
      </c>
      <c r="K349" s="884"/>
      <c r="L349" s="884">
        <v>2.5000000000000001E-2</v>
      </c>
      <c r="M349" s="884"/>
      <c r="N349" s="884">
        <v>0.28699999999999998</v>
      </c>
      <c r="O349" s="884">
        <v>2.4E-2</v>
      </c>
      <c r="P349" s="884"/>
      <c r="Q349" s="884">
        <v>0.13600000000000001</v>
      </c>
      <c r="R349" s="884">
        <v>8.0000000000000002E-3</v>
      </c>
      <c r="S349" s="922"/>
      <c r="T349" s="883"/>
      <c r="U349" s="884"/>
      <c r="V349" s="884">
        <v>8.5000000000000006E-2</v>
      </c>
      <c r="W349" s="884"/>
      <c r="X349" s="884"/>
      <c r="Y349" s="885">
        <f>1.588+0.5419</f>
        <v>2.1299000000000001</v>
      </c>
      <c r="Z349" s="884"/>
      <c r="AA349" s="884"/>
      <c r="AB349" s="1417"/>
      <c r="AC349" s="1456" t="s">
        <v>459</v>
      </c>
    </row>
    <row r="350" spans="1:29" ht="34.35" customHeight="1">
      <c r="A350" s="59" t="s">
        <v>309</v>
      </c>
      <c r="B350" s="60" t="s">
        <v>310</v>
      </c>
      <c r="C350" s="29">
        <v>6</v>
      </c>
      <c r="D350" s="5" t="s">
        <v>317</v>
      </c>
      <c r="E350" s="14" t="s">
        <v>38</v>
      </c>
      <c r="F350" s="2" t="s">
        <v>316</v>
      </c>
      <c r="G350" s="2" t="s">
        <v>40</v>
      </c>
      <c r="H350" s="920">
        <v>0</v>
      </c>
      <c r="I350" s="879">
        <v>45962</v>
      </c>
      <c r="J350" s="921"/>
      <c r="K350" s="884"/>
      <c r="L350" s="884"/>
      <c r="M350" s="884"/>
      <c r="N350" s="884"/>
      <c r="O350" s="884"/>
      <c r="P350" s="884"/>
      <c r="Q350" s="884"/>
      <c r="R350" s="884"/>
      <c r="S350" s="1417"/>
      <c r="T350" s="883"/>
      <c r="U350" s="884"/>
      <c r="V350" s="884"/>
      <c r="W350" s="884"/>
      <c r="X350" s="884"/>
      <c r="Y350" s="884"/>
      <c r="Z350" s="884"/>
      <c r="AA350" s="884"/>
      <c r="AB350" s="1417"/>
      <c r="AC350" s="1454"/>
    </row>
    <row r="351" spans="1:29" ht="34.35" customHeight="1">
      <c r="A351" s="59" t="s">
        <v>309</v>
      </c>
      <c r="B351" s="60" t="s">
        <v>310</v>
      </c>
      <c r="C351" s="29">
        <v>7</v>
      </c>
      <c r="D351" s="5" t="s">
        <v>317</v>
      </c>
      <c r="E351" s="14" t="s">
        <v>136</v>
      </c>
      <c r="F351" s="2" t="s">
        <v>316</v>
      </c>
      <c r="G351" s="2" t="s">
        <v>40</v>
      </c>
      <c r="H351" s="920">
        <v>0</v>
      </c>
      <c r="I351" s="879">
        <v>45962</v>
      </c>
      <c r="J351" s="921"/>
      <c r="K351" s="884"/>
      <c r="L351" s="884"/>
      <c r="M351" s="884"/>
      <c r="N351" s="884"/>
      <c r="O351" s="884"/>
      <c r="P351" s="884"/>
      <c r="Q351" s="884"/>
      <c r="R351" s="884"/>
      <c r="S351" s="1417"/>
      <c r="T351" s="883"/>
      <c r="U351" s="884"/>
      <c r="V351" s="884"/>
      <c r="W351" s="884"/>
      <c r="X351" s="884"/>
      <c r="Y351" s="884"/>
      <c r="Z351" s="884"/>
      <c r="AA351" s="884"/>
      <c r="AB351" s="1417"/>
      <c r="AC351" s="1454"/>
    </row>
    <row r="352" spans="1:29" ht="34.35" customHeight="1">
      <c r="A352" s="59" t="s">
        <v>309</v>
      </c>
      <c r="B352" s="60" t="s">
        <v>310</v>
      </c>
      <c r="C352" s="29">
        <v>8</v>
      </c>
      <c r="D352" s="5" t="s">
        <v>318</v>
      </c>
      <c r="E352" s="14" t="s">
        <v>38</v>
      </c>
      <c r="F352" s="2" t="s">
        <v>316</v>
      </c>
      <c r="G352" s="2" t="s">
        <v>40</v>
      </c>
      <c r="H352" s="920">
        <v>192</v>
      </c>
      <c r="I352" s="879">
        <v>45962</v>
      </c>
      <c r="J352" s="921"/>
      <c r="K352" s="884">
        <v>1</v>
      </c>
      <c r="L352" s="884"/>
      <c r="M352" s="884"/>
      <c r="N352" s="884"/>
      <c r="O352" s="884"/>
      <c r="P352" s="884"/>
      <c r="Q352" s="884"/>
      <c r="R352" s="884"/>
      <c r="S352" s="1417"/>
      <c r="T352" s="883"/>
      <c r="U352" s="884"/>
      <c r="V352" s="884">
        <v>2</v>
      </c>
      <c r="W352" s="884"/>
      <c r="X352" s="884"/>
      <c r="Y352" s="884">
        <v>3</v>
      </c>
      <c r="Z352" s="884"/>
      <c r="AA352" s="884"/>
      <c r="AB352" s="1417"/>
      <c r="AC352" s="1456" t="s">
        <v>460</v>
      </c>
    </row>
    <row r="353" spans="1:29" ht="34.35" customHeight="1">
      <c r="A353" s="59" t="s">
        <v>309</v>
      </c>
      <c r="B353" s="60" t="s">
        <v>310</v>
      </c>
      <c r="C353" s="29">
        <v>9</v>
      </c>
      <c r="D353" s="5" t="s">
        <v>318</v>
      </c>
      <c r="E353" s="14" t="s">
        <v>136</v>
      </c>
      <c r="F353" s="2" t="s">
        <v>316</v>
      </c>
      <c r="G353" s="2" t="s">
        <v>40</v>
      </c>
      <c r="H353" s="920">
        <v>307</v>
      </c>
      <c r="I353" s="879">
        <v>45962</v>
      </c>
      <c r="J353" s="921"/>
      <c r="K353" s="884">
        <v>0.32</v>
      </c>
      <c r="L353" s="884"/>
      <c r="M353" s="884"/>
      <c r="N353" s="884"/>
      <c r="O353" s="884"/>
      <c r="P353" s="884"/>
      <c r="Q353" s="884"/>
      <c r="R353" s="884"/>
      <c r="S353" s="1417"/>
      <c r="T353" s="883"/>
      <c r="U353" s="884"/>
      <c r="V353" s="884">
        <v>0.21099999999999999</v>
      </c>
      <c r="W353" s="884"/>
      <c r="X353" s="884"/>
      <c r="Y353" s="884">
        <v>0.245</v>
      </c>
      <c r="Z353" s="884"/>
      <c r="AA353" s="884"/>
      <c r="AB353" s="1417"/>
      <c r="AC353" s="1456" t="s">
        <v>461</v>
      </c>
    </row>
    <row r="354" spans="1:29" ht="34.35" customHeight="1">
      <c r="A354" s="59" t="s">
        <v>309</v>
      </c>
      <c r="B354" s="60" t="s">
        <v>319</v>
      </c>
      <c r="C354" s="29">
        <v>10</v>
      </c>
      <c r="D354" s="5" t="s">
        <v>320</v>
      </c>
      <c r="E354" s="14" t="s">
        <v>38</v>
      </c>
      <c r="F354" s="2" t="s">
        <v>321</v>
      </c>
      <c r="G354" s="2" t="s">
        <v>40</v>
      </c>
      <c r="H354" s="920">
        <v>0</v>
      </c>
      <c r="I354" s="879">
        <v>45962</v>
      </c>
      <c r="J354" s="921">
        <v>0</v>
      </c>
      <c r="K354" s="884">
        <v>0</v>
      </c>
      <c r="L354" s="884">
        <v>0</v>
      </c>
      <c r="M354" s="884">
        <v>0</v>
      </c>
      <c r="N354" s="884">
        <v>0</v>
      </c>
      <c r="O354" s="884">
        <v>0</v>
      </c>
      <c r="P354" s="884">
        <v>0</v>
      </c>
      <c r="Q354" s="884">
        <v>0</v>
      </c>
      <c r="R354" s="884">
        <v>0</v>
      </c>
      <c r="S354" s="1417">
        <v>0</v>
      </c>
      <c r="T354" s="883">
        <v>0</v>
      </c>
      <c r="U354" s="884">
        <v>0</v>
      </c>
      <c r="V354" s="884">
        <v>0</v>
      </c>
      <c r="W354" s="884">
        <v>0</v>
      </c>
      <c r="X354" s="884">
        <v>0</v>
      </c>
      <c r="Y354" s="884">
        <v>0</v>
      </c>
      <c r="Z354" s="884">
        <v>0</v>
      </c>
      <c r="AA354" s="884">
        <v>0</v>
      </c>
      <c r="AB354" s="1417">
        <v>0</v>
      </c>
      <c r="AC354" s="1454"/>
    </row>
    <row r="355" spans="1:29" ht="34.35" customHeight="1">
      <c r="A355" s="59" t="s">
        <v>309</v>
      </c>
      <c r="B355" s="60" t="s">
        <v>319</v>
      </c>
      <c r="C355" s="29">
        <v>11</v>
      </c>
      <c r="D355" s="5" t="s">
        <v>322</v>
      </c>
      <c r="E355" s="14" t="s">
        <v>38</v>
      </c>
      <c r="F355" s="2" t="s">
        <v>321</v>
      </c>
      <c r="G355" s="2" t="s">
        <v>40</v>
      </c>
      <c r="H355" s="920">
        <v>0</v>
      </c>
      <c r="I355" s="879">
        <v>45962</v>
      </c>
      <c r="J355" s="921">
        <v>0</v>
      </c>
      <c r="K355" s="884">
        <v>0</v>
      </c>
      <c r="L355" s="884">
        <v>0</v>
      </c>
      <c r="M355" s="884">
        <v>0</v>
      </c>
      <c r="N355" s="884">
        <v>0</v>
      </c>
      <c r="O355" s="884">
        <v>0</v>
      </c>
      <c r="P355" s="884">
        <v>0</v>
      </c>
      <c r="Q355" s="884">
        <v>0</v>
      </c>
      <c r="R355" s="884">
        <v>0</v>
      </c>
      <c r="S355" s="1417">
        <v>0</v>
      </c>
      <c r="T355" s="883">
        <v>0</v>
      </c>
      <c r="U355" s="884">
        <v>0</v>
      </c>
      <c r="V355" s="884">
        <v>0</v>
      </c>
      <c r="W355" s="884">
        <v>0</v>
      </c>
      <c r="X355" s="884">
        <v>0</v>
      </c>
      <c r="Y355" s="884">
        <v>0</v>
      </c>
      <c r="Z355" s="884">
        <v>0</v>
      </c>
      <c r="AA355" s="884">
        <v>0</v>
      </c>
      <c r="AB355" s="1417">
        <v>0</v>
      </c>
      <c r="AC355" s="1454"/>
    </row>
    <row r="356" spans="1:29" ht="34.35" customHeight="1">
      <c r="A356" s="59" t="s">
        <v>309</v>
      </c>
      <c r="B356" s="60" t="s">
        <v>319</v>
      </c>
      <c r="C356" s="29">
        <v>12</v>
      </c>
      <c r="D356" s="5" t="s">
        <v>313</v>
      </c>
      <c r="E356" s="14" t="s">
        <v>38</v>
      </c>
      <c r="F356" s="2" t="s">
        <v>321</v>
      </c>
      <c r="G356" s="2" t="s">
        <v>40</v>
      </c>
      <c r="H356" s="920">
        <v>0</v>
      </c>
      <c r="I356" s="879">
        <v>45962</v>
      </c>
      <c r="J356" s="921">
        <v>0</v>
      </c>
      <c r="K356" s="884">
        <v>0</v>
      </c>
      <c r="L356" s="884">
        <v>0</v>
      </c>
      <c r="M356" s="884">
        <v>0</v>
      </c>
      <c r="N356" s="884">
        <v>0</v>
      </c>
      <c r="O356" s="884">
        <v>0</v>
      </c>
      <c r="P356" s="884">
        <v>0</v>
      </c>
      <c r="Q356" s="884">
        <v>0</v>
      </c>
      <c r="R356" s="884">
        <v>0</v>
      </c>
      <c r="S356" s="1417">
        <v>0</v>
      </c>
      <c r="T356" s="883">
        <v>0</v>
      </c>
      <c r="U356" s="884">
        <v>0</v>
      </c>
      <c r="V356" s="884">
        <v>0</v>
      </c>
      <c r="W356" s="884">
        <v>0</v>
      </c>
      <c r="X356" s="884">
        <v>1</v>
      </c>
      <c r="Y356" s="884">
        <v>0</v>
      </c>
      <c r="Z356" s="884">
        <v>0</v>
      </c>
      <c r="AA356" s="884">
        <v>0</v>
      </c>
      <c r="AB356" s="1417">
        <v>0</v>
      </c>
      <c r="AC356" s="1454"/>
    </row>
    <row r="357" spans="1:29" ht="34.35" customHeight="1">
      <c r="A357" s="59" t="s">
        <v>309</v>
      </c>
      <c r="B357" s="60" t="s">
        <v>319</v>
      </c>
      <c r="C357" s="29">
        <v>13</v>
      </c>
      <c r="D357" s="5" t="s">
        <v>323</v>
      </c>
      <c r="E357" s="14" t="s">
        <v>38</v>
      </c>
      <c r="F357" s="2" t="s">
        <v>321</v>
      </c>
      <c r="G357" s="2" t="s">
        <v>40</v>
      </c>
      <c r="H357" s="920">
        <v>5</v>
      </c>
      <c r="I357" s="879">
        <v>45962</v>
      </c>
      <c r="J357" s="921" t="s">
        <v>41</v>
      </c>
      <c r="K357" s="884" t="s">
        <v>41</v>
      </c>
      <c r="L357" s="884" t="s">
        <v>41</v>
      </c>
      <c r="M357" s="884" t="s">
        <v>41</v>
      </c>
      <c r="N357" s="884" t="s">
        <v>41</v>
      </c>
      <c r="O357" s="884" t="s">
        <v>41</v>
      </c>
      <c r="P357" s="884" t="s">
        <v>41</v>
      </c>
      <c r="Q357" s="884" t="s">
        <v>41</v>
      </c>
      <c r="R357" s="884" t="s">
        <v>41</v>
      </c>
      <c r="S357" s="1417" t="s">
        <v>41</v>
      </c>
      <c r="T357" s="883" t="s">
        <v>41</v>
      </c>
      <c r="U357" s="884" t="s">
        <v>41</v>
      </c>
      <c r="V357" s="884" t="s">
        <v>41</v>
      </c>
      <c r="W357" s="884" t="s">
        <v>41</v>
      </c>
      <c r="X357" s="884" t="s">
        <v>41</v>
      </c>
      <c r="Y357" s="884" t="s">
        <v>41</v>
      </c>
      <c r="Z357" s="884" t="s">
        <v>41</v>
      </c>
      <c r="AA357" s="884" t="s">
        <v>41</v>
      </c>
      <c r="AB357" s="1417" t="s">
        <v>41</v>
      </c>
      <c r="AC357" s="1454"/>
    </row>
    <row r="358" spans="1:29" ht="34.35" customHeight="1">
      <c r="A358" s="59" t="s">
        <v>309</v>
      </c>
      <c r="B358" s="61" t="s">
        <v>324</v>
      </c>
      <c r="C358" s="29">
        <v>14</v>
      </c>
      <c r="D358" s="5" t="s">
        <v>311</v>
      </c>
      <c r="E358" s="14" t="s">
        <v>38</v>
      </c>
      <c r="F358" s="2" t="s">
        <v>312</v>
      </c>
      <c r="G358" s="2" t="s">
        <v>40</v>
      </c>
      <c r="H358" s="922">
        <v>0</v>
      </c>
      <c r="I358" s="879">
        <v>45962</v>
      </c>
      <c r="J358" s="921"/>
      <c r="K358" s="884"/>
      <c r="L358" s="884"/>
      <c r="M358" s="884"/>
      <c r="N358" s="884"/>
      <c r="O358" s="884"/>
      <c r="P358" s="884"/>
      <c r="Q358" s="884"/>
      <c r="R358" s="884"/>
      <c r="S358" s="1417"/>
      <c r="T358" s="883"/>
      <c r="U358" s="884"/>
      <c r="V358" s="884"/>
      <c r="W358" s="884"/>
      <c r="X358" s="884"/>
      <c r="Y358" s="884"/>
      <c r="Z358" s="884"/>
      <c r="AA358" s="884"/>
      <c r="AB358" s="1417"/>
      <c r="AC358" s="1454"/>
    </row>
    <row r="359" spans="1:29" ht="34.35" customHeight="1">
      <c r="A359" s="59" t="s">
        <v>309</v>
      </c>
      <c r="B359" s="61" t="s">
        <v>324</v>
      </c>
      <c r="C359" s="29">
        <v>15</v>
      </c>
      <c r="D359" s="5" t="s">
        <v>313</v>
      </c>
      <c r="E359" s="14" t="s">
        <v>38</v>
      </c>
      <c r="F359" s="2" t="s">
        <v>312</v>
      </c>
      <c r="G359" s="2" t="s">
        <v>40</v>
      </c>
      <c r="H359" s="922">
        <v>0</v>
      </c>
      <c r="I359" s="879">
        <v>45962</v>
      </c>
      <c r="J359" s="921"/>
      <c r="K359" s="884"/>
      <c r="L359" s="884"/>
      <c r="M359" s="884"/>
      <c r="N359" s="884"/>
      <c r="O359" s="884"/>
      <c r="P359" s="884"/>
      <c r="Q359" s="884"/>
      <c r="R359" s="884"/>
      <c r="S359" s="1417"/>
      <c r="T359" s="883"/>
      <c r="U359" s="884"/>
      <c r="V359" s="884"/>
      <c r="W359" s="884"/>
      <c r="X359" s="884"/>
      <c r="Y359" s="884"/>
      <c r="Z359" s="884"/>
      <c r="AA359" s="884"/>
      <c r="AB359" s="1417"/>
      <c r="AC359" s="1454"/>
    </row>
    <row r="360" spans="1:29" ht="34.35" customHeight="1">
      <c r="A360" s="59" t="s">
        <v>309</v>
      </c>
      <c r="B360" s="61" t="s">
        <v>324</v>
      </c>
      <c r="C360" s="29">
        <v>16</v>
      </c>
      <c r="D360" s="6" t="s">
        <v>314</v>
      </c>
      <c r="E360" s="14" t="s">
        <v>38</v>
      </c>
      <c r="F360" s="2" t="s">
        <v>312</v>
      </c>
      <c r="G360" s="2" t="s">
        <v>40</v>
      </c>
      <c r="H360" s="922">
        <v>0</v>
      </c>
      <c r="I360" s="879">
        <v>45962</v>
      </c>
      <c r="J360" s="921"/>
      <c r="K360" s="884"/>
      <c r="L360" s="884"/>
      <c r="M360" s="884"/>
      <c r="N360" s="884"/>
      <c r="O360" s="884"/>
      <c r="P360" s="884"/>
      <c r="Q360" s="884"/>
      <c r="R360" s="884"/>
      <c r="S360" s="1417"/>
      <c r="T360" s="883"/>
      <c r="U360" s="884"/>
      <c r="V360" s="884"/>
      <c r="W360" s="884"/>
      <c r="X360" s="884"/>
      <c r="Y360" s="884"/>
      <c r="Z360" s="884"/>
      <c r="AA360" s="884"/>
      <c r="AB360" s="1417"/>
      <c r="AC360" s="1455"/>
    </row>
    <row r="361" spans="1:29" ht="34.35" customHeight="1">
      <c r="A361" s="59" t="s">
        <v>309</v>
      </c>
      <c r="B361" s="61" t="s">
        <v>325</v>
      </c>
      <c r="C361" s="29">
        <v>17</v>
      </c>
      <c r="D361" s="5" t="s">
        <v>326</v>
      </c>
      <c r="E361" s="14" t="s">
        <v>38</v>
      </c>
      <c r="F361" s="2" t="s">
        <v>327</v>
      </c>
      <c r="G361" s="2" t="s">
        <v>40</v>
      </c>
      <c r="H361" s="922">
        <v>0</v>
      </c>
      <c r="I361" s="879">
        <v>45962</v>
      </c>
      <c r="J361" s="921"/>
      <c r="K361" s="884"/>
      <c r="L361" s="884"/>
      <c r="M361" s="884"/>
      <c r="N361" s="884"/>
      <c r="O361" s="884"/>
      <c r="P361" s="884"/>
      <c r="Q361" s="884"/>
      <c r="R361" s="884"/>
      <c r="S361" s="1417"/>
      <c r="T361" s="883"/>
      <c r="U361" s="884"/>
      <c r="V361" s="884"/>
      <c r="W361" s="884"/>
      <c r="X361" s="884"/>
      <c r="Y361" s="884"/>
      <c r="Z361" s="884"/>
      <c r="AA361" s="884"/>
      <c r="AB361" s="1417"/>
      <c r="AC361" s="1454"/>
    </row>
    <row r="362" spans="1:29" ht="34.35" customHeight="1">
      <c r="A362" s="59" t="s">
        <v>309</v>
      </c>
      <c r="B362" s="61" t="s">
        <v>325</v>
      </c>
      <c r="C362" s="29">
        <v>18</v>
      </c>
      <c r="D362" s="5" t="s">
        <v>326</v>
      </c>
      <c r="E362" s="14" t="s">
        <v>136</v>
      </c>
      <c r="F362" s="2" t="s">
        <v>327</v>
      </c>
      <c r="G362" s="2" t="s">
        <v>40</v>
      </c>
      <c r="H362" s="922">
        <v>0</v>
      </c>
      <c r="I362" s="879">
        <v>45962</v>
      </c>
      <c r="J362" s="921"/>
      <c r="K362" s="884"/>
      <c r="L362" s="884"/>
      <c r="M362" s="884"/>
      <c r="N362" s="884"/>
      <c r="O362" s="884"/>
      <c r="P362" s="884"/>
      <c r="Q362" s="884"/>
      <c r="R362" s="884"/>
      <c r="S362" s="1417"/>
      <c r="T362" s="883"/>
      <c r="U362" s="884"/>
      <c r="V362" s="884"/>
      <c r="W362" s="884"/>
      <c r="X362" s="884"/>
      <c r="Y362" s="884"/>
      <c r="Z362" s="884"/>
      <c r="AA362" s="884"/>
      <c r="AB362" s="1417"/>
      <c r="AC362" s="1454"/>
    </row>
    <row r="363" spans="1:29" ht="34.35" customHeight="1">
      <c r="A363" s="59" t="s">
        <v>309</v>
      </c>
      <c r="B363" s="61" t="s">
        <v>325</v>
      </c>
      <c r="C363" s="29">
        <v>19</v>
      </c>
      <c r="D363" s="6" t="s">
        <v>328</v>
      </c>
      <c r="E363" s="14" t="s">
        <v>38</v>
      </c>
      <c r="F363" s="2" t="s">
        <v>327</v>
      </c>
      <c r="G363" s="2" t="s">
        <v>40</v>
      </c>
      <c r="H363" s="922" t="s">
        <v>41</v>
      </c>
      <c r="I363" s="879">
        <v>45962</v>
      </c>
      <c r="J363" s="921"/>
      <c r="K363" s="884"/>
      <c r="L363" s="884"/>
      <c r="M363" s="884"/>
      <c r="N363" s="884"/>
      <c r="O363" s="884"/>
      <c r="P363" s="884"/>
      <c r="Q363" s="884"/>
      <c r="R363" s="884"/>
      <c r="S363" s="1417"/>
      <c r="T363" s="883"/>
      <c r="U363" s="884"/>
      <c r="V363" s="884"/>
      <c r="W363" s="884"/>
      <c r="X363" s="884"/>
      <c r="Y363" s="884"/>
      <c r="Z363" s="884"/>
      <c r="AA363" s="884"/>
      <c r="AB363" s="1417"/>
      <c r="AC363" s="1455"/>
    </row>
    <row r="364" spans="1:29" ht="34.35" customHeight="1">
      <c r="A364" s="59" t="s">
        <v>309</v>
      </c>
      <c r="B364" s="61" t="s">
        <v>325</v>
      </c>
      <c r="C364" s="29">
        <v>20</v>
      </c>
      <c r="D364" s="6" t="s">
        <v>328</v>
      </c>
      <c r="E364" s="14" t="s">
        <v>136</v>
      </c>
      <c r="F364" s="2" t="s">
        <v>327</v>
      </c>
      <c r="G364" s="2" t="s">
        <v>40</v>
      </c>
      <c r="H364" s="922" t="s">
        <v>41</v>
      </c>
      <c r="I364" s="879">
        <v>45962</v>
      </c>
      <c r="J364" s="921"/>
      <c r="K364" s="884"/>
      <c r="L364" s="884"/>
      <c r="M364" s="884"/>
      <c r="N364" s="884"/>
      <c r="O364" s="884"/>
      <c r="P364" s="884"/>
      <c r="Q364" s="884"/>
      <c r="R364" s="884"/>
      <c r="S364" s="1417"/>
      <c r="T364" s="883"/>
      <c r="U364" s="884"/>
      <c r="V364" s="884"/>
      <c r="W364" s="884"/>
      <c r="X364" s="884"/>
      <c r="Y364" s="884"/>
      <c r="Z364" s="884"/>
      <c r="AA364" s="884"/>
      <c r="AB364" s="1417"/>
      <c r="AC364" s="1455"/>
    </row>
    <row r="365" spans="1:29" ht="34.35" customHeight="1">
      <c r="A365" s="59" t="s">
        <v>309</v>
      </c>
      <c r="B365" s="61" t="s">
        <v>325</v>
      </c>
      <c r="C365" s="29">
        <v>21</v>
      </c>
      <c r="D365" s="6" t="s">
        <v>329</v>
      </c>
      <c r="E365" s="14" t="s">
        <v>38</v>
      </c>
      <c r="F365" s="2" t="s">
        <v>327</v>
      </c>
      <c r="G365" s="2" t="s">
        <v>40</v>
      </c>
      <c r="H365" s="922" t="s">
        <v>41</v>
      </c>
      <c r="I365" s="879">
        <v>45962</v>
      </c>
      <c r="J365" s="921"/>
      <c r="K365" s="884">
        <v>2</v>
      </c>
      <c r="L365" s="884">
        <v>4</v>
      </c>
      <c r="M365" s="884"/>
      <c r="N365" s="884"/>
      <c r="O365" s="884"/>
      <c r="P365" s="884"/>
      <c r="Q365" s="884"/>
      <c r="R365" s="884"/>
      <c r="S365" s="1417">
        <v>2</v>
      </c>
      <c r="T365" s="883"/>
      <c r="U365" s="884"/>
      <c r="V365" s="884">
        <f>4+1</f>
        <v>5</v>
      </c>
      <c r="W365" s="884"/>
      <c r="X365" s="884">
        <f>2+24</f>
        <v>26</v>
      </c>
      <c r="Y365" s="884">
        <f>100+45</f>
        <v>145</v>
      </c>
      <c r="Z365" s="884">
        <f>2+1</f>
        <v>3</v>
      </c>
      <c r="AA365" s="884"/>
      <c r="AB365" s="1417">
        <f>5+2</f>
        <v>7</v>
      </c>
      <c r="AC365" s="1455"/>
    </row>
    <row r="366" spans="1:29" ht="34.35" customHeight="1">
      <c r="A366" s="59" t="s">
        <v>309</v>
      </c>
      <c r="B366" s="61" t="s">
        <v>325</v>
      </c>
      <c r="C366" s="29">
        <v>22</v>
      </c>
      <c r="D366" s="6" t="s">
        <v>329</v>
      </c>
      <c r="E366" s="14" t="s">
        <v>136</v>
      </c>
      <c r="F366" s="2" t="s">
        <v>327</v>
      </c>
      <c r="G366" s="2" t="s">
        <v>40</v>
      </c>
      <c r="H366" s="922" t="s">
        <v>41</v>
      </c>
      <c r="I366" s="879">
        <v>45962</v>
      </c>
      <c r="J366" s="921"/>
      <c r="K366" s="884">
        <v>0.68</v>
      </c>
      <c r="L366" s="884">
        <v>2.29</v>
      </c>
      <c r="M366" s="884"/>
      <c r="N366" s="884"/>
      <c r="O366" s="884"/>
      <c r="P366" s="884"/>
      <c r="Q366" s="884"/>
      <c r="R366" s="884"/>
      <c r="S366" s="1417">
        <v>0.4</v>
      </c>
      <c r="T366" s="883"/>
      <c r="U366" s="884"/>
      <c r="V366" s="884">
        <f>2.17+0.036</f>
        <v>2.206</v>
      </c>
      <c r="W366" s="884"/>
      <c r="X366" s="884">
        <f>2.13+33.5</f>
        <v>35.630000000000003</v>
      </c>
      <c r="Y366" s="884">
        <f>70.9+5.6</f>
        <v>76.5</v>
      </c>
      <c r="Z366" s="884">
        <f>0.74+0.023</f>
        <v>0.76300000000000001</v>
      </c>
      <c r="AA366" s="884"/>
      <c r="AB366" s="1417">
        <f>6.39+1.79</f>
        <v>8.18</v>
      </c>
      <c r="AC366" s="1455"/>
    </row>
    <row r="367" spans="1:29" ht="34.35" customHeight="1">
      <c r="A367" s="59" t="s">
        <v>309</v>
      </c>
      <c r="B367" s="61" t="s">
        <v>325</v>
      </c>
      <c r="C367" s="29">
        <v>23</v>
      </c>
      <c r="D367" s="6" t="s">
        <v>462</v>
      </c>
      <c r="E367" s="14" t="s">
        <v>38</v>
      </c>
      <c r="F367" s="2" t="s">
        <v>327</v>
      </c>
      <c r="G367" s="2" t="s">
        <v>40</v>
      </c>
      <c r="H367" s="922" t="s">
        <v>41</v>
      </c>
      <c r="I367" s="879">
        <v>45962</v>
      </c>
      <c r="J367" s="921"/>
      <c r="K367" s="884">
        <v>20</v>
      </c>
      <c r="L367" s="884">
        <v>3</v>
      </c>
      <c r="M367" s="884"/>
      <c r="N367" s="884"/>
      <c r="O367" s="884"/>
      <c r="P367" s="884"/>
      <c r="Q367" s="884"/>
      <c r="R367" s="884"/>
      <c r="S367" s="1417">
        <f>7+5</f>
        <v>12</v>
      </c>
      <c r="T367" s="883"/>
      <c r="U367" s="884"/>
      <c r="V367" s="884">
        <v>1</v>
      </c>
      <c r="W367" s="884">
        <v>2</v>
      </c>
      <c r="X367" s="884">
        <v>3</v>
      </c>
      <c r="Y367" s="884">
        <f>92+35</f>
        <v>127</v>
      </c>
      <c r="Z367" s="884">
        <v>2</v>
      </c>
      <c r="AA367" s="884"/>
      <c r="AB367" s="1417"/>
      <c r="AC367" s="1455"/>
    </row>
    <row r="368" spans="1:29" ht="34.35" customHeight="1">
      <c r="A368" s="59" t="s">
        <v>309</v>
      </c>
      <c r="B368" s="61" t="s">
        <v>325</v>
      </c>
      <c r="C368" s="29">
        <v>24</v>
      </c>
      <c r="D368" s="6" t="s">
        <v>462</v>
      </c>
      <c r="E368" s="14" t="s">
        <v>136</v>
      </c>
      <c r="F368" s="2" t="s">
        <v>327</v>
      </c>
      <c r="G368" s="2" t="s">
        <v>40</v>
      </c>
      <c r="H368" s="922" t="s">
        <v>41</v>
      </c>
      <c r="I368" s="879">
        <v>45962</v>
      </c>
      <c r="J368" s="921"/>
      <c r="K368" s="884">
        <v>4.9000000000000004</v>
      </c>
      <c r="L368" s="884">
        <v>0.7</v>
      </c>
      <c r="M368" s="884"/>
      <c r="N368" s="884"/>
      <c r="O368" s="884"/>
      <c r="P368" s="884"/>
      <c r="Q368" s="884"/>
      <c r="R368" s="884"/>
      <c r="S368" s="1417">
        <f>2.2+6.6</f>
        <v>8.8000000000000007</v>
      </c>
      <c r="T368" s="883"/>
      <c r="U368" s="884"/>
      <c r="V368" s="884">
        <v>4.9000000000000002E-2</v>
      </c>
      <c r="W368" s="884">
        <v>0.37</v>
      </c>
      <c r="X368" s="884">
        <v>1.3</v>
      </c>
      <c r="Y368" s="884">
        <f>57.79+21.9</f>
        <v>79.69</v>
      </c>
      <c r="Z368" s="884">
        <v>1.1499999999999999</v>
      </c>
      <c r="AA368" s="884"/>
      <c r="AB368" s="1417"/>
      <c r="AC368" s="1455"/>
    </row>
    <row r="369" spans="1:29" ht="34.35" customHeight="1">
      <c r="A369" s="59" t="s">
        <v>309</v>
      </c>
      <c r="B369" s="61" t="s">
        <v>325</v>
      </c>
      <c r="C369" s="29">
        <v>25</v>
      </c>
      <c r="D369" s="5" t="s">
        <v>331</v>
      </c>
      <c r="E369" s="14" t="s">
        <v>38</v>
      </c>
      <c r="F369" s="2" t="s">
        <v>327</v>
      </c>
      <c r="G369" s="2" t="s">
        <v>332</v>
      </c>
      <c r="H369" s="922">
        <v>0</v>
      </c>
      <c r="I369" s="879">
        <v>45962</v>
      </c>
      <c r="J369" s="921"/>
      <c r="K369" s="884">
        <v>1</v>
      </c>
      <c r="L369" s="884">
        <v>9</v>
      </c>
      <c r="M369" s="884">
        <v>2</v>
      </c>
      <c r="N369" s="884"/>
      <c r="O369" s="884"/>
      <c r="P369" s="884"/>
      <c r="Q369" s="884"/>
      <c r="R369" s="884"/>
      <c r="S369" s="1417">
        <v>3</v>
      </c>
      <c r="T369" s="883"/>
      <c r="U369" s="884"/>
      <c r="V369" s="884"/>
      <c r="W369" s="884"/>
      <c r="X369" s="884">
        <v>4</v>
      </c>
      <c r="Y369" s="884">
        <f>21+3</f>
        <v>24</v>
      </c>
      <c r="Z369" s="884"/>
      <c r="AA369" s="884"/>
      <c r="AB369" s="1417"/>
      <c r="AC369" s="1454"/>
    </row>
    <row r="370" spans="1:29" ht="34.35" customHeight="1">
      <c r="A370" s="59" t="s">
        <v>309</v>
      </c>
      <c r="B370" s="61" t="s">
        <v>325</v>
      </c>
      <c r="C370" s="29">
        <v>26</v>
      </c>
      <c r="D370" s="5" t="s">
        <v>463</v>
      </c>
      <c r="E370" s="14" t="s">
        <v>136</v>
      </c>
      <c r="F370" s="2" t="s">
        <v>327</v>
      </c>
      <c r="G370" s="2" t="s">
        <v>332</v>
      </c>
      <c r="H370" s="922">
        <v>0</v>
      </c>
      <c r="I370" s="879">
        <v>45962</v>
      </c>
      <c r="J370" s="921"/>
      <c r="K370" s="884">
        <v>0.42</v>
      </c>
      <c r="L370" s="884">
        <v>2.23</v>
      </c>
      <c r="M370" s="884">
        <v>1.05</v>
      </c>
      <c r="N370" s="884"/>
      <c r="O370" s="884"/>
      <c r="P370" s="884"/>
      <c r="Q370" s="884"/>
      <c r="R370" s="884"/>
      <c r="S370" s="1417">
        <v>3.5</v>
      </c>
      <c r="T370" s="883"/>
      <c r="U370" s="884"/>
      <c r="V370" s="884"/>
      <c r="W370" s="884"/>
      <c r="X370" s="884">
        <v>4.4000000000000004</v>
      </c>
      <c r="Y370" s="884">
        <f>33.1+3.2</f>
        <v>36.300000000000004</v>
      </c>
      <c r="Z370" s="884"/>
      <c r="AA370" s="884"/>
      <c r="AB370" s="1417"/>
      <c r="AC370" s="1454"/>
    </row>
    <row r="371" spans="1:29" ht="34.35" customHeight="1">
      <c r="A371" s="59" t="s">
        <v>309</v>
      </c>
      <c r="B371" s="61" t="s">
        <v>325</v>
      </c>
      <c r="C371" s="29">
        <v>27</v>
      </c>
      <c r="D371" s="5" t="s">
        <v>464</v>
      </c>
      <c r="E371" s="14" t="s">
        <v>38</v>
      </c>
      <c r="F371" s="2" t="s">
        <v>327</v>
      </c>
      <c r="G371" s="2" t="s">
        <v>332</v>
      </c>
      <c r="H371" s="922">
        <v>0</v>
      </c>
      <c r="I371" s="879">
        <v>45962</v>
      </c>
      <c r="J371" s="921"/>
      <c r="K371" s="884"/>
      <c r="L371" s="884">
        <v>1</v>
      </c>
      <c r="M371" s="884"/>
      <c r="N371" s="884"/>
      <c r="O371" s="884"/>
      <c r="P371" s="884"/>
      <c r="Q371" s="884"/>
      <c r="R371" s="884"/>
      <c r="S371" s="1417"/>
      <c r="T371" s="883"/>
      <c r="U371" s="884"/>
      <c r="V371" s="884"/>
      <c r="W371" s="884"/>
      <c r="X371" s="884">
        <v>23</v>
      </c>
      <c r="Y371" s="884">
        <f>8+1</f>
        <v>9</v>
      </c>
      <c r="Z371" s="884"/>
      <c r="AA371" s="884"/>
      <c r="AB371" s="1417"/>
      <c r="AC371" s="1454"/>
    </row>
    <row r="372" spans="1:29" ht="34.35" customHeight="1">
      <c r="A372" s="59" t="s">
        <v>309</v>
      </c>
      <c r="B372" s="61" t="s">
        <v>325</v>
      </c>
      <c r="C372" s="29">
        <v>28</v>
      </c>
      <c r="D372" s="5" t="s">
        <v>464</v>
      </c>
      <c r="E372" s="14" t="s">
        <v>136</v>
      </c>
      <c r="F372" s="2" t="s">
        <v>327</v>
      </c>
      <c r="G372" s="2" t="s">
        <v>332</v>
      </c>
      <c r="H372" s="922">
        <v>0</v>
      </c>
      <c r="I372" s="879">
        <v>45962</v>
      </c>
      <c r="J372" s="921"/>
      <c r="K372" s="884"/>
      <c r="L372" s="884">
        <v>0.49</v>
      </c>
      <c r="M372" s="884"/>
      <c r="N372" s="884"/>
      <c r="O372" s="884"/>
      <c r="P372" s="884"/>
      <c r="Q372" s="884"/>
      <c r="R372" s="884"/>
      <c r="S372" s="1417"/>
      <c r="T372" s="883"/>
      <c r="U372" s="884"/>
      <c r="V372" s="884"/>
      <c r="W372" s="884"/>
      <c r="X372" s="884">
        <v>30.4</v>
      </c>
      <c r="Y372" s="884">
        <f>9.59+1.06</f>
        <v>10.65</v>
      </c>
      <c r="Z372" s="884"/>
      <c r="AA372" s="884"/>
      <c r="AB372" s="1417"/>
      <c r="AC372" s="1454"/>
    </row>
    <row r="373" spans="1:29" ht="34.35" customHeight="1">
      <c r="A373" s="59" t="s">
        <v>309</v>
      </c>
      <c r="B373" s="61" t="s">
        <v>325</v>
      </c>
      <c r="C373" s="29">
        <v>29</v>
      </c>
      <c r="D373" s="5" t="s">
        <v>336</v>
      </c>
      <c r="E373" s="14" t="s">
        <v>38</v>
      </c>
      <c r="F373" s="2" t="s">
        <v>316</v>
      </c>
      <c r="G373" s="2" t="s">
        <v>40</v>
      </c>
      <c r="H373" s="922">
        <v>0</v>
      </c>
      <c r="I373" s="879">
        <v>45962</v>
      </c>
      <c r="J373" s="921"/>
      <c r="K373" s="884"/>
      <c r="L373" s="884"/>
      <c r="M373" s="884"/>
      <c r="N373" s="884"/>
      <c r="O373" s="884"/>
      <c r="P373" s="884"/>
      <c r="Q373" s="884"/>
      <c r="R373" s="884"/>
      <c r="S373" s="1417"/>
      <c r="T373" s="883"/>
      <c r="U373" s="884"/>
      <c r="V373" s="884"/>
      <c r="W373" s="884"/>
      <c r="X373" s="884"/>
      <c r="Y373" s="884"/>
      <c r="Z373" s="884"/>
      <c r="AA373" s="884"/>
      <c r="AB373" s="1417"/>
      <c r="AC373" s="1454"/>
    </row>
    <row r="374" spans="1:29" ht="34.35" customHeight="1">
      <c r="A374" s="59" t="s">
        <v>309</v>
      </c>
      <c r="B374" s="61" t="s">
        <v>325</v>
      </c>
      <c r="C374" s="29">
        <v>30</v>
      </c>
      <c r="D374" s="5" t="s">
        <v>336</v>
      </c>
      <c r="E374" s="14" t="s">
        <v>136</v>
      </c>
      <c r="F374" s="2" t="s">
        <v>316</v>
      </c>
      <c r="G374" s="2" t="s">
        <v>40</v>
      </c>
      <c r="H374" s="922">
        <v>0</v>
      </c>
      <c r="I374" s="879">
        <v>45962</v>
      </c>
      <c r="J374" s="921"/>
      <c r="K374" s="884"/>
      <c r="L374" s="884"/>
      <c r="M374" s="884"/>
      <c r="N374" s="884"/>
      <c r="O374" s="884"/>
      <c r="P374" s="884"/>
      <c r="Q374" s="884"/>
      <c r="R374" s="884"/>
      <c r="S374" s="1417"/>
      <c r="T374" s="883"/>
      <c r="U374" s="884"/>
      <c r="V374" s="884"/>
      <c r="W374" s="884"/>
      <c r="X374" s="884"/>
      <c r="Y374" s="884"/>
      <c r="Z374" s="884"/>
      <c r="AA374" s="884"/>
      <c r="AB374" s="1417"/>
      <c r="AC374" s="1454"/>
    </row>
    <row r="375" spans="1:29" ht="34.35" customHeight="1">
      <c r="A375" s="59" t="s">
        <v>309</v>
      </c>
      <c r="B375" s="61" t="s">
        <v>325</v>
      </c>
      <c r="C375" s="29">
        <v>31</v>
      </c>
      <c r="D375" s="5" t="s">
        <v>338</v>
      </c>
      <c r="E375" s="14" t="s">
        <v>38</v>
      </c>
      <c r="F375" s="2" t="s">
        <v>316</v>
      </c>
      <c r="G375" s="2" t="s">
        <v>40</v>
      </c>
      <c r="H375" s="922">
        <v>0</v>
      </c>
      <c r="I375" s="879">
        <v>45962</v>
      </c>
      <c r="J375" s="921"/>
      <c r="K375" s="884"/>
      <c r="L375" s="884"/>
      <c r="M375" s="884"/>
      <c r="N375" s="884"/>
      <c r="O375" s="884"/>
      <c r="P375" s="884"/>
      <c r="Q375" s="884"/>
      <c r="R375" s="884"/>
      <c r="S375" s="1417"/>
      <c r="T375" s="883"/>
      <c r="U375" s="884"/>
      <c r="V375" s="884"/>
      <c r="W375" s="884"/>
      <c r="X375" s="884"/>
      <c r="Y375" s="884"/>
      <c r="Z375" s="884"/>
      <c r="AA375" s="884"/>
      <c r="AB375" s="1417"/>
      <c r="AC375" s="1454"/>
    </row>
    <row r="376" spans="1:29" ht="34.35" customHeight="1">
      <c r="A376" s="59" t="s">
        <v>309</v>
      </c>
      <c r="B376" s="61" t="s">
        <v>325</v>
      </c>
      <c r="C376" s="29">
        <v>32</v>
      </c>
      <c r="D376" s="5" t="s">
        <v>338</v>
      </c>
      <c r="E376" s="14" t="s">
        <v>136</v>
      </c>
      <c r="F376" s="2" t="s">
        <v>316</v>
      </c>
      <c r="G376" s="2" t="s">
        <v>40</v>
      </c>
      <c r="H376" s="922">
        <v>0</v>
      </c>
      <c r="I376" s="879">
        <v>45962</v>
      </c>
      <c r="J376" s="921"/>
      <c r="K376" s="884"/>
      <c r="L376" s="884"/>
      <c r="M376" s="884"/>
      <c r="N376" s="884"/>
      <c r="O376" s="884"/>
      <c r="P376" s="884"/>
      <c r="Q376" s="884"/>
      <c r="R376" s="884"/>
      <c r="S376" s="1417"/>
      <c r="T376" s="883"/>
      <c r="U376" s="884"/>
      <c r="V376" s="884"/>
      <c r="W376" s="884"/>
      <c r="X376" s="884"/>
      <c r="Y376" s="884"/>
      <c r="Z376" s="884"/>
      <c r="AA376" s="884"/>
      <c r="AB376" s="1417"/>
      <c r="AC376" s="1454"/>
    </row>
    <row r="377" spans="1:29" ht="34.35" customHeight="1">
      <c r="A377" s="59" t="s">
        <v>309</v>
      </c>
      <c r="B377" s="61" t="s">
        <v>325</v>
      </c>
      <c r="C377" s="29">
        <v>33</v>
      </c>
      <c r="D377" s="5" t="s">
        <v>339</v>
      </c>
      <c r="E377" s="14" t="s">
        <v>133</v>
      </c>
      <c r="F377" s="2" t="s">
        <v>340</v>
      </c>
      <c r="G377" s="2" t="s">
        <v>341</v>
      </c>
      <c r="H377" s="927">
        <v>5.0000000000000001E-3</v>
      </c>
      <c r="I377" s="879">
        <v>45962</v>
      </c>
      <c r="J377" s="921"/>
      <c r="K377" s="884"/>
      <c r="L377" s="884"/>
      <c r="M377" s="884"/>
      <c r="N377" s="884"/>
      <c r="O377" s="884"/>
      <c r="P377" s="884"/>
      <c r="Q377" s="884"/>
      <c r="R377" s="884"/>
      <c r="S377" s="1417"/>
      <c r="T377" s="883"/>
      <c r="U377" s="884"/>
      <c r="V377" s="884"/>
      <c r="W377" s="884"/>
      <c r="X377" s="884"/>
      <c r="Y377" s="884"/>
      <c r="Z377" s="884"/>
      <c r="AA377" s="884"/>
      <c r="AB377" s="1417"/>
      <c r="AC377" s="1457" t="s">
        <v>465</v>
      </c>
    </row>
    <row r="378" spans="1:29" ht="34.35" customHeight="1">
      <c r="A378" s="59" t="s">
        <v>309</v>
      </c>
      <c r="B378" s="61" t="s">
        <v>325</v>
      </c>
      <c r="C378" s="29">
        <v>34</v>
      </c>
      <c r="D378" s="5" t="s">
        <v>339</v>
      </c>
      <c r="E378" s="14" t="s">
        <v>136</v>
      </c>
      <c r="F378" s="2" t="s">
        <v>340</v>
      </c>
      <c r="G378" s="2" t="s">
        <v>341</v>
      </c>
      <c r="H378" s="928" t="s">
        <v>41</v>
      </c>
      <c r="I378" s="879">
        <v>45962</v>
      </c>
      <c r="J378" s="921"/>
      <c r="K378" s="884"/>
      <c r="L378" s="884"/>
      <c r="M378" s="884"/>
      <c r="N378" s="884"/>
      <c r="O378" s="884"/>
      <c r="P378" s="884"/>
      <c r="Q378" s="884"/>
      <c r="R378" s="884"/>
      <c r="S378" s="1417"/>
      <c r="T378" s="883"/>
      <c r="U378" s="884"/>
      <c r="V378" s="884"/>
      <c r="W378" s="884"/>
      <c r="X378" s="884"/>
      <c r="Y378" s="884"/>
      <c r="Z378" s="884"/>
      <c r="AA378" s="884"/>
      <c r="AB378" s="1417"/>
      <c r="AC378" s="1454"/>
    </row>
    <row r="379" spans="1:29" ht="34.35" customHeight="1">
      <c r="A379" s="59" t="s">
        <v>309</v>
      </c>
      <c r="B379" s="61" t="s">
        <v>325</v>
      </c>
      <c r="C379" s="29">
        <v>35</v>
      </c>
      <c r="D379" s="5" t="s">
        <v>342</v>
      </c>
      <c r="E379" s="14" t="s">
        <v>133</v>
      </c>
      <c r="F379" s="2" t="s">
        <v>106</v>
      </c>
      <c r="G379" s="2" t="s">
        <v>285</v>
      </c>
      <c r="H379" s="933"/>
      <c r="I379" s="879">
        <v>45962</v>
      </c>
      <c r="J379" s="921"/>
      <c r="K379" s="884"/>
      <c r="L379" s="884"/>
      <c r="M379" s="884"/>
      <c r="N379" s="884"/>
      <c r="O379" s="884"/>
      <c r="P379" s="884"/>
      <c r="Q379" s="884"/>
      <c r="R379" s="884"/>
      <c r="S379" s="1417"/>
      <c r="T379" s="883"/>
      <c r="U379" s="884"/>
      <c r="V379" s="884"/>
      <c r="W379" s="884"/>
      <c r="X379" s="884"/>
      <c r="Y379" s="884"/>
      <c r="Z379" s="884"/>
      <c r="AA379" s="884"/>
      <c r="AB379" s="1417"/>
      <c r="AC379" s="1454"/>
    </row>
    <row r="380" spans="1:29" ht="34.35" customHeight="1">
      <c r="A380" s="59" t="s">
        <v>309</v>
      </c>
      <c r="B380" s="61" t="s">
        <v>325</v>
      </c>
      <c r="C380" s="29">
        <v>36</v>
      </c>
      <c r="D380" s="5" t="s">
        <v>342</v>
      </c>
      <c r="E380" s="14" t="s">
        <v>136</v>
      </c>
      <c r="F380" s="2" t="s">
        <v>106</v>
      </c>
      <c r="G380" s="2" t="s">
        <v>285</v>
      </c>
      <c r="H380" s="924"/>
      <c r="I380" s="879">
        <v>45962</v>
      </c>
      <c r="J380" s="921"/>
      <c r="K380" s="884"/>
      <c r="L380" s="884"/>
      <c r="M380" s="884"/>
      <c r="N380" s="884"/>
      <c r="O380" s="884"/>
      <c r="P380" s="884"/>
      <c r="Q380" s="884"/>
      <c r="R380" s="884"/>
      <c r="S380" s="1417"/>
      <c r="T380" s="883"/>
      <c r="U380" s="884"/>
      <c r="V380" s="884"/>
      <c r="W380" s="884"/>
      <c r="X380" s="884"/>
      <c r="Y380" s="884"/>
      <c r="Z380" s="884"/>
      <c r="AA380" s="884"/>
      <c r="AB380" s="1417"/>
      <c r="AC380" s="1454"/>
    </row>
    <row r="381" spans="1:29" ht="34.35" customHeight="1">
      <c r="A381" s="59" t="s">
        <v>309</v>
      </c>
      <c r="B381" s="61" t="s">
        <v>325</v>
      </c>
      <c r="C381" s="29">
        <v>37</v>
      </c>
      <c r="D381" s="6" t="s">
        <v>343</v>
      </c>
      <c r="E381" s="14" t="s">
        <v>38</v>
      </c>
      <c r="F381" s="2" t="s">
        <v>105</v>
      </c>
      <c r="G381" s="2"/>
      <c r="H381" s="925" t="s">
        <v>41</v>
      </c>
      <c r="I381" s="879">
        <v>45962</v>
      </c>
      <c r="J381" s="921"/>
      <c r="K381" s="884"/>
      <c r="L381" s="884"/>
      <c r="M381" s="884"/>
      <c r="N381" s="884"/>
      <c r="O381" s="884"/>
      <c r="P381" s="884"/>
      <c r="Q381" s="884"/>
      <c r="R381" s="884"/>
      <c r="S381" s="1417"/>
      <c r="T381" s="883"/>
      <c r="U381" s="884"/>
      <c r="V381" s="884"/>
      <c r="W381" s="884"/>
      <c r="X381" s="884"/>
      <c r="Y381" s="884"/>
      <c r="Z381" s="884"/>
      <c r="AA381" s="884"/>
      <c r="AB381" s="1417"/>
      <c r="AC381" s="1455"/>
    </row>
    <row r="382" spans="1:29" ht="34.35" customHeight="1">
      <c r="A382" s="59" t="s">
        <v>309</v>
      </c>
      <c r="B382" s="61" t="s">
        <v>325</v>
      </c>
      <c r="C382" s="29">
        <v>38</v>
      </c>
      <c r="D382" s="6" t="s">
        <v>343</v>
      </c>
      <c r="E382" s="14" t="s">
        <v>136</v>
      </c>
      <c r="F382" s="2" t="s">
        <v>105</v>
      </c>
      <c r="G382" s="2"/>
      <c r="H382" s="929">
        <f>84578725.86/10^6</f>
        <v>84.578725860000006</v>
      </c>
      <c r="I382" s="879">
        <v>45962</v>
      </c>
      <c r="J382" s="934">
        <f>1832253.57/10^6</f>
        <v>1.83225357</v>
      </c>
      <c r="K382" s="887" t="s">
        <v>41</v>
      </c>
      <c r="L382" s="887">
        <f>299440.31/10^6</f>
        <v>0.29944030999999999</v>
      </c>
      <c r="M382" s="887" t="s">
        <v>41</v>
      </c>
      <c r="N382" s="887" t="s">
        <v>41</v>
      </c>
      <c r="O382" s="887">
        <f>129552.28/10^6</f>
        <v>0.12955227999999999</v>
      </c>
      <c r="P382" s="887">
        <f>70779.27/10^6</f>
        <v>7.0779270000000005E-2</v>
      </c>
      <c r="Q382" s="887" t="s">
        <v>41</v>
      </c>
      <c r="R382" s="887">
        <f>2881210.98/10^6</f>
        <v>2.8812109800000001</v>
      </c>
      <c r="S382" s="1429">
        <f>323101.96/10^6</f>
        <v>0.32310196000000002</v>
      </c>
      <c r="T382" s="883"/>
      <c r="U382" s="884"/>
      <c r="V382" s="884"/>
      <c r="W382" s="884"/>
      <c r="X382" s="884"/>
      <c r="Y382" s="884"/>
      <c r="Z382" s="884"/>
      <c r="AA382" s="884"/>
      <c r="AB382" s="1417"/>
      <c r="AC382" s="1455"/>
    </row>
    <row r="383" spans="1:29" ht="34.35" customHeight="1">
      <c r="A383" s="59" t="s">
        <v>309</v>
      </c>
      <c r="B383" s="61" t="s">
        <v>325</v>
      </c>
      <c r="C383" s="29">
        <v>39</v>
      </c>
      <c r="D383" s="5" t="s">
        <v>344</v>
      </c>
      <c r="E383" s="14" t="s">
        <v>136</v>
      </c>
      <c r="F383" s="2" t="s">
        <v>110</v>
      </c>
      <c r="G383" s="2" t="s">
        <v>345</v>
      </c>
      <c r="H383" s="920">
        <v>3.17</v>
      </c>
      <c r="I383" s="879">
        <v>45962</v>
      </c>
      <c r="J383" s="921"/>
      <c r="K383" s="884"/>
      <c r="L383" s="884"/>
      <c r="M383" s="884"/>
      <c r="N383" s="884"/>
      <c r="O383" s="884"/>
      <c r="P383" s="884"/>
      <c r="Q383" s="884"/>
      <c r="R383" s="884"/>
      <c r="S383" s="1417"/>
      <c r="T383" s="883"/>
      <c r="U383" s="884"/>
      <c r="V383" s="884"/>
      <c r="W383" s="884"/>
      <c r="X383" s="884"/>
      <c r="Y383" s="884"/>
      <c r="Z383" s="884"/>
      <c r="AA383" s="884"/>
      <c r="AB383" s="1417"/>
      <c r="AC383" s="1454"/>
    </row>
    <row r="384" spans="1:29" ht="34.35" customHeight="1">
      <c r="A384" s="59" t="s">
        <v>309</v>
      </c>
      <c r="B384" s="61" t="s">
        <v>325</v>
      </c>
      <c r="C384" s="29">
        <v>40</v>
      </c>
      <c r="D384" s="5" t="s">
        <v>346</v>
      </c>
      <c r="E384" s="14" t="s">
        <v>136</v>
      </c>
      <c r="F384" s="2" t="s">
        <v>110</v>
      </c>
      <c r="G384" s="2" t="s">
        <v>345</v>
      </c>
      <c r="H384" s="920">
        <v>5.84</v>
      </c>
      <c r="I384" s="879">
        <v>45962</v>
      </c>
      <c r="J384" s="921"/>
      <c r="K384" s="884"/>
      <c r="L384" s="884"/>
      <c r="M384" s="884"/>
      <c r="N384" s="884"/>
      <c r="O384" s="884"/>
      <c r="P384" s="884"/>
      <c r="Q384" s="884"/>
      <c r="R384" s="884"/>
      <c r="S384" s="1417"/>
      <c r="T384" s="883"/>
      <c r="U384" s="884"/>
      <c r="V384" s="884"/>
      <c r="W384" s="884"/>
      <c r="X384" s="884"/>
      <c r="Y384" s="884"/>
      <c r="Z384" s="884"/>
      <c r="AA384" s="884"/>
      <c r="AB384" s="1417"/>
      <c r="AC384" s="1454"/>
    </row>
    <row r="385" spans="1:29" ht="34.35" customHeight="1">
      <c r="A385" s="59" t="s">
        <v>309</v>
      </c>
      <c r="B385" s="61" t="s">
        <v>325</v>
      </c>
      <c r="C385" s="29">
        <v>41</v>
      </c>
      <c r="D385" s="5" t="s">
        <v>347</v>
      </c>
      <c r="E385" s="14" t="s">
        <v>38</v>
      </c>
      <c r="F385" s="2" t="s">
        <v>106</v>
      </c>
      <c r="G385" s="2" t="s">
        <v>285</v>
      </c>
      <c r="H385" s="924"/>
      <c r="I385" s="879">
        <v>45962</v>
      </c>
      <c r="J385" s="921"/>
      <c r="K385" s="884"/>
      <c r="L385" s="884"/>
      <c r="M385" s="884"/>
      <c r="N385" s="884"/>
      <c r="O385" s="884"/>
      <c r="P385" s="884"/>
      <c r="Q385" s="884"/>
      <c r="R385" s="884"/>
      <c r="S385" s="1417"/>
      <c r="T385" s="883"/>
      <c r="U385" s="884"/>
      <c r="V385" s="884"/>
      <c r="W385" s="884"/>
      <c r="X385" s="884"/>
      <c r="Y385" s="884"/>
      <c r="Z385" s="884"/>
      <c r="AA385" s="884"/>
      <c r="AB385" s="1417"/>
      <c r="AC385" s="1454"/>
    </row>
    <row r="386" spans="1:29" ht="34.35" customHeight="1">
      <c r="A386" s="59" t="s">
        <v>309</v>
      </c>
      <c r="B386" s="61" t="s">
        <v>325</v>
      </c>
      <c r="C386" s="29">
        <v>42</v>
      </c>
      <c r="D386" s="5" t="s">
        <v>347</v>
      </c>
      <c r="E386" s="14" t="s">
        <v>136</v>
      </c>
      <c r="F386" s="2" t="s">
        <v>106</v>
      </c>
      <c r="G386" s="2" t="s">
        <v>285</v>
      </c>
      <c r="H386" s="924"/>
      <c r="I386" s="879">
        <v>45962</v>
      </c>
      <c r="J386" s="921"/>
      <c r="K386" s="884"/>
      <c r="L386" s="884"/>
      <c r="M386" s="884"/>
      <c r="N386" s="884"/>
      <c r="O386" s="884"/>
      <c r="P386" s="884"/>
      <c r="Q386" s="884"/>
      <c r="R386" s="884"/>
      <c r="S386" s="1417"/>
      <c r="T386" s="883"/>
      <c r="U386" s="884"/>
      <c r="V386" s="884"/>
      <c r="W386" s="884"/>
      <c r="X386" s="884"/>
      <c r="Y386" s="884"/>
      <c r="Z386" s="884"/>
      <c r="AA386" s="884"/>
      <c r="AB386" s="1417"/>
      <c r="AC386" s="1454"/>
    </row>
    <row r="387" spans="1:29" ht="34.35" customHeight="1">
      <c r="A387" s="59" t="s">
        <v>309</v>
      </c>
      <c r="B387" s="61" t="s">
        <v>325</v>
      </c>
      <c r="C387" s="29">
        <v>43</v>
      </c>
      <c r="D387" s="5" t="s">
        <v>349</v>
      </c>
      <c r="E387" s="14" t="s">
        <v>136</v>
      </c>
      <c r="F387" s="2" t="s">
        <v>340</v>
      </c>
      <c r="G387" s="2" t="s">
        <v>134</v>
      </c>
      <c r="H387" s="920">
        <v>5.4</v>
      </c>
      <c r="I387" s="879">
        <v>45962</v>
      </c>
      <c r="J387" s="921"/>
      <c r="K387" s="884"/>
      <c r="L387" s="884"/>
      <c r="M387" s="884"/>
      <c r="N387" s="884"/>
      <c r="O387" s="884"/>
      <c r="P387" s="884"/>
      <c r="Q387" s="884"/>
      <c r="R387" s="884"/>
      <c r="S387" s="1417"/>
      <c r="T387" s="883"/>
      <c r="U387" s="884"/>
      <c r="V387" s="884"/>
      <c r="W387" s="884"/>
      <c r="X387" s="884"/>
      <c r="Y387" s="884"/>
      <c r="Z387" s="884"/>
      <c r="AA387" s="884"/>
      <c r="AB387" s="1417"/>
      <c r="AC387" s="1454"/>
    </row>
    <row r="388" spans="1:29" ht="34.35" customHeight="1">
      <c r="A388" s="59" t="s">
        <v>309</v>
      </c>
      <c r="B388" s="61" t="s">
        <v>325</v>
      </c>
      <c r="C388" s="29">
        <v>44</v>
      </c>
      <c r="D388" s="5" t="s">
        <v>350</v>
      </c>
      <c r="E388" s="14" t="s">
        <v>38</v>
      </c>
      <c r="F388" s="2" t="s">
        <v>106</v>
      </c>
      <c r="G388" s="2" t="s">
        <v>134</v>
      </c>
      <c r="H388" s="924">
        <v>200</v>
      </c>
      <c r="I388" s="879">
        <v>45962</v>
      </c>
      <c r="J388" s="921"/>
      <c r="K388" s="884"/>
      <c r="L388" s="884"/>
      <c r="M388" s="884"/>
      <c r="N388" s="884"/>
      <c r="O388" s="884"/>
      <c r="P388" s="884"/>
      <c r="Q388" s="884"/>
      <c r="R388" s="884"/>
      <c r="S388" s="1417"/>
      <c r="T388" s="883"/>
      <c r="U388" s="884"/>
      <c r="V388" s="884"/>
      <c r="W388" s="884"/>
      <c r="X388" s="884"/>
      <c r="Y388" s="884"/>
      <c r="Z388" s="884"/>
      <c r="AA388" s="884"/>
      <c r="AB388" s="1417"/>
      <c r="AC388" s="1454"/>
    </row>
    <row r="389" spans="1:29" ht="34.35" customHeight="1">
      <c r="A389" s="59" t="s">
        <v>309</v>
      </c>
      <c r="B389" s="61" t="s">
        <v>325</v>
      </c>
      <c r="C389" s="29">
        <v>45</v>
      </c>
      <c r="D389" s="5" t="s">
        <v>350</v>
      </c>
      <c r="E389" s="14" t="s">
        <v>136</v>
      </c>
      <c r="F389" s="2" t="s">
        <v>106</v>
      </c>
      <c r="G389" s="2" t="s">
        <v>134</v>
      </c>
      <c r="H389" s="924">
        <v>90</v>
      </c>
      <c r="I389" s="879">
        <v>45962</v>
      </c>
      <c r="J389" s="921"/>
      <c r="K389" s="884"/>
      <c r="L389" s="884"/>
      <c r="M389" s="884"/>
      <c r="N389" s="884"/>
      <c r="O389" s="884"/>
      <c r="P389" s="884"/>
      <c r="Q389" s="884"/>
      <c r="R389" s="884"/>
      <c r="S389" s="1417"/>
      <c r="T389" s="883"/>
      <c r="U389" s="884"/>
      <c r="V389" s="884"/>
      <c r="W389" s="884"/>
      <c r="X389" s="884"/>
      <c r="Y389" s="884"/>
      <c r="Z389" s="884"/>
      <c r="AA389" s="884"/>
      <c r="AB389" s="1417"/>
      <c r="AC389" s="1454"/>
    </row>
    <row r="390" spans="1:29" ht="34.35" customHeight="1">
      <c r="A390" s="59" t="s">
        <v>309</v>
      </c>
      <c r="B390" s="62" t="s">
        <v>351</v>
      </c>
      <c r="C390" s="29">
        <v>46</v>
      </c>
      <c r="D390" s="63" t="s">
        <v>41</v>
      </c>
      <c r="E390" s="14" t="s">
        <v>353</v>
      </c>
      <c r="F390" s="2" t="s">
        <v>312</v>
      </c>
      <c r="G390" s="1" t="s">
        <v>40</v>
      </c>
      <c r="H390" s="920">
        <v>1.2</v>
      </c>
      <c r="I390" s="879">
        <v>45962</v>
      </c>
      <c r="J390" s="921"/>
      <c r="K390" s="884"/>
      <c r="L390" s="884"/>
      <c r="M390" s="884"/>
      <c r="N390" s="884"/>
      <c r="O390" s="884"/>
      <c r="P390" s="884"/>
      <c r="Q390" s="884"/>
      <c r="R390" s="884"/>
      <c r="S390" s="1417"/>
      <c r="T390" s="883"/>
      <c r="U390" s="884"/>
      <c r="V390" s="884"/>
      <c r="W390" s="884"/>
      <c r="X390" s="884"/>
      <c r="Y390" s="884"/>
      <c r="Z390" s="884"/>
      <c r="AA390" s="884"/>
      <c r="AB390" s="1417"/>
      <c r="AC390" s="1456" t="s">
        <v>352</v>
      </c>
    </row>
    <row r="391" spans="1:29" ht="34.35" customHeight="1">
      <c r="A391" s="59" t="s">
        <v>309</v>
      </c>
      <c r="B391" s="64" t="s">
        <v>354</v>
      </c>
      <c r="C391" s="29">
        <v>47</v>
      </c>
      <c r="D391" s="63" t="s">
        <v>41</v>
      </c>
      <c r="E391" s="14" t="s">
        <v>353</v>
      </c>
      <c r="F391" s="2" t="s">
        <v>327</v>
      </c>
      <c r="G391" s="1" t="s">
        <v>40</v>
      </c>
      <c r="H391" s="922">
        <v>0</v>
      </c>
      <c r="I391" s="879">
        <v>45962</v>
      </c>
      <c r="J391" s="921"/>
      <c r="K391" s="884"/>
      <c r="L391" s="884"/>
      <c r="M391" s="884"/>
      <c r="N391" s="884"/>
      <c r="O391" s="884"/>
      <c r="P391" s="884"/>
      <c r="Q391" s="884"/>
      <c r="R391" s="884"/>
      <c r="S391" s="1417"/>
      <c r="T391" s="883"/>
      <c r="U391" s="884"/>
      <c r="V391" s="884"/>
      <c r="W391" s="884"/>
      <c r="X391" s="884"/>
      <c r="Y391" s="884"/>
      <c r="Z391" s="884"/>
      <c r="AA391" s="884"/>
      <c r="AB391" s="1417"/>
      <c r="AC391" s="1457" t="s">
        <v>466</v>
      </c>
    </row>
    <row r="392" spans="1:29" ht="34.35" customHeight="1">
      <c r="A392" s="59" t="s">
        <v>309</v>
      </c>
      <c r="B392" s="64" t="s">
        <v>356</v>
      </c>
      <c r="C392" s="29">
        <v>48</v>
      </c>
      <c r="D392" s="63" t="s">
        <v>41</v>
      </c>
      <c r="E392" s="14" t="s">
        <v>353</v>
      </c>
      <c r="F392" s="2" t="s">
        <v>321</v>
      </c>
      <c r="G392" s="1" t="s">
        <v>40</v>
      </c>
      <c r="H392" s="922">
        <v>0</v>
      </c>
      <c r="I392" s="879">
        <v>45962</v>
      </c>
      <c r="J392" s="921"/>
      <c r="K392" s="884"/>
      <c r="L392" s="884"/>
      <c r="M392" s="884"/>
      <c r="N392" s="884"/>
      <c r="O392" s="884"/>
      <c r="P392" s="884"/>
      <c r="Q392" s="884"/>
      <c r="R392" s="884"/>
      <c r="S392" s="1417"/>
      <c r="T392" s="883"/>
      <c r="U392" s="884"/>
      <c r="V392" s="884"/>
      <c r="W392" s="884"/>
      <c r="X392" s="884"/>
      <c r="Y392" s="884"/>
      <c r="Z392" s="884"/>
      <c r="AA392" s="884"/>
      <c r="AB392" s="1417"/>
      <c r="AC392" s="1457" t="s">
        <v>466</v>
      </c>
    </row>
    <row r="393" spans="1:29" ht="34.35" customHeight="1">
      <c r="A393" s="69" t="s">
        <v>309</v>
      </c>
      <c r="B393" s="11" t="s">
        <v>357</v>
      </c>
      <c r="C393" s="73">
        <v>49</v>
      </c>
      <c r="D393" s="7" t="s">
        <v>41</v>
      </c>
      <c r="E393" s="71" t="s">
        <v>38</v>
      </c>
      <c r="F393" s="2" t="s">
        <v>312</v>
      </c>
      <c r="G393" s="1" t="s">
        <v>41</v>
      </c>
      <c r="I393" s="879">
        <v>45962</v>
      </c>
      <c r="J393" s="931"/>
      <c r="K393" s="887"/>
      <c r="L393" s="887"/>
      <c r="M393" s="887"/>
      <c r="N393" s="887"/>
      <c r="O393" s="887"/>
      <c r="P393" s="887"/>
      <c r="Q393" s="887"/>
      <c r="R393" s="887"/>
      <c r="S393" s="887"/>
      <c r="T393" s="887"/>
      <c r="U393" s="887"/>
      <c r="V393" s="887"/>
      <c r="W393" s="887"/>
      <c r="X393" s="887"/>
      <c r="Y393" s="887"/>
      <c r="Z393" s="887"/>
      <c r="AA393" s="887"/>
      <c r="AC393" s="1459"/>
    </row>
    <row r="394" spans="1:29" ht="34.35" customHeight="1">
      <c r="A394" s="59" t="s">
        <v>309</v>
      </c>
      <c r="B394" s="60" t="s">
        <v>310</v>
      </c>
      <c r="C394" s="29">
        <v>1</v>
      </c>
      <c r="D394" s="5" t="s">
        <v>311</v>
      </c>
      <c r="E394" s="14" t="s">
        <v>38</v>
      </c>
      <c r="F394" s="2" t="s">
        <v>312</v>
      </c>
      <c r="G394" s="2" t="s">
        <v>40</v>
      </c>
      <c r="H394" s="920">
        <v>0</v>
      </c>
      <c r="I394" s="879">
        <v>45992</v>
      </c>
      <c r="J394" s="921"/>
      <c r="K394" s="884"/>
      <c r="L394" s="884"/>
      <c r="M394" s="884"/>
      <c r="N394" s="884"/>
      <c r="O394" s="884"/>
      <c r="P394" s="884"/>
      <c r="Q394" s="884"/>
      <c r="R394" s="884"/>
      <c r="S394" s="1417"/>
      <c r="T394" s="883"/>
      <c r="U394" s="884"/>
      <c r="V394" s="884"/>
      <c r="W394" s="884"/>
      <c r="X394" s="884"/>
      <c r="Y394" s="884"/>
      <c r="Z394" s="884"/>
      <c r="AA394" s="884"/>
      <c r="AB394" s="1417"/>
      <c r="AC394" s="1454"/>
    </row>
    <row r="395" spans="1:29" ht="34.35" customHeight="1">
      <c r="A395" s="59" t="s">
        <v>309</v>
      </c>
      <c r="B395" s="60" t="s">
        <v>310</v>
      </c>
      <c r="C395" s="29">
        <v>2</v>
      </c>
      <c r="D395" s="5" t="s">
        <v>313</v>
      </c>
      <c r="E395" s="14" t="s">
        <v>38</v>
      </c>
      <c r="F395" s="2" t="s">
        <v>312</v>
      </c>
      <c r="G395" s="2" t="s">
        <v>40</v>
      </c>
      <c r="H395" s="920">
        <v>0</v>
      </c>
      <c r="I395" s="879">
        <v>45992</v>
      </c>
      <c r="J395" s="921"/>
      <c r="K395" s="884"/>
      <c r="L395" s="884"/>
      <c r="M395" s="884"/>
      <c r="N395" s="884"/>
      <c r="O395" s="884"/>
      <c r="P395" s="884"/>
      <c r="Q395" s="884"/>
      <c r="R395" s="884"/>
      <c r="S395" s="1417"/>
      <c r="T395" s="883"/>
      <c r="U395" s="884"/>
      <c r="V395" s="884"/>
      <c r="W395" s="884"/>
      <c r="X395" s="884"/>
      <c r="Y395" s="884"/>
      <c r="Z395" s="884"/>
      <c r="AA395" s="884"/>
      <c r="AB395" s="1417"/>
      <c r="AC395" s="1454"/>
    </row>
    <row r="396" spans="1:29" ht="34.35" customHeight="1">
      <c r="A396" s="59" t="s">
        <v>309</v>
      </c>
      <c r="B396" s="60" t="s">
        <v>310</v>
      </c>
      <c r="C396" s="29">
        <v>3</v>
      </c>
      <c r="D396" s="6" t="s">
        <v>314</v>
      </c>
      <c r="E396" s="14" t="s">
        <v>38</v>
      </c>
      <c r="F396" s="2" t="s">
        <v>312</v>
      </c>
      <c r="G396" s="2" t="s">
        <v>40</v>
      </c>
      <c r="H396" s="920">
        <v>0</v>
      </c>
      <c r="I396" s="879">
        <v>45992</v>
      </c>
      <c r="J396" s="921"/>
      <c r="K396" s="884"/>
      <c r="L396" s="884"/>
      <c r="M396" s="884"/>
      <c r="N396" s="884"/>
      <c r="O396" s="884"/>
      <c r="P396" s="884"/>
      <c r="Q396" s="884"/>
      <c r="R396" s="884"/>
      <c r="S396" s="1417"/>
      <c r="T396" s="883"/>
      <c r="U396" s="884"/>
      <c r="V396" s="884"/>
      <c r="W396" s="884"/>
      <c r="X396" s="884"/>
      <c r="Y396" s="884"/>
      <c r="Z396" s="884"/>
      <c r="AA396" s="884"/>
      <c r="AB396" s="1417"/>
      <c r="AC396" s="1455"/>
    </row>
    <row r="397" spans="1:29" ht="34.35" customHeight="1">
      <c r="A397" s="59" t="s">
        <v>309</v>
      </c>
      <c r="B397" s="60" t="s">
        <v>310</v>
      </c>
      <c r="C397" s="29">
        <v>4</v>
      </c>
      <c r="D397" s="5" t="s">
        <v>315</v>
      </c>
      <c r="E397" s="14" t="s">
        <v>38</v>
      </c>
      <c r="F397" s="2" t="s">
        <v>316</v>
      </c>
      <c r="G397" s="2" t="s">
        <v>40</v>
      </c>
      <c r="H397" s="920">
        <v>280</v>
      </c>
      <c r="I397" s="879">
        <v>45992</v>
      </c>
      <c r="J397" s="936"/>
      <c r="K397" s="937">
        <v>1</v>
      </c>
      <c r="L397" s="937"/>
      <c r="M397" s="937"/>
      <c r="N397" s="937"/>
      <c r="O397" s="937"/>
      <c r="P397" s="937"/>
      <c r="Q397" s="937"/>
      <c r="R397" s="937">
        <v>1</v>
      </c>
      <c r="S397" s="1425"/>
      <c r="T397" s="1426"/>
      <c r="U397" s="937"/>
      <c r="V397" s="937">
        <v>10</v>
      </c>
      <c r="W397" s="937"/>
      <c r="X397" s="937">
        <v>1</v>
      </c>
      <c r="Y397" s="937">
        <v>13</v>
      </c>
      <c r="Z397" s="937">
        <v>1</v>
      </c>
      <c r="AA397" s="937"/>
      <c r="AB397" s="1427">
        <v>1</v>
      </c>
      <c r="AC397" s="1456" t="s">
        <v>458</v>
      </c>
    </row>
    <row r="398" spans="1:29" ht="34.35" customHeight="1">
      <c r="A398" s="59" t="s">
        <v>309</v>
      </c>
      <c r="B398" s="60" t="s">
        <v>310</v>
      </c>
      <c r="C398" s="29">
        <v>5</v>
      </c>
      <c r="D398" s="5" t="s">
        <v>315</v>
      </c>
      <c r="E398" s="14" t="s">
        <v>136</v>
      </c>
      <c r="F398" s="2" t="s">
        <v>316</v>
      </c>
      <c r="G398" s="2" t="s">
        <v>40</v>
      </c>
      <c r="H398" s="920">
        <v>106</v>
      </c>
      <c r="I398" s="879">
        <v>45992</v>
      </c>
      <c r="J398" s="936"/>
      <c r="K398" s="938">
        <v>1.7500000000000002E-2</v>
      </c>
      <c r="L398" s="937"/>
      <c r="M398" s="937"/>
      <c r="N398" s="937"/>
      <c r="O398" s="937"/>
      <c r="P398" s="937"/>
      <c r="Q398" s="937"/>
      <c r="R398" s="937">
        <v>1.8525E-2</v>
      </c>
      <c r="S398" s="1425"/>
      <c r="T398" s="1426"/>
      <c r="U398" s="937"/>
      <c r="V398" s="938">
        <v>0.39156999999999997</v>
      </c>
      <c r="W398" s="937"/>
      <c r="X398" s="938">
        <v>2.9899999999999999E-2</v>
      </c>
      <c r="Y398" s="938">
        <f>8.459751+0.6233</f>
        <v>9.0830510000000011</v>
      </c>
      <c r="Z398" s="937">
        <v>2.5000000000000001E-2</v>
      </c>
      <c r="AA398" s="937"/>
      <c r="AB398" s="1427">
        <v>0.28499999999999998</v>
      </c>
      <c r="AC398" s="1456" t="s">
        <v>459</v>
      </c>
    </row>
    <row r="399" spans="1:29" ht="34.35" customHeight="1">
      <c r="A399" s="59" t="s">
        <v>309</v>
      </c>
      <c r="B399" s="60" t="s">
        <v>310</v>
      </c>
      <c r="C399" s="29">
        <v>6</v>
      </c>
      <c r="D399" s="5" t="s">
        <v>317</v>
      </c>
      <c r="E399" s="14" t="s">
        <v>38</v>
      </c>
      <c r="F399" s="2" t="s">
        <v>316</v>
      </c>
      <c r="G399" s="2" t="s">
        <v>40</v>
      </c>
      <c r="H399" s="920">
        <v>0</v>
      </c>
      <c r="I399" s="879">
        <v>45992</v>
      </c>
      <c r="J399" s="921">
        <v>0</v>
      </c>
      <c r="K399" s="884">
        <v>0</v>
      </c>
      <c r="L399" s="884">
        <v>0</v>
      </c>
      <c r="M399" s="884">
        <v>0</v>
      </c>
      <c r="N399" s="884">
        <v>0</v>
      </c>
      <c r="O399" s="884">
        <v>0</v>
      </c>
      <c r="P399" s="884">
        <v>0</v>
      </c>
      <c r="Q399" s="884">
        <v>0</v>
      </c>
      <c r="R399" s="884">
        <v>0</v>
      </c>
      <c r="S399" s="1417">
        <v>0</v>
      </c>
      <c r="T399" s="883">
        <v>0</v>
      </c>
      <c r="U399" s="884">
        <v>0</v>
      </c>
      <c r="V399" s="884">
        <v>0</v>
      </c>
      <c r="W399" s="884">
        <v>0</v>
      </c>
      <c r="X399" s="884">
        <v>0</v>
      </c>
      <c r="Y399" s="884">
        <v>0</v>
      </c>
      <c r="Z399" s="884">
        <v>0</v>
      </c>
      <c r="AA399" s="884">
        <v>0</v>
      </c>
      <c r="AB399" s="1417">
        <v>0</v>
      </c>
      <c r="AC399" s="1454"/>
    </row>
    <row r="400" spans="1:29" ht="34.35" customHeight="1">
      <c r="A400" s="59" t="s">
        <v>309</v>
      </c>
      <c r="B400" s="60" t="s">
        <v>310</v>
      </c>
      <c r="C400" s="29">
        <v>7</v>
      </c>
      <c r="D400" s="5" t="s">
        <v>317</v>
      </c>
      <c r="E400" s="14" t="s">
        <v>136</v>
      </c>
      <c r="F400" s="2" t="s">
        <v>316</v>
      </c>
      <c r="G400" s="2" t="s">
        <v>40</v>
      </c>
      <c r="H400" s="920">
        <v>0</v>
      </c>
      <c r="I400" s="879">
        <v>45992</v>
      </c>
      <c r="J400" s="921">
        <v>0</v>
      </c>
      <c r="K400" s="884">
        <v>0</v>
      </c>
      <c r="L400" s="884">
        <v>0</v>
      </c>
      <c r="M400" s="884">
        <v>0</v>
      </c>
      <c r="N400" s="884">
        <v>0</v>
      </c>
      <c r="O400" s="884">
        <v>0</v>
      </c>
      <c r="P400" s="884">
        <v>0</v>
      </c>
      <c r="Q400" s="884">
        <v>0</v>
      </c>
      <c r="R400" s="884">
        <v>0</v>
      </c>
      <c r="S400" s="1417">
        <v>0</v>
      </c>
      <c r="T400" s="883">
        <v>0</v>
      </c>
      <c r="U400" s="884">
        <v>0</v>
      </c>
      <c r="V400" s="884">
        <v>0</v>
      </c>
      <c r="W400" s="884">
        <v>0</v>
      </c>
      <c r="X400" s="884">
        <v>0</v>
      </c>
      <c r="Y400" s="884">
        <v>0</v>
      </c>
      <c r="Z400" s="884">
        <v>0</v>
      </c>
      <c r="AA400" s="884">
        <v>0</v>
      </c>
      <c r="AB400" s="1417">
        <v>0</v>
      </c>
      <c r="AC400" s="1454"/>
    </row>
    <row r="401" spans="1:29" ht="34.35" customHeight="1">
      <c r="A401" s="59" t="s">
        <v>309</v>
      </c>
      <c r="B401" s="60" t="s">
        <v>310</v>
      </c>
      <c r="C401" s="29">
        <v>8</v>
      </c>
      <c r="D401" s="5" t="s">
        <v>318</v>
      </c>
      <c r="E401" s="14" t="s">
        <v>38</v>
      </c>
      <c r="F401" s="2" t="s">
        <v>316</v>
      </c>
      <c r="G401" s="2" t="s">
        <v>40</v>
      </c>
      <c r="H401" s="920">
        <v>192</v>
      </c>
      <c r="I401" s="879">
        <v>45992</v>
      </c>
      <c r="J401" s="921"/>
      <c r="K401" s="884"/>
      <c r="L401" s="884">
        <v>1</v>
      </c>
      <c r="M401" s="884"/>
      <c r="N401" s="884">
        <v>3</v>
      </c>
      <c r="O401" s="884"/>
      <c r="P401" s="884"/>
      <c r="Q401" s="884"/>
      <c r="R401" s="884"/>
      <c r="S401" s="1417"/>
      <c r="T401" s="883"/>
      <c r="U401" s="884"/>
      <c r="V401" s="884">
        <v>1</v>
      </c>
      <c r="W401" s="884"/>
      <c r="X401" s="884"/>
      <c r="Y401" s="884">
        <v>6</v>
      </c>
      <c r="Z401" s="884"/>
      <c r="AA401" s="884">
        <v>1</v>
      </c>
      <c r="AB401" s="1417"/>
      <c r="AC401" s="1456" t="s">
        <v>460</v>
      </c>
    </row>
    <row r="402" spans="1:29" ht="34.35" customHeight="1">
      <c r="A402" s="59" t="s">
        <v>309</v>
      </c>
      <c r="B402" s="60" t="s">
        <v>310</v>
      </c>
      <c r="C402" s="29">
        <v>9</v>
      </c>
      <c r="D402" s="5" t="s">
        <v>318</v>
      </c>
      <c r="E402" s="14" t="s">
        <v>136</v>
      </c>
      <c r="F402" s="2" t="s">
        <v>316</v>
      </c>
      <c r="G402" s="2" t="s">
        <v>40</v>
      </c>
      <c r="H402" s="920">
        <v>307</v>
      </c>
      <c r="I402" s="879">
        <v>45992</v>
      </c>
      <c r="J402" s="921"/>
      <c r="K402" s="884"/>
      <c r="L402" s="884">
        <v>0.8</v>
      </c>
      <c r="M402" s="884"/>
      <c r="N402" s="884">
        <v>10.6</v>
      </c>
      <c r="O402" s="884"/>
      <c r="P402" s="884"/>
      <c r="Q402" s="884"/>
      <c r="R402" s="884"/>
      <c r="S402" s="1417"/>
      <c r="T402" s="883"/>
      <c r="U402" s="884"/>
      <c r="V402" s="884">
        <v>0.2</v>
      </c>
      <c r="W402" s="884"/>
      <c r="X402" s="884"/>
      <c r="Y402" s="884">
        <v>8.5</v>
      </c>
      <c r="Z402" s="884"/>
      <c r="AA402" s="884">
        <v>0.2</v>
      </c>
      <c r="AB402" s="1417"/>
      <c r="AC402" s="1456" t="s">
        <v>461</v>
      </c>
    </row>
    <row r="403" spans="1:29" ht="34.35" customHeight="1">
      <c r="A403" s="59" t="s">
        <v>309</v>
      </c>
      <c r="B403" s="60" t="s">
        <v>319</v>
      </c>
      <c r="C403" s="29">
        <v>10</v>
      </c>
      <c r="D403" s="5" t="s">
        <v>320</v>
      </c>
      <c r="E403" s="14" t="s">
        <v>38</v>
      </c>
      <c r="F403" s="2" t="s">
        <v>321</v>
      </c>
      <c r="G403" s="2" t="s">
        <v>40</v>
      </c>
      <c r="H403" s="920">
        <v>0</v>
      </c>
      <c r="I403" s="879">
        <v>45992</v>
      </c>
      <c r="J403" s="921">
        <v>0</v>
      </c>
      <c r="K403" s="884">
        <v>0</v>
      </c>
      <c r="L403" s="884">
        <v>0</v>
      </c>
      <c r="M403" s="884">
        <v>0</v>
      </c>
      <c r="N403" s="884">
        <v>0</v>
      </c>
      <c r="O403" s="884">
        <v>0</v>
      </c>
      <c r="P403" s="884">
        <v>0</v>
      </c>
      <c r="Q403" s="884">
        <v>0</v>
      </c>
      <c r="R403" s="884">
        <v>0</v>
      </c>
      <c r="S403" s="1417">
        <v>0</v>
      </c>
      <c r="T403" s="883">
        <v>0</v>
      </c>
      <c r="U403" s="884">
        <v>0</v>
      </c>
      <c r="V403" s="884">
        <v>0</v>
      </c>
      <c r="W403" s="884">
        <v>0</v>
      </c>
      <c r="X403" s="884">
        <v>0</v>
      </c>
      <c r="Y403" s="884">
        <v>0</v>
      </c>
      <c r="Z403" s="884">
        <v>0</v>
      </c>
      <c r="AA403" s="884">
        <v>0</v>
      </c>
      <c r="AB403" s="1417">
        <v>0</v>
      </c>
      <c r="AC403" s="1454"/>
    </row>
    <row r="404" spans="1:29" ht="34.35" customHeight="1">
      <c r="A404" s="59" t="s">
        <v>309</v>
      </c>
      <c r="B404" s="60" t="s">
        <v>319</v>
      </c>
      <c r="C404" s="29">
        <v>11</v>
      </c>
      <c r="D404" s="5" t="s">
        <v>322</v>
      </c>
      <c r="E404" s="14" t="s">
        <v>38</v>
      </c>
      <c r="F404" s="2" t="s">
        <v>321</v>
      </c>
      <c r="G404" s="2" t="s">
        <v>40</v>
      </c>
      <c r="H404" s="920">
        <v>0</v>
      </c>
      <c r="I404" s="879">
        <v>45992</v>
      </c>
      <c r="J404" s="921">
        <v>0</v>
      </c>
      <c r="K404" s="884">
        <v>0</v>
      </c>
      <c r="L404" s="884">
        <v>0</v>
      </c>
      <c r="M404" s="884">
        <v>0</v>
      </c>
      <c r="N404" s="884">
        <v>0</v>
      </c>
      <c r="O404" s="884">
        <v>0</v>
      </c>
      <c r="P404" s="884">
        <v>0</v>
      </c>
      <c r="Q404" s="884">
        <v>0</v>
      </c>
      <c r="R404" s="884">
        <v>0</v>
      </c>
      <c r="S404" s="1417">
        <v>0</v>
      </c>
      <c r="T404" s="883">
        <v>0</v>
      </c>
      <c r="U404" s="884">
        <v>0</v>
      </c>
      <c r="V404" s="884">
        <v>0</v>
      </c>
      <c r="W404" s="884">
        <v>0</v>
      </c>
      <c r="X404" s="884">
        <v>0</v>
      </c>
      <c r="Y404" s="884">
        <v>0</v>
      </c>
      <c r="Z404" s="884">
        <v>0</v>
      </c>
      <c r="AA404" s="884">
        <v>0</v>
      </c>
      <c r="AB404" s="1417">
        <v>0</v>
      </c>
      <c r="AC404" s="1454"/>
    </row>
    <row r="405" spans="1:29" ht="34.35" customHeight="1">
      <c r="A405" s="59" t="s">
        <v>309</v>
      </c>
      <c r="B405" s="60" t="s">
        <v>319</v>
      </c>
      <c r="C405" s="29">
        <v>12</v>
      </c>
      <c r="D405" s="5" t="s">
        <v>313</v>
      </c>
      <c r="E405" s="14" t="s">
        <v>38</v>
      </c>
      <c r="F405" s="2" t="s">
        <v>321</v>
      </c>
      <c r="G405" s="2" t="s">
        <v>40</v>
      </c>
      <c r="H405" s="920">
        <v>0</v>
      </c>
      <c r="I405" s="879">
        <v>45992</v>
      </c>
      <c r="J405" s="921">
        <v>0</v>
      </c>
      <c r="K405" s="884">
        <v>0</v>
      </c>
      <c r="L405" s="884">
        <v>0</v>
      </c>
      <c r="M405" s="884">
        <v>0</v>
      </c>
      <c r="N405" s="884">
        <v>0</v>
      </c>
      <c r="O405" s="884">
        <v>0</v>
      </c>
      <c r="P405" s="884">
        <v>0</v>
      </c>
      <c r="Q405" s="884">
        <v>0</v>
      </c>
      <c r="R405" s="884">
        <v>0</v>
      </c>
      <c r="S405" s="1417">
        <v>0</v>
      </c>
      <c r="T405" s="883">
        <v>0</v>
      </c>
      <c r="U405" s="884">
        <v>0</v>
      </c>
      <c r="V405" s="884">
        <v>0</v>
      </c>
      <c r="W405" s="884">
        <v>0</v>
      </c>
      <c r="X405" s="884">
        <v>1</v>
      </c>
      <c r="Y405" s="884">
        <v>0</v>
      </c>
      <c r="Z405" s="884">
        <v>0</v>
      </c>
      <c r="AA405" s="884">
        <v>0</v>
      </c>
      <c r="AB405" s="1417">
        <v>0</v>
      </c>
      <c r="AC405" s="1454"/>
    </row>
    <row r="406" spans="1:29" ht="34.35" customHeight="1">
      <c r="A406" s="59" t="s">
        <v>309</v>
      </c>
      <c r="B406" s="60" t="s">
        <v>319</v>
      </c>
      <c r="C406" s="29">
        <v>13</v>
      </c>
      <c r="D406" s="5" t="s">
        <v>323</v>
      </c>
      <c r="E406" s="14" t="s">
        <v>38</v>
      </c>
      <c r="F406" s="2" t="s">
        <v>321</v>
      </c>
      <c r="G406" s="2" t="s">
        <v>40</v>
      </c>
      <c r="H406" s="920">
        <v>5</v>
      </c>
      <c r="I406" s="879">
        <v>45992</v>
      </c>
      <c r="J406" s="921" t="s">
        <v>41</v>
      </c>
      <c r="K406" s="884" t="s">
        <v>41</v>
      </c>
      <c r="L406" s="884" t="s">
        <v>41</v>
      </c>
      <c r="M406" s="884" t="s">
        <v>41</v>
      </c>
      <c r="N406" s="884" t="s">
        <v>41</v>
      </c>
      <c r="O406" s="884" t="s">
        <v>41</v>
      </c>
      <c r="P406" s="884" t="s">
        <v>41</v>
      </c>
      <c r="Q406" s="884" t="s">
        <v>41</v>
      </c>
      <c r="R406" s="884" t="s">
        <v>41</v>
      </c>
      <c r="S406" s="1417" t="s">
        <v>41</v>
      </c>
      <c r="T406" s="883" t="s">
        <v>41</v>
      </c>
      <c r="U406" s="884" t="s">
        <v>41</v>
      </c>
      <c r="V406" s="884" t="s">
        <v>41</v>
      </c>
      <c r="W406" s="884" t="s">
        <v>41</v>
      </c>
      <c r="X406" s="884" t="s">
        <v>41</v>
      </c>
      <c r="Y406" s="884" t="s">
        <v>41</v>
      </c>
      <c r="Z406" s="884" t="s">
        <v>41</v>
      </c>
      <c r="AA406" s="884" t="s">
        <v>41</v>
      </c>
      <c r="AB406" s="1417" t="s">
        <v>41</v>
      </c>
      <c r="AC406" s="1454"/>
    </row>
    <row r="407" spans="1:29" ht="34.35" customHeight="1">
      <c r="A407" s="59" t="s">
        <v>309</v>
      </c>
      <c r="B407" s="61" t="s">
        <v>324</v>
      </c>
      <c r="C407" s="29">
        <v>14</v>
      </c>
      <c r="D407" s="5" t="s">
        <v>311</v>
      </c>
      <c r="E407" s="14" t="s">
        <v>38</v>
      </c>
      <c r="F407" s="2" t="s">
        <v>312</v>
      </c>
      <c r="G407" s="2" t="s">
        <v>40</v>
      </c>
      <c r="H407" s="922">
        <v>0</v>
      </c>
      <c r="I407" s="879">
        <v>45992</v>
      </c>
      <c r="J407" s="921"/>
      <c r="K407" s="884"/>
      <c r="L407" s="884"/>
      <c r="M407" s="884"/>
      <c r="N407" s="884"/>
      <c r="O407" s="884"/>
      <c r="P407" s="884"/>
      <c r="Q407" s="884"/>
      <c r="R407" s="884"/>
      <c r="S407" s="1417"/>
      <c r="T407" s="883"/>
      <c r="U407" s="884"/>
      <c r="V407" s="884"/>
      <c r="W407" s="884"/>
      <c r="X407" s="884"/>
      <c r="Y407" s="884"/>
      <c r="Z407" s="884"/>
      <c r="AA407" s="884"/>
      <c r="AB407" s="1417"/>
      <c r="AC407" s="1454"/>
    </row>
    <row r="408" spans="1:29" ht="34.35" customHeight="1">
      <c r="A408" s="59" t="s">
        <v>309</v>
      </c>
      <c r="B408" s="61" t="s">
        <v>324</v>
      </c>
      <c r="C408" s="29">
        <v>15</v>
      </c>
      <c r="D408" s="5" t="s">
        <v>313</v>
      </c>
      <c r="E408" s="14" t="s">
        <v>38</v>
      </c>
      <c r="F408" s="2" t="s">
        <v>312</v>
      </c>
      <c r="G408" s="2" t="s">
        <v>40</v>
      </c>
      <c r="H408" s="922">
        <v>0</v>
      </c>
      <c r="I408" s="879">
        <v>45992</v>
      </c>
      <c r="J408" s="921"/>
      <c r="K408" s="884"/>
      <c r="L408" s="884"/>
      <c r="M408" s="884"/>
      <c r="N408" s="884"/>
      <c r="O408" s="884"/>
      <c r="P408" s="884"/>
      <c r="Q408" s="884"/>
      <c r="R408" s="884"/>
      <c r="S408" s="1417"/>
      <c r="T408" s="883"/>
      <c r="U408" s="884"/>
      <c r="V408" s="884"/>
      <c r="W408" s="884"/>
      <c r="X408" s="884"/>
      <c r="Y408" s="884"/>
      <c r="Z408" s="884"/>
      <c r="AA408" s="884"/>
      <c r="AB408" s="1417"/>
      <c r="AC408" s="1454"/>
    </row>
    <row r="409" spans="1:29" ht="34.35" customHeight="1">
      <c r="A409" s="59" t="s">
        <v>309</v>
      </c>
      <c r="B409" s="61" t="s">
        <v>324</v>
      </c>
      <c r="C409" s="29">
        <v>16</v>
      </c>
      <c r="D409" s="6" t="s">
        <v>314</v>
      </c>
      <c r="E409" s="14" t="s">
        <v>38</v>
      </c>
      <c r="F409" s="2" t="s">
        <v>312</v>
      </c>
      <c r="G409" s="2" t="s">
        <v>40</v>
      </c>
      <c r="H409" s="922">
        <v>0</v>
      </c>
      <c r="I409" s="879">
        <v>45992</v>
      </c>
      <c r="J409" s="921"/>
      <c r="K409" s="884"/>
      <c r="L409" s="884"/>
      <c r="M409" s="884"/>
      <c r="N409" s="884"/>
      <c r="O409" s="884"/>
      <c r="P409" s="884"/>
      <c r="Q409" s="884"/>
      <c r="R409" s="884"/>
      <c r="S409" s="1417"/>
      <c r="T409" s="883"/>
      <c r="U409" s="884"/>
      <c r="V409" s="884"/>
      <c r="W409" s="884"/>
      <c r="X409" s="884"/>
      <c r="Y409" s="884"/>
      <c r="Z409" s="884"/>
      <c r="AA409" s="884"/>
      <c r="AB409" s="1417"/>
      <c r="AC409" s="1455"/>
    </row>
    <row r="410" spans="1:29" ht="34.35" customHeight="1">
      <c r="A410" s="59" t="s">
        <v>309</v>
      </c>
      <c r="B410" s="61" t="s">
        <v>325</v>
      </c>
      <c r="C410" s="29">
        <v>17</v>
      </c>
      <c r="D410" s="5" t="s">
        <v>326</v>
      </c>
      <c r="E410" s="14" t="s">
        <v>38</v>
      </c>
      <c r="F410" s="2" t="s">
        <v>327</v>
      </c>
      <c r="G410" s="2" t="s">
        <v>40</v>
      </c>
      <c r="H410" s="922">
        <v>0</v>
      </c>
      <c r="I410" s="879">
        <v>45992</v>
      </c>
      <c r="J410" s="921"/>
      <c r="K410" s="884"/>
      <c r="L410" s="884"/>
      <c r="M410" s="884"/>
      <c r="N410" s="884"/>
      <c r="O410" s="884"/>
      <c r="P410" s="884"/>
      <c r="Q410" s="884"/>
      <c r="R410" s="884"/>
      <c r="S410" s="1417"/>
      <c r="T410" s="883"/>
      <c r="U410" s="884"/>
      <c r="V410" s="884"/>
      <c r="W410" s="884"/>
      <c r="X410" s="884"/>
      <c r="Y410" s="884"/>
      <c r="Z410" s="884"/>
      <c r="AA410" s="884"/>
      <c r="AB410" s="1417"/>
      <c r="AC410" s="1454"/>
    </row>
    <row r="411" spans="1:29" ht="34.35" customHeight="1">
      <c r="A411" s="59" t="s">
        <v>309</v>
      </c>
      <c r="B411" s="61" t="s">
        <v>325</v>
      </c>
      <c r="C411" s="29">
        <v>18</v>
      </c>
      <c r="D411" s="5" t="s">
        <v>326</v>
      </c>
      <c r="E411" s="14" t="s">
        <v>136</v>
      </c>
      <c r="F411" s="2" t="s">
        <v>327</v>
      </c>
      <c r="G411" s="2" t="s">
        <v>40</v>
      </c>
      <c r="H411" s="922">
        <v>0</v>
      </c>
      <c r="I411" s="879">
        <v>45992</v>
      </c>
      <c r="J411" s="921"/>
      <c r="K411" s="884"/>
      <c r="L411" s="884"/>
      <c r="M411" s="884"/>
      <c r="N411" s="884"/>
      <c r="O411" s="884"/>
      <c r="P411" s="884"/>
      <c r="Q411" s="884"/>
      <c r="R411" s="884"/>
      <c r="S411" s="1417"/>
      <c r="T411" s="883"/>
      <c r="U411" s="884"/>
      <c r="V411" s="884"/>
      <c r="W411" s="884"/>
      <c r="X411" s="884"/>
      <c r="Y411" s="884"/>
      <c r="Z411" s="884"/>
      <c r="AA411" s="884"/>
      <c r="AB411" s="1417"/>
      <c r="AC411" s="1454"/>
    </row>
    <row r="412" spans="1:29" ht="34.35" customHeight="1">
      <c r="A412" s="59" t="s">
        <v>309</v>
      </c>
      <c r="B412" s="61" t="s">
        <v>325</v>
      </c>
      <c r="C412" s="29">
        <v>19</v>
      </c>
      <c r="D412" s="6" t="s">
        <v>328</v>
      </c>
      <c r="E412" s="14" t="s">
        <v>38</v>
      </c>
      <c r="F412" s="2" t="s">
        <v>327</v>
      </c>
      <c r="G412" s="2" t="s">
        <v>40</v>
      </c>
      <c r="H412" s="922" t="s">
        <v>41</v>
      </c>
      <c r="I412" s="879">
        <v>45992</v>
      </c>
      <c r="J412" s="921"/>
      <c r="K412" s="884"/>
      <c r="L412" s="884"/>
      <c r="M412" s="884"/>
      <c r="N412" s="884"/>
      <c r="O412" s="884"/>
      <c r="P412" s="884"/>
      <c r="Q412" s="884"/>
      <c r="R412" s="884"/>
      <c r="S412" s="1417"/>
      <c r="T412" s="883"/>
      <c r="U412" s="884"/>
      <c r="V412" s="884"/>
      <c r="W412" s="884"/>
      <c r="X412" s="884"/>
      <c r="Y412" s="884"/>
      <c r="Z412" s="884"/>
      <c r="AA412" s="884"/>
      <c r="AB412" s="1417"/>
      <c r="AC412" s="1455"/>
    </row>
    <row r="413" spans="1:29" ht="34.35" customHeight="1">
      <c r="A413" s="59" t="s">
        <v>309</v>
      </c>
      <c r="B413" s="61" t="s">
        <v>325</v>
      </c>
      <c r="C413" s="29">
        <v>20</v>
      </c>
      <c r="D413" s="6" t="s">
        <v>328</v>
      </c>
      <c r="E413" s="14" t="s">
        <v>136</v>
      </c>
      <c r="F413" s="2" t="s">
        <v>327</v>
      </c>
      <c r="G413" s="2" t="s">
        <v>40</v>
      </c>
      <c r="H413" s="922" t="s">
        <v>41</v>
      </c>
      <c r="I413" s="879">
        <v>45992</v>
      </c>
      <c r="J413" s="921"/>
      <c r="K413" s="884"/>
      <c r="L413" s="884"/>
      <c r="M413" s="884"/>
      <c r="N413" s="884"/>
      <c r="O413" s="884"/>
      <c r="P413" s="884"/>
      <c r="Q413" s="884"/>
      <c r="R413" s="884"/>
      <c r="S413" s="1417"/>
      <c r="T413" s="883"/>
      <c r="U413" s="884"/>
      <c r="V413" s="884"/>
      <c r="W413" s="884"/>
      <c r="X413" s="884"/>
      <c r="Y413" s="884"/>
      <c r="Z413" s="884"/>
      <c r="AA413" s="884"/>
      <c r="AB413" s="1417"/>
      <c r="AC413" s="1455"/>
    </row>
    <row r="414" spans="1:29" ht="34.35" customHeight="1">
      <c r="A414" s="59" t="s">
        <v>309</v>
      </c>
      <c r="B414" s="61" t="s">
        <v>325</v>
      </c>
      <c r="C414" s="29">
        <v>21</v>
      </c>
      <c r="D414" s="6" t="s">
        <v>329</v>
      </c>
      <c r="E414" s="14" t="s">
        <v>38</v>
      </c>
      <c r="F414" s="2" t="s">
        <v>327</v>
      </c>
      <c r="G414" s="2" t="s">
        <v>40</v>
      </c>
      <c r="H414" s="922" t="s">
        <v>41</v>
      </c>
      <c r="I414" s="879">
        <v>45992</v>
      </c>
      <c r="J414" s="921"/>
      <c r="K414" s="884"/>
      <c r="L414" s="884"/>
      <c r="M414" s="884">
        <v>1</v>
      </c>
      <c r="N414" s="884"/>
      <c r="O414" s="884"/>
      <c r="P414" s="884">
        <v>1</v>
      </c>
      <c r="Q414" s="884"/>
      <c r="R414" s="884"/>
      <c r="S414" s="1417">
        <v>3</v>
      </c>
      <c r="T414" s="883"/>
      <c r="U414" s="884"/>
      <c r="V414" s="884">
        <f>7+1</f>
        <v>8</v>
      </c>
      <c r="W414" s="884">
        <v>1</v>
      </c>
      <c r="X414" s="884">
        <f>3+20</f>
        <v>23</v>
      </c>
      <c r="Y414" s="884">
        <f>114+58</f>
        <v>172</v>
      </c>
      <c r="Z414" s="884">
        <f>2+1</f>
        <v>3</v>
      </c>
      <c r="AA414" s="884"/>
      <c r="AB414" s="1417">
        <v>8</v>
      </c>
      <c r="AC414" s="1455"/>
    </row>
    <row r="415" spans="1:29" ht="34.35" customHeight="1">
      <c r="A415" s="59" t="s">
        <v>309</v>
      </c>
      <c r="B415" s="61" t="s">
        <v>325</v>
      </c>
      <c r="C415" s="29">
        <v>22</v>
      </c>
      <c r="D415" s="6" t="s">
        <v>329</v>
      </c>
      <c r="E415" s="14" t="s">
        <v>136</v>
      </c>
      <c r="F415" s="2" t="s">
        <v>327</v>
      </c>
      <c r="G415" s="2" t="s">
        <v>40</v>
      </c>
      <c r="H415" s="922" t="s">
        <v>41</v>
      </c>
      <c r="I415" s="879">
        <v>45992</v>
      </c>
      <c r="J415" s="921"/>
      <c r="K415" s="884"/>
      <c r="L415" s="884"/>
      <c r="M415" s="884">
        <v>1.5</v>
      </c>
      <c r="N415" s="884"/>
      <c r="O415" s="884"/>
      <c r="P415" s="884">
        <v>2.5000000000000001E-2</v>
      </c>
      <c r="Q415" s="884"/>
      <c r="R415" s="884"/>
      <c r="S415" s="1417">
        <v>1.4</v>
      </c>
      <c r="T415" s="883"/>
      <c r="U415" s="884"/>
      <c r="V415" s="884">
        <f>4.6+0.037</f>
        <v>4.6369999999999996</v>
      </c>
      <c r="W415" s="884">
        <v>2.2000000000000002</v>
      </c>
      <c r="X415" s="884">
        <f>2.4+25.02</f>
        <v>27.419999999999998</v>
      </c>
      <c r="Y415" s="884">
        <f>75.61+10.21</f>
        <v>85.82</v>
      </c>
      <c r="Z415" s="884">
        <f>0.75+0.023</f>
        <v>0.77300000000000002</v>
      </c>
      <c r="AA415" s="884"/>
      <c r="AB415" s="1417">
        <v>8.27</v>
      </c>
      <c r="AC415" s="1455"/>
    </row>
    <row r="416" spans="1:29" ht="34.35" customHeight="1">
      <c r="A416" s="59" t="s">
        <v>309</v>
      </c>
      <c r="B416" s="61" t="s">
        <v>325</v>
      </c>
      <c r="C416" s="29">
        <v>23</v>
      </c>
      <c r="D416" s="6" t="s">
        <v>462</v>
      </c>
      <c r="E416" s="14" t="s">
        <v>38</v>
      </c>
      <c r="F416" s="2" t="s">
        <v>327</v>
      </c>
      <c r="G416" s="2" t="s">
        <v>40</v>
      </c>
      <c r="H416" s="922" t="s">
        <v>41</v>
      </c>
      <c r="I416" s="879">
        <v>45992</v>
      </c>
      <c r="J416" s="921"/>
      <c r="K416" s="884">
        <f>7+2+1</f>
        <v>10</v>
      </c>
      <c r="L416" s="884">
        <v>4</v>
      </c>
      <c r="M416" s="884"/>
      <c r="N416" s="884"/>
      <c r="O416" s="884"/>
      <c r="P416" s="884"/>
      <c r="Q416" s="884"/>
      <c r="R416" s="884">
        <v>1</v>
      </c>
      <c r="S416" s="1417">
        <v>38</v>
      </c>
      <c r="T416" s="883"/>
      <c r="U416" s="884"/>
      <c r="V416" s="884">
        <v>3</v>
      </c>
      <c r="W416" s="884"/>
      <c r="X416" s="884">
        <v>3</v>
      </c>
      <c r="Y416" s="884">
        <f>132+43</f>
        <v>175</v>
      </c>
      <c r="Z416" s="884">
        <v>5</v>
      </c>
      <c r="AA416" s="884"/>
      <c r="AB416" s="1417"/>
      <c r="AC416" s="1455"/>
    </row>
    <row r="417" spans="1:29" ht="34.35" customHeight="1">
      <c r="A417" s="59" t="s">
        <v>309</v>
      </c>
      <c r="B417" s="61" t="s">
        <v>325</v>
      </c>
      <c r="C417" s="29">
        <v>24</v>
      </c>
      <c r="D417" s="6" t="s">
        <v>462</v>
      </c>
      <c r="E417" s="14" t="s">
        <v>136</v>
      </c>
      <c r="F417" s="2" t="s">
        <v>327</v>
      </c>
      <c r="G417" s="2" t="s">
        <v>40</v>
      </c>
      <c r="H417" s="922" t="s">
        <v>41</v>
      </c>
      <c r="I417" s="879">
        <v>45992</v>
      </c>
      <c r="J417" s="921"/>
      <c r="K417" s="884">
        <v>3.15</v>
      </c>
      <c r="L417" s="884">
        <f>0.3+0.44</f>
        <v>0.74</v>
      </c>
      <c r="M417" s="884"/>
      <c r="N417" s="884"/>
      <c r="O417" s="884"/>
      <c r="P417" s="884"/>
      <c r="Q417" s="884"/>
      <c r="R417" s="884">
        <v>0.18</v>
      </c>
      <c r="S417" s="1417">
        <v>17.13</v>
      </c>
      <c r="T417" s="883"/>
      <c r="U417" s="884"/>
      <c r="V417" s="884">
        <v>0.37</v>
      </c>
      <c r="W417" s="884"/>
      <c r="X417" s="884">
        <v>1.33</v>
      </c>
      <c r="Y417" s="884">
        <f>80.61+28.58</f>
        <v>109.19</v>
      </c>
      <c r="Z417" s="884">
        <v>2.86</v>
      </c>
      <c r="AA417" s="884"/>
      <c r="AB417" s="1417"/>
      <c r="AC417" s="1455"/>
    </row>
    <row r="418" spans="1:29" ht="34.35" customHeight="1">
      <c r="A418" s="59" t="s">
        <v>309</v>
      </c>
      <c r="B418" s="61" t="s">
        <v>325</v>
      </c>
      <c r="C418" s="29">
        <v>25</v>
      </c>
      <c r="D418" s="5" t="s">
        <v>331</v>
      </c>
      <c r="E418" s="14" t="s">
        <v>38</v>
      </c>
      <c r="F418" s="2" t="s">
        <v>327</v>
      </c>
      <c r="G418" s="2" t="s">
        <v>332</v>
      </c>
      <c r="H418" s="922">
        <v>0</v>
      </c>
      <c r="I418" s="879">
        <v>45992</v>
      </c>
      <c r="J418" s="921"/>
      <c r="K418" s="884">
        <v>1</v>
      </c>
      <c r="L418" s="884">
        <f>2+3</f>
        <v>5</v>
      </c>
      <c r="M418" s="884">
        <v>1</v>
      </c>
      <c r="N418" s="884"/>
      <c r="O418" s="884"/>
      <c r="P418" s="884"/>
      <c r="Q418" s="884"/>
      <c r="R418" s="884"/>
      <c r="S418" s="1417">
        <v>2</v>
      </c>
      <c r="T418" s="883"/>
      <c r="U418" s="884"/>
      <c r="V418" s="884"/>
      <c r="W418" s="884"/>
      <c r="X418" s="884">
        <v>2</v>
      </c>
      <c r="Y418" s="884">
        <f>19+3</f>
        <v>22</v>
      </c>
      <c r="Z418" s="884"/>
      <c r="AA418" s="884"/>
      <c r="AB418" s="1417"/>
      <c r="AC418" s="1454"/>
    </row>
    <row r="419" spans="1:29" ht="34.35" customHeight="1">
      <c r="A419" s="59" t="s">
        <v>309</v>
      </c>
      <c r="B419" s="61" t="s">
        <v>325</v>
      </c>
      <c r="C419" s="29">
        <v>26</v>
      </c>
      <c r="D419" s="5" t="s">
        <v>463</v>
      </c>
      <c r="E419" s="14" t="s">
        <v>136</v>
      </c>
      <c r="F419" s="2" t="s">
        <v>327</v>
      </c>
      <c r="G419" s="2" t="s">
        <v>332</v>
      </c>
      <c r="H419" s="922">
        <v>0</v>
      </c>
      <c r="I419" s="879">
        <v>45992</v>
      </c>
      <c r="J419" s="921"/>
      <c r="K419" s="884">
        <v>0.42899999999999999</v>
      </c>
      <c r="L419" s="884">
        <f>0.37+0.69</f>
        <v>1.06</v>
      </c>
      <c r="M419" s="884">
        <v>0.53</v>
      </c>
      <c r="N419" s="884"/>
      <c r="O419" s="884"/>
      <c r="P419" s="884"/>
      <c r="Q419" s="884"/>
      <c r="R419" s="884"/>
      <c r="S419" s="1417">
        <v>3.5</v>
      </c>
      <c r="T419" s="883"/>
      <c r="U419" s="884"/>
      <c r="V419" s="884"/>
      <c r="W419" s="884"/>
      <c r="X419" s="884">
        <v>1.7</v>
      </c>
      <c r="Y419" s="884">
        <f>32.54+3.25</f>
        <v>35.79</v>
      </c>
      <c r="Z419" s="884"/>
      <c r="AA419" s="884"/>
      <c r="AB419" s="1417"/>
      <c r="AC419" s="1454"/>
    </row>
    <row r="420" spans="1:29" ht="34.35" customHeight="1">
      <c r="A420" s="59" t="s">
        <v>309</v>
      </c>
      <c r="B420" s="61" t="s">
        <v>325</v>
      </c>
      <c r="C420" s="29">
        <v>27</v>
      </c>
      <c r="D420" s="5" t="s">
        <v>464</v>
      </c>
      <c r="E420" s="14" t="s">
        <v>38</v>
      </c>
      <c r="F420" s="2" t="s">
        <v>327</v>
      </c>
      <c r="G420" s="2" t="s">
        <v>332</v>
      </c>
      <c r="H420" s="922">
        <v>0</v>
      </c>
      <c r="I420" s="879">
        <v>45992</v>
      </c>
      <c r="J420" s="921"/>
      <c r="K420" s="884"/>
      <c r="L420" s="884"/>
      <c r="M420" s="884"/>
      <c r="N420" s="884"/>
      <c r="O420" s="884"/>
      <c r="P420" s="884"/>
      <c r="Q420" s="884"/>
      <c r="R420" s="884"/>
      <c r="S420" s="1417"/>
      <c r="T420" s="883"/>
      <c r="U420" s="884"/>
      <c r="V420" s="884"/>
      <c r="W420" s="884"/>
      <c r="X420" s="884">
        <v>19</v>
      </c>
      <c r="Y420" s="884">
        <f>7+1</f>
        <v>8</v>
      </c>
      <c r="Z420" s="884"/>
      <c r="AA420" s="884"/>
      <c r="AB420" s="1417"/>
      <c r="AC420" s="1454"/>
    </row>
    <row r="421" spans="1:29" ht="34.35" customHeight="1">
      <c r="A421" s="59" t="s">
        <v>309</v>
      </c>
      <c r="B421" s="61" t="s">
        <v>325</v>
      </c>
      <c r="C421" s="29">
        <v>28</v>
      </c>
      <c r="D421" s="5" t="s">
        <v>464</v>
      </c>
      <c r="E421" s="14" t="s">
        <v>136</v>
      </c>
      <c r="F421" s="2" t="s">
        <v>327</v>
      </c>
      <c r="G421" s="2" t="s">
        <v>332</v>
      </c>
      <c r="H421" s="922">
        <v>0</v>
      </c>
      <c r="I421" s="879">
        <v>45992</v>
      </c>
      <c r="J421" s="921"/>
      <c r="K421" s="884"/>
      <c r="L421" s="884"/>
      <c r="M421" s="884"/>
      <c r="N421" s="884"/>
      <c r="O421" s="884"/>
      <c r="P421" s="884"/>
      <c r="Q421" s="884"/>
      <c r="R421" s="884"/>
      <c r="S421" s="1417"/>
      <c r="T421" s="883"/>
      <c r="U421" s="884"/>
      <c r="V421" s="884"/>
      <c r="W421" s="884"/>
      <c r="X421" s="884">
        <v>22.97</v>
      </c>
      <c r="Y421" s="884">
        <f>9.035+1.06</f>
        <v>10.095000000000001</v>
      </c>
      <c r="Z421" s="884"/>
      <c r="AA421" s="884"/>
      <c r="AB421" s="1417"/>
      <c r="AC421" s="1454"/>
    </row>
    <row r="422" spans="1:29" ht="34.35" customHeight="1">
      <c r="A422" s="59" t="s">
        <v>309</v>
      </c>
      <c r="B422" s="61" t="s">
        <v>325</v>
      </c>
      <c r="C422" s="29">
        <v>29</v>
      </c>
      <c r="D422" s="5" t="s">
        <v>336</v>
      </c>
      <c r="E422" s="14" t="s">
        <v>38</v>
      </c>
      <c r="F422" s="2" t="s">
        <v>316</v>
      </c>
      <c r="G422" s="2" t="s">
        <v>40</v>
      </c>
      <c r="H422" s="922">
        <v>0</v>
      </c>
      <c r="I422" s="879">
        <v>45992</v>
      </c>
      <c r="J422" s="921"/>
      <c r="K422" s="884"/>
      <c r="L422" s="884"/>
      <c r="M422" s="884"/>
      <c r="N422" s="884"/>
      <c r="O422" s="884"/>
      <c r="P422" s="884"/>
      <c r="Q422" s="884"/>
      <c r="R422" s="884"/>
      <c r="S422" s="1417"/>
      <c r="T422" s="883">
        <v>1</v>
      </c>
      <c r="U422" s="884"/>
      <c r="V422" s="884">
        <f>42+4</f>
        <v>46</v>
      </c>
      <c r="W422" s="884"/>
      <c r="X422" s="884">
        <f>11+2</f>
        <v>13</v>
      </c>
      <c r="Y422" s="884">
        <f>15+1</f>
        <v>16</v>
      </c>
      <c r="Z422" s="884">
        <v>12</v>
      </c>
      <c r="AA422" s="884">
        <f>92+3</f>
        <v>95</v>
      </c>
      <c r="AB422" s="1417">
        <v>1</v>
      </c>
      <c r="AC422" s="1454"/>
    </row>
    <row r="423" spans="1:29" ht="34.35" customHeight="1">
      <c r="A423" s="59" t="s">
        <v>309</v>
      </c>
      <c r="B423" s="61" t="s">
        <v>325</v>
      </c>
      <c r="C423" s="29">
        <v>30</v>
      </c>
      <c r="D423" s="5" t="s">
        <v>336</v>
      </c>
      <c r="E423" s="14" t="s">
        <v>136</v>
      </c>
      <c r="F423" s="2" t="s">
        <v>316</v>
      </c>
      <c r="G423" s="2" t="s">
        <v>40</v>
      </c>
      <c r="H423" s="922">
        <v>0</v>
      </c>
      <c r="I423" s="879">
        <v>45992</v>
      </c>
      <c r="J423" s="921"/>
      <c r="K423" s="884"/>
      <c r="L423" s="884"/>
      <c r="M423" s="884"/>
      <c r="N423" s="884"/>
      <c r="O423" s="884"/>
      <c r="P423" s="884"/>
      <c r="Q423" s="884"/>
      <c r="R423" s="884"/>
      <c r="S423" s="1417"/>
      <c r="T423" s="886">
        <v>0.88690000000000002</v>
      </c>
      <c r="U423" s="884"/>
      <c r="V423" s="887">
        <f>4.5237096+1.36</f>
        <v>5.8837096000000004</v>
      </c>
      <c r="W423" s="887"/>
      <c r="X423" s="1451">
        <f>0.968249+1.79</f>
        <v>2.7582490000000002</v>
      </c>
      <c r="Y423" s="887">
        <f>2.11+0.03</f>
        <v>2.1399999999999997</v>
      </c>
      <c r="Z423" s="887">
        <v>0.312</v>
      </c>
      <c r="AA423" s="887">
        <f>6.68+0.66</f>
        <v>7.34</v>
      </c>
      <c r="AB423" s="1452">
        <v>3.3599999999999998E-4</v>
      </c>
      <c r="AC423" s="1454"/>
    </row>
    <row r="424" spans="1:29" ht="34.35" customHeight="1">
      <c r="A424" s="59" t="s">
        <v>309</v>
      </c>
      <c r="B424" s="61" t="s">
        <v>325</v>
      </c>
      <c r="C424" s="29">
        <v>31</v>
      </c>
      <c r="D424" s="5" t="s">
        <v>338</v>
      </c>
      <c r="E424" s="14" t="s">
        <v>38</v>
      </c>
      <c r="F424" s="2" t="s">
        <v>316</v>
      </c>
      <c r="G424" s="2" t="s">
        <v>40</v>
      </c>
      <c r="H424" s="922">
        <v>0</v>
      </c>
      <c r="I424" s="879">
        <v>45992</v>
      </c>
      <c r="J424" s="921"/>
      <c r="K424" s="884"/>
      <c r="L424" s="884"/>
      <c r="M424" s="884"/>
      <c r="N424" s="884">
        <v>1</v>
      </c>
      <c r="O424" s="884">
        <v>4</v>
      </c>
      <c r="P424" s="884"/>
      <c r="Q424" s="884"/>
      <c r="R424" s="884"/>
      <c r="S424" s="1417">
        <v>5</v>
      </c>
      <c r="T424" s="883"/>
      <c r="U424" s="884">
        <v>1</v>
      </c>
      <c r="V424" s="884">
        <v>5</v>
      </c>
      <c r="W424" s="884">
        <v>2</v>
      </c>
      <c r="X424" s="884">
        <f>5+25</f>
        <v>30</v>
      </c>
      <c r="Y424" s="884">
        <f>75+12</f>
        <v>87</v>
      </c>
      <c r="Z424" s="884">
        <v>1</v>
      </c>
      <c r="AA424" s="884">
        <v>19</v>
      </c>
      <c r="AB424" s="1417">
        <v>1</v>
      </c>
      <c r="AC424" s="1454"/>
    </row>
    <row r="425" spans="1:29" ht="34.35" customHeight="1">
      <c r="A425" s="59" t="s">
        <v>309</v>
      </c>
      <c r="B425" s="61" t="s">
        <v>325</v>
      </c>
      <c r="C425" s="29">
        <v>32</v>
      </c>
      <c r="D425" s="5" t="s">
        <v>338</v>
      </c>
      <c r="E425" s="14" t="s">
        <v>136</v>
      </c>
      <c r="F425" s="2" t="s">
        <v>316</v>
      </c>
      <c r="G425" s="2" t="s">
        <v>40</v>
      </c>
      <c r="H425" s="922">
        <v>0</v>
      </c>
      <c r="I425" s="879">
        <v>45992</v>
      </c>
      <c r="J425" s="921"/>
      <c r="K425" s="884"/>
      <c r="L425" s="884"/>
      <c r="M425" s="884"/>
      <c r="N425" s="926">
        <v>0.71199999999999997</v>
      </c>
      <c r="O425" s="926">
        <v>5.7378</v>
      </c>
      <c r="P425" s="926"/>
      <c r="Q425" s="926"/>
      <c r="R425" s="926"/>
      <c r="S425" s="1446">
        <v>0.83804000000000001</v>
      </c>
      <c r="T425" s="883"/>
      <c r="U425" s="887">
        <v>1.25</v>
      </c>
      <c r="V425" s="887">
        <v>9.0207999999999995</v>
      </c>
      <c r="W425" s="887">
        <v>0.19400000000000001</v>
      </c>
      <c r="X425" s="887">
        <f>6.107675+36.07</f>
        <v>42.177675000000001</v>
      </c>
      <c r="Y425" s="887">
        <v>47.87</v>
      </c>
      <c r="Z425" s="887">
        <v>0.24389880000000005</v>
      </c>
      <c r="AA425" s="887">
        <v>6.6852479999999996</v>
      </c>
      <c r="AB425" s="1429">
        <v>3.0800000000000001E-2</v>
      </c>
      <c r="AC425" s="1454"/>
    </row>
    <row r="426" spans="1:29" ht="34.35" customHeight="1">
      <c r="A426" s="59" t="s">
        <v>309</v>
      </c>
      <c r="B426" s="61" t="s">
        <v>325</v>
      </c>
      <c r="C426" s="29">
        <v>33</v>
      </c>
      <c r="D426" s="5" t="s">
        <v>339</v>
      </c>
      <c r="E426" s="14" t="s">
        <v>133</v>
      </c>
      <c r="F426" s="2" t="s">
        <v>340</v>
      </c>
      <c r="G426" s="2" t="s">
        <v>341</v>
      </c>
      <c r="H426" s="927">
        <v>5.0000000000000001E-3</v>
      </c>
      <c r="I426" s="879">
        <v>45992</v>
      </c>
      <c r="J426" s="921"/>
      <c r="K426" s="884"/>
      <c r="L426" s="884"/>
      <c r="M426" s="884"/>
      <c r="N426" s="884"/>
      <c r="O426" s="884"/>
      <c r="P426" s="884"/>
      <c r="Q426" s="884"/>
      <c r="R426" s="884"/>
      <c r="S426" s="1417"/>
      <c r="T426" s="883"/>
      <c r="U426" s="884"/>
      <c r="V426" s="884"/>
      <c r="W426" s="884"/>
      <c r="X426" s="884"/>
      <c r="Y426" s="884"/>
      <c r="Z426" s="884"/>
      <c r="AA426" s="884"/>
      <c r="AB426" s="1417"/>
      <c r="AC426" s="1457" t="s">
        <v>465</v>
      </c>
    </row>
    <row r="427" spans="1:29" ht="34.35" customHeight="1">
      <c r="A427" s="59" t="s">
        <v>309</v>
      </c>
      <c r="B427" s="61" t="s">
        <v>325</v>
      </c>
      <c r="C427" s="29">
        <v>34</v>
      </c>
      <c r="D427" s="5" t="s">
        <v>339</v>
      </c>
      <c r="E427" s="14" t="s">
        <v>136</v>
      </c>
      <c r="F427" s="2" t="s">
        <v>340</v>
      </c>
      <c r="G427" s="2" t="s">
        <v>341</v>
      </c>
      <c r="H427" s="928" t="s">
        <v>41</v>
      </c>
      <c r="I427" s="879">
        <v>45992</v>
      </c>
      <c r="J427" s="921"/>
      <c r="K427" s="884"/>
      <c r="L427" s="884"/>
      <c r="M427" s="884"/>
      <c r="N427" s="884"/>
      <c r="O427" s="884"/>
      <c r="P427" s="884"/>
      <c r="Q427" s="884"/>
      <c r="R427" s="884"/>
      <c r="S427" s="1417"/>
      <c r="T427" s="883"/>
      <c r="U427" s="884"/>
      <c r="V427" s="884"/>
      <c r="W427" s="884"/>
      <c r="X427" s="884"/>
      <c r="Y427" s="884"/>
      <c r="Z427" s="884"/>
      <c r="AA427" s="884"/>
      <c r="AB427" s="1417"/>
      <c r="AC427" s="1454"/>
    </row>
    <row r="428" spans="1:29" ht="34.35" customHeight="1">
      <c r="A428" s="59" t="s">
        <v>309</v>
      </c>
      <c r="B428" s="61" t="s">
        <v>325</v>
      </c>
      <c r="C428" s="29">
        <v>35</v>
      </c>
      <c r="D428" s="5" t="s">
        <v>342</v>
      </c>
      <c r="E428" s="14" t="s">
        <v>133</v>
      </c>
      <c r="F428" s="2" t="s">
        <v>106</v>
      </c>
      <c r="G428" s="2" t="s">
        <v>285</v>
      </c>
      <c r="H428" s="933"/>
      <c r="I428" s="879">
        <v>45992</v>
      </c>
      <c r="J428" s="921"/>
      <c r="K428" s="884"/>
      <c r="L428" s="884"/>
      <c r="M428" s="884"/>
      <c r="N428" s="884"/>
      <c r="O428" s="884"/>
      <c r="P428" s="884"/>
      <c r="Q428" s="884"/>
      <c r="R428" s="884"/>
      <c r="S428" s="1417"/>
      <c r="T428" s="883"/>
      <c r="U428" s="884"/>
      <c r="V428" s="884"/>
      <c r="W428" s="884"/>
      <c r="X428" s="884"/>
      <c r="Y428" s="884"/>
      <c r="Z428" s="884"/>
      <c r="AA428" s="884"/>
      <c r="AB428" s="1417"/>
      <c r="AC428" s="1454"/>
    </row>
    <row r="429" spans="1:29" ht="34.35" customHeight="1">
      <c r="A429" s="59" t="s">
        <v>309</v>
      </c>
      <c r="B429" s="61" t="s">
        <v>325</v>
      </c>
      <c r="C429" s="29">
        <v>36</v>
      </c>
      <c r="D429" s="5" t="s">
        <v>342</v>
      </c>
      <c r="E429" s="14" t="s">
        <v>136</v>
      </c>
      <c r="F429" s="2" t="s">
        <v>106</v>
      </c>
      <c r="G429" s="2" t="s">
        <v>285</v>
      </c>
      <c r="H429" s="924"/>
      <c r="I429" s="879">
        <v>45992</v>
      </c>
      <c r="J429" s="921"/>
      <c r="K429" s="884"/>
      <c r="L429" s="884"/>
      <c r="M429" s="884"/>
      <c r="N429" s="884"/>
      <c r="O429" s="884"/>
      <c r="P429" s="884"/>
      <c r="Q429" s="884"/>
      <c r="R429" s="884"/>
      <c r="S429" s="1417"/>
      <c r="T429" s="883"/>
      <c r="U429" s="884"/>
      <c r="V429" s="884"/>
      <c r="W429" s="884"/>
      <c r="X429" s="884"/>
      <c r="Y429" s="884"/>
      <c r="Z429" s="884"/>
      <c r="AA429" s="884"/>
      <c r="AB429" s="1417"/>
      <c r="AC429" s="1454"/>
    </row>
    <row r="430" spans="1:29" ht="34.35" customHeight="1">
      <c r="A430" s="59" t="s">
        <v>309</v>
      </c>
      <c r="B430" s="61" t="s">
        <v>325</v>
      </c>
      <c r="C430" s="29">
        <v>37</v>
      </c>
      <c r="D430" s="6" t="s">
        <v>343</v>
      </c>
      <c r="E430" s="14" t="s">
        <v>38</v>
      </c>
      <c r="F430" s="2" t="s">
        <v>105</v>
      </c>
      <c r="G430" s="2"/>
      <c r="H430" s="925" t="s">
        <v>41</v>
      </c>
      <c r="I430" s="879">
        <v>45992</v>
      </c>
      <c r="J430" s="921"/>
      <c r="K430" s="884"/>
      <c r="L430" s="884"/>
      <c r="M430" s="884"/>
      <c r="N430" s="884"/>
      <c r="O430" s="884"/>
      <c r="P430" s="884"/>
      <c r="Q430" s="884"/>
      <c r="R430" s="884"/>
      <c r="S430" s="1417"/>
      <c r="T430" s="883"/>
      <c r="U430" s="884"/>
      <c r="V430" s="884"/>
      <c r="W430" s="884"/>
      <c r="X430" s="884"/>
      <c r="Y430" s="884"/>
      <c r="Z430" s="884"/>
      <c r="AA430" s="884"/>
      <c r="AB430" s="1417"/>
      <c r="AC430" s="1455"/>
    </row>
    <row r="431" spans="1:29" ht="34.35" customHeight="1">
      <c r="A431" s="59" t="s">
        <v>309</v>
      </c>
      <c r="B431" s="61" t="s">
        <v>325</v>
      </c>
      <c r="C431" s="29">
        <v>38</v>
      </c>
      <c r="D431" s="6" t="s">
        <v>343</v>
      </c>
      <c r="E431" s="14" t="s">
        <v>136</v>
      </c>
      <c r="F431" s="2" t="s">
        <v>105</v>
      </c>
      <c r="G431" s="2"/>
      <c r="H431" s="929">
        <f>84578725.86/10^6</f>
        <v>84.578725860000006</v>
      </c>
      <c r="I431" s="879">
        <v>45992</v>
      </c>
      <c r="J431" s="934">
        <f>20915769.36/10^6</f>
        <v>20.915769359999999</v>
      </c>
      <c r="K431" s="887" t="s">
        <v>41</v>
      </c>
      <c r="L431" s="887">
        <f>128552.12/10^6</f>
        <v>0.12855211999999999</v>
      </c>
      <c r="M431" s="887" t="s">
        <v>41</v>
      </c>
      <c r="N431" s="887">
        <f>2429866.26/10^6</f>
        <v>2.4298662599999998</v>
      </c>
      <c r="O431" s="887">
        <f>558794.49/10^6</f>
        <v>0.55879449000000003</v>
      </c>
      <c r="P431" s="887">
        <f>68838.43/10^6</f>
        <v>6.8838429999999992E-2</v>
      </c>
      <c r="Q431" s="887" t="s">
        <v>41</v>
      </c>
      <c r="R431" s="887">
        <f>2864767.44/10^6</f>
        <v>2.8647674400000001</v>
      </c>
      <c r="S431" s="1429">
        <f>415659.34/10^6</f>
        <v>0.41565934000000004</v>
      </c>
      <c r="T431" s="883"/>
      <c r="U431" s="884"/>
      <c r="V431" s="884"/>
      <c r="W431" s="884"/>
      <c r="X431" s="884"/>
      <c r="Y431" s="884"/>
      <c r="Z431" s="884"/>
      <c r="AA431" s="884"/>
      <c r="AB431" s="1417"/>
      <c r="AC431" s="1455"/>
    </row>
    <row r="432" spans="1:29" ht="34.35" customHeight="1">
      <c r="A432" s="59" t="s">
        <v>309</v>
      </c>
      <c r="B432" s="61" t="s">
        <v>325</v>
      </c>
      <c r="C432" s="29">
        <v>39</v>
      </c>
      <c r="D432" s="5" t="s">
        <v>344</v>
      </c>
      <c r="E432" s="14" t="s">
        <v>136</v>
      </c>
      <c r="F432" s="2" t="s">
        <v>110</v>
      </c>
      <c r="G432" s="2" t="s">
        <v>345</v>
      </c>
      <c r="H432" s="920">
        <v>3.17</v>
      </c>
      <c r="I432" s="879">
        <v>45992</v>
      </c>
      <c r="J432" s="921"/>
      <c r="K432" s="884"/>
      <c r="L432" s="884"/>
      <c r="M432" s="884"/>
      <c r="N432" s="884"/>
      <c r="O432" s="884"/>
      <c r="P432" s="884"/>
      <c r="Q432" s="884"/>
      <c r="R432" s="884"/>
      <c r="S432" s="1417"/>
      <c r="T432" s="883"/>
      <c r="U432" s="884"/>
      <c r="V432" s="884"/>
      <c r="W432" s="884"/>
      <c r="X432" s="884"/>
      <c r="Y432" s="884"/>
      <c r="Z432" s="884"/>
      <c r="AA432" s="884"/>
      <c r="AB432" s="1417"/>
      <c r="AC432" s="1454"/>
    </row>
    <row r="433" spans="1:29" ht="34.35" customHeight="1">
      <c r="A433" s="59" t="s">
        <v>309</v>
      </c>
      <c r="B433" s="61" t="s">
        <v>325</v>
      </c>
      <c r="C433" s="29">
        <v>40</v>
      </c>
      <c r="D433" s="5" t="s">
        <v>346</v>
      </c>
      <c r="E433" s="14" t="s">
        <v>136</v>
      </c>
      <c r="F433" s="2" t="s">
        <v>110</v>
      </c>
      <c r="G433" s="2" t="s">
        <v>345</v>
      </c>
      <c r="H433" s="920">
        <v>5.84</v>
      </c>
      <c r="I433" s="879">
        <v>45992</v>
      </c>
      <c r="J433" s="921"/>
      <c r="K433" s="884"/>
      <c r="L433" s="884"/>
      <c r="M433" s="884"/>
      <c r="N433" s="884"/>
      <c r="O433" s="884"/>
      <c r="P433" s="884"/>
      <c r="Q433" s="884"/>
      <c r="R433" s="884"/>
      <c r="S433" s="1417"/>
      <c r="T433" s="883"/>
      <c r="U433" s="884"/>
      <c r="V433" s="884"/>
      <c r="W433" s="884"/>
      <c r="X433" s="884"/>
      <c r="Y433" s="884"/>
      <c r="Z433" s="884"/>
      <c r="AA433" s="884"/>
      <c r="AB433" s="1417"/>
      <c r="AC433" s="1454"/>
    </row>
    <row r="434" spans="1:29" ht="34.35" customHeight="1">
      <c r="A434" s="59" t="s">
        <v>309</v>
      </c>
      <c r="B434" s="61" t="s">
        <v>325</v>
      </c>
      <c r="C434" s="29">
        <v>41</v>
      </c>
      <c r="D434" s="5" t="s">
        <v>347</v>
      </c>
      <c r="E434" s="14" t="s">
        <v>38</v>
      </c>
      <c r="F434" s="2" t="s">
        <v>106</v>
      </c>
      <c r="G434" s="2" t="s">
        <v>285</v>
      </c>
      <c r="H434" s="924"/>
      <c r="I434" s="879">
        <v>45992</v>
      </c>
      <c r="J434" s="921"/>
      <c r="K434" s="884"/>
      <c r="L434" s="884"/>
      <c r="M434" s="884"/>
      <c r="N434" s="884"/>
      <c r="O434" s="884"/>
      <c r="P434" s="884"/>
      <c r="Q434" s="884"/>
      <c r="R434" s="884"/>
      <c r="S434" s="1417"/>
      <c r="T434" s="883"/>
      <c r="U434" s="884"/>
      <c r="V434" s="884"/>
      <c r="W434" s="884"/>
      <c r="X434" s="884"/>
      <c r="Y434" s="884"/>
      <c r="Z434" s="884"/>
      <c r="AA434" s="884"/>
      <c r="AB434" s="1417"/>
      <c r="AC434" s="1454"/>
    </row>
    <row r="435" spans="1:29" ht="34.35" customHeight="1">
      <c r="A435" s="59" t="s">
        <v>309</v>
      </c>
      <c r="B435" s="61" t="s">
        <v>325</v>
      </c>
      <c r="C435" s="29">
        <v>42</v>
      </c>
      <c r="D435" s="5" t="s">
        <v>347</v>
      </c>
      <c r="E435" s="14" t="s">
        <v>136</v>
      </c>
      <c r="F435" s="2" t="s">
        <v>106</v>
      </c>
      <c r="G435" s="2" t="s">
        <v>285</v>
      </c>
      <c r="H435" s="924"/>
      <c r="I435" s="879">
        <v>45992</v>
      </c>
      <c r="J435" s="921"/>
      <c r="K435" s="884"/>
      <c r="L435" s="884"/>
      <c r="M435" s="884"/>
      <c r="N435" s="884"/>
      <c r="O435" s="884"/>
      <c r="P435" s="884"/>
      <c r="Q435" s="884"/>
      <c r="R435" s="884"/>
      <c r="S435" s="1417"/>
      <c r="T435" s="883"/>
      <c r="U435" s="884"/>
      <c r="V435" s="884"/>
      <c r="W435" s="884"/>
      <c r="X435" s="884"/>
      <c r="Y435" s="884"/>
      <c r="Z435" s="884"/>
      <c r="AA435" s="884"/>
      <c r="AB435" s="1417"/>
      <c r="AC435" s="1454"/>
    </row>
    <row r="436" spans="1:29" ht="34.35" customHeight="1">
      <c r="A436" s="59" t="s">
        <v>309</v>
      </c>
      <c r="B436" s="61" t="s">
        <v>325</v>
      </c>
      <c r="C436" s="29">
        <v>43</v>
      </c>
      <c r="D436" s="5" t="s">
        <v>349</v>
      </c>
      <c r="E436" s="14" t="s">
        <v>136</v>
      </c>
      <c r="F436" s="2" t="s">
        <v>340</v>
      </c>
      <c r="G436" s="2" t="s">
        <v>134</v>
      </c>
      <c r="H436" s="920">
        <v>5.4</v>
      </c>
      <c r="I436" s="879">
        <v>45992</v>
      </c>
      <c r="J436" s="921"/>
      <c r="K436" s="884"/>
      <c r="L436" s="884"/>
      <c r="M436" s="884"/>
      <c r="N436" s="884"/>
      <c r="O436" s="884"/>
      <c r="P436" s="884"/>
      <c r="Q436" s="884"/>
      <c r="R436" s="884"/>
      <c r="S436" s="1417"/>
      <c r="T436" s="883"/>
      <c r="U436" s="884"/>
      <c r="V436" s="884"/>
      <c r="W436" s="884"/>
      <c r="X436" s="884"/>
      <c r="Y436" s="884"/>
      <c r="Z436" s="884"/>
      <c r="AA436" s="884"/>
      <c r="AB436" s="1417"/>
      <c r="AC436" s="1454"/>
    </row>
    <row r="437" spans="1:29" ht="34.35" customHeight="1">
      <c r="A437" s="59" t="s">
        <v>309</v>
      </c>
      <c r="B437" s="61" t="s">
        <v>325</v>
      </c>
      <c r="C437" s="29">
        <v>44</v>
      </c>
      <c r="D437" s="5" t="s">
        <v>350</v>
      </c>
      <c r="E437" s="14" t="s">
        <v>38</v>
      </c>
      <c r="F437" s="2" t="s">
        <v>106</v>
      </c>
      <c r="G437" s="2" t="s">
        <v>134</v>
      </c>
      <c r="H437" s="924">
        <v>200</v>
      </c>
      <c r="I437" s="879">
        <v>45992</v>
      </c>
      <c r="J437" s="921"/>
      <c r="K437" s="884"/>
      <c r="L437" s="884"/>
      <c r="M437" s="884"/>
      <c r="N437" s="884"/>
      <c r="O437" s="884"/>
      <c r="P437" s="884"/>
      <c r="Q437" s="884"/>
      <c r="R437" s="884"/>
      <c r="S437" s="1417"/>
      <c r="T437" s="883"/>
      <c r="U437" s="884"/>
      <c r="V437" s="884"/>
      <c r="W437" s="884"/>
      <c r="X437" s="884"/>
      <c r="Y437" s="884"/>
      <c r="Z437" s="884"/>
      <c r="AA437" s="884"/>
      <c r="AB437" s="1417"/>
      <c r="AC437" s="1454"/>
    </row>
    <row r="438" spans="1:29" ht="34.35" customHeight="1">
      <c r="A438" s="59" t="s">
        <v>309</v>
      </c>
      <c r="B438" s="61" t="s">
        <v>325</v>
      </c>
      <c r="C438" s="29">
        <v>45</v>
      </c>
      <c r="D438" s="5" t="s">
        <v>350</v>
      </c>
      <c r="E438" s="14" t="s">
        <v>136</v>
      </c>
      <c r="F438" s="2" t="s">
        <v>106</v>
      </c>
      <c r="G438" s="2" t="s">
        <v>134</v>
      </c>
      <c r="H438" s="924">
        <v>90</v>
      </c>
      <c r="I438" s="879">
        <v>45992</v>
      </c>
      <c r="J438" s="921"/>
      <c r="K438" s="884"/>
      <c r="L438" s="884"/>
      <c r="M438" s="884"/>
      <c r="N438" s="884"/>
      <c r="O438" s="884"/>
      <c r="P438" s="884"/>
      <c r="Q438" s="884"/>
      <c r="R438" s="884"/>
      <c r="S438" s="1417"/>
      <c r="T438" s="883"/>
      <c r="U438" s="884"/>
      <c r="V438" s="884"/>
      <c r="W438" s="884"/>
      <c r="X438" s="884"/>
      <c r="Y438" s="884"/>
      <c r="Z438" s="884"/>
      <c r="AA438" s="884"/>
      <c r="AB438" s="1417"/>
      <c r="AC438" s="1454"/>
    </row>
    <row r="439" spans="1:29" ht="34.35" customHeight="1">
      <c r="A439" s="59" t="s">
        <v>309</v>
      </c>
      <c r="B439" s="62" t="s">
        <v>351</v>
      </c>
      <c r="C439" s="29">
        <v>46</v>
      </c>
      <c r="D439" s="63" t="s">
        <v>41</v>
      </c>
      <c r="E439" s="14" t="s">
        <v>353</v>
      </c>
      <c r="F439" s="2" t="s">
        <v>312</v>
      </c>
      <c r="G439" s="1" t="s">
        <v>40</v>
      </c>
      <c r="H439" s="920">
        <v>1.2</v>
      </c>
      <c r="I439" s="879">
        <v>45992</v>
      </c>
      <c r="J439" s="921"/>
      <c r="K439" s="884"/>
      <c r="L439" s="884"/>
      <c r="M439" s="884"/>
      <c r="N439" s="884"/>
      <c r="O439" s="884"/>
      <c r="P439" s="884"/>
      <c r="Q439" s="884"/>
      <c r="R439" s="884"/>
      <c r="S439" s="1417"/>
      <c r="T439" s="883"/>
      <c r="U439" s="884"/>
      <c r="V439" s="884"/>
      <c r="W439" s="884"/>
      <c r="X439" s="884"/>
      <c r="Y439" s="884"/>
      <c r="Z439" s="884"/>
      <c r="AA439" s="884"/>
      <c r="AB439" s="1417"/>
      <c r="AC439" s="1456" t="s">
        <v>352</v>
      </c>
    </row>
    <row r="440" spans="1:29" ht="34.35" customHeight="1">
      <c r="A440" s="59" t="s">
        <v>309</v>
      </c>
      <c r="B440" s="64" t="s">
        <v>354</v>
      </c>
      <c r="C440" s="29">
        <v>47</v>
      </c>
      <c r="D440" s="63" t="s">
        <v>41</v>
      </c>
      <c r="E440" s="14" t="s">
        <v>353</v>
      </c>
      <c r="F440" s="2" t="s">
        <v>327</v>
      </c>
      <c r="G440" s="1" t="s">
        <v>40</v>
      </c>
      <c r="H440" s="922">
        <v>0</v>
      </c>
      <c r="I440" s="879">
        <v>45992</v>
      </c>
      <c r="J440" s="921"/>
      <c r="K440" s="884"/>
      <c r="L440" s="884"/>
      <c r="M440" s="884"/>
      <c r="N440" s="884"/>
      <c r="O440" s="884"/>
      <c r="P440" s="884"/>
      <c r="Q440" s="884"/>
      <c r="R440" s="884"/>
      <c r="S440" s="1417"/>
      <c r="T440" s="883"/>
      <c r="U440" s="884"/>
      <c r="V440" s="884"/>
      <c r="W440" s="884"/>
      <c r="X440" s="884"/>
      <c r="Y440" s="884"/>
      <c r="Z440" s="884"/>
      <c r="AA440" s="884"/>
      <c r="AB440" s="1417"/>
      <c r="AC440" s="1457" t="s">
        <v>466</v>
      </c>
    </row>
    <row r="441" spans="1:29" ht="34.35" customHeight="1">
      <c r="A441" s="59" t="s">
        <v>309</v>
      </c>
      <c r="B441" s="64" t="s">
        <v>356</v>
      </c>
      <c r="C441" s="29">
        <v>48</v>
      </c>
      <c r="D441" s="63" t="s">
        <v>41</v>
      </c>
      <c r="E441" s="14" t="s">
        <v>353</v>
      </c>
      <c r="F441" s="2" t="s">
        <v>321</v>
      </c>
      <c r="G441" s="1" t="s">
        <v>40</v>
      </c>
      <c r="H441" s="922">
        <v>0</v>
      </c>
      <c r="I441" s="879">
        <v>45992</v>
      </c>
      <c r="J441" s="921" t="s">
        <v>41</v>
      </c>
      <c r="K441" s="884" t="s">
        <v>41</v>
      </c>
      <c r="L441" s="884" t="s">
        <v>41</v>
      </c>
      <c r="M441" s="884" t="s">
        <v>41</v>
      </c>
      <c r="N441" s="884" t="s">
        <v>41</v>
      </c>
      <c r="O441" s="884" t="s">
        <v>41</v>
      </c>
      <c r="P441" s="884" t="s">
        <v>41</v>
      </c>
      <c r="Q441" s="884" t="s">
        <v>41</v>
      </c>
      <c r="R441" s="884" t="s">
        <v>41</v>
      </c>
      <c r="S441" s="1417" t="s">
        <v>41</v>
      </c>
      <c r="T441" s="883" t="s">
        <v>41</v>
      </c>
      <c r="U441" s="884" t="s">
        <v>41</v>
      </c>
      <c r="V441" s="884" t="s">
        <v>41</v>
      </c>
      <c r="W441" s="884" t="s">
        <v>41</v>
      </c>
      <c r="X441" s="884" t="s">
        <v>41</v>
      </c>
      <c r="Y441" s="884" t="s">
        <v>41</v>
      </c>
      <c r="Z441" s="884" t="s">
        <v>41</v>
      </c>
      <c r="AA441" s="884" t="s">
        <v>41</v>
      </c>
      <c r="AB441" s="1417" t="s">
        <v>41</v>
      </c>
      <c r="AC441" s="1457" t="s">
        <v>466</v>
      </c>
    </row>
    <row r="442" spans="1:29" ht="34.35" customHeight="1">
      <c r="A442" s="69" t="s">
        <v>309</v>
      </c>
      <c r="B442" s="11" t="s">
        <v>357</v>
      </c>
      <c r="C442" s="73">
        <v>49</v>
      </c>
      <c r="D442" s="7" t="s">
        <v>41</v>
      </c>
      <c r="E442" s="71" t="s">
        <v>38</v>
      </c>
      <c r="F442" s="2" t="s">
        <v>312</v>
      </c>
      <c r="G442" s="1" t="s">
        <v>41</v>
      </c>
      <c r="I442" s="879">
        <v>45992</v>
      </c>
      <c r="J442" s="931"/>
      <c r="K442" s="887"/>
      <c r="L442" s="887"/>
      <c r="M442" s="887"/>
      <c r="N442" s="887"/>
      <c r="O442" s="887"/>
      <c r="P442" s="887"/>
      <c r="Q442" s="887"/>
      <c r="R442" s="887"/>
      <c r="S442" s="887"/>
      <c r="T442" s="887"/>
      <c r="U442" s="887"/>
      <c r="V442" s="887"/>
      <c r="W442" s="887"/>
      <c r="X442" s="887"/>
      <c r="Y442" s="887"/>
      <c r="Z442" s="887"/>
      <c r="AA442" s="887"/>
      <c r="AC442" s="1459"/>
    </row>
    <row r="443" spans="1:29" ht="34.35" customHeight="1">
      <c r="A443" s="59" t="s">
        <v>309</v>
      </c>
      <c r="B443" s="60" t="s">
        <v>310</v>
      </c>
      <c r="C443" s="29">
        <v>1</v>
      </c>
      <c r="D443" s="5" t="s">
        <v>311</v>
      </c>
      <c r="E443" s="14" t="s">
        <v>38</v>
      </c>
      <c r="F443" s="2" t="s">
        <v>312</v>
      </c>
      <c r="G443" s="2" t="s">
        <v>40</v>
      </c>
      <c r="H443" s="920">
        <v>0</v>
      </c>
      <c r="I443" s="879">
        <v>46023</v>
      </c>
      <c r="J443" s="921"/>
      <c r="K443" s="884"/>
      <c r="L443" s="884"/>
      <c r="M443" s="884"/>
      <c r="N443" s="884"/>
      <c r="O443" s="884"/>
      <c r="P443" s="884"/>
      <c r="Q443" s="884"/>
      <c r="R443" s="884"/>
      <c r="S443" s="1417"/>
      <c r="T443" s="883"/>
      <c r="U443" s="884"/>
      <c r="V443" s="884"/>
      <c r="W443" s="884"/>
      <c r="X443" s="884"/>
      <c r="Y443" s="884"/>
      <c r="Z443" s="884"/>
      <c r="AA443" s="884"/>
      <c r="AB443" s="1417"/>
      <c r="AC443" s="1454"/>
    </row>
    <row r="444" spans="1:29" ht="34.35" customHeight="1">
      <c r="A444" s="59" t="s">
        <v>309</v>
      </c>
      <c r="B444" s="60" t="s">
        <v>310</v>
      </c>
      <c r="C444" s="29">
        <v>2</v>
      </c>
      <c r="D444" s="5" t="s">
        <v>313</v>
      </c>
      <c r="E444" s="14" t="s">
        <v>38</v>
      </c>
      <c r="F444" s="2" t="s">
        <v>312</v>
      </c>
      <c r="G444" s="2" t="s">
        <v>40</v>
      </c>
      <c r="H444" s="920">
        <v>0</v>
      </c>
      <c r="I444" s="879">
        <v>46023</v>
      </c>
      <c r="J444" s="921"/>
      <c r="K444" s="884"/>
      <c r="L444" s="884"/>
      <c r="M444" s="884"/>
      <c r="N444" s="884"/>
      <c r="O444" s="884"/>
      <c r="P444" s="884"/>
      <c r="Q444" s="884"/>
      <c r="R444" s="884"/>
      <c r="S444" s="1417"/>
      <c r="T444" s="883"/>
      <c r="U444" s="884"/>
      <c r="V444" s="884"/>
      <c r="W444" s="884"/>
      <c r="X444" s="884"/>
      <c r="Y444" s="884"/>
      <c r="Z444" s="884"/>
      <c r="AA444" s="884"/>
      <c r="AB444" s="1417"/>
      <c r="AC444" s="1454"/>
    </row>
    <row r="445" spans="1:29" ht="34.35" customHeight="1">
      <c r="A445" s="59" t="s">
        <v>309</v>
      </c>
      <c r="B445" s="60" t="s">
        <v>310</v>
      </c>
      <c r="C445" s="29">
        <v>3</v>
      </c>
      <c r="D445" s="6" t="s">
        <v>314</v>
      </c>
      <c r="E445" s="14" t="s">
        <v>38</v>
      </c>
      <c r="F445" s="2" t="s">
        <v>312</v>
      </c>
      <c r="G445" s="2" t="s">
        <v>40</v>
      </c>
      <c r="H445" s="920">
        <v>0</v>
      </c>
      <c r="I445" s="879">
        <v>46023</v>
      </c>
      <c r="J445" s="921"/>
      <c r="K445" s="884"/>
      <c r="L445" s="884"/>
      <c r="M445" s="884"/>
      <c r="N445" s="884"/>
      <c r="O445" s="884"/>
      <c r="P445" s="884"/>
      <c r="Q445" s="884"/>
      <c r="R445" s="884"/>
      <c r="S445" s="1417"/>
      <c r="T445" s="883"/>
      <c r="U445" s="884"/>
      <c r="V445" s="884"/>
      <c r="W445" s="884"/>
      <c r="X445" s="884"/>
      <c r="Y445" s="884"/>
      <c r="Z445" s="884"/>
      <c r="AA445" s="884"/>
      <c r="AB445" s="1417"/>
      <c r="AC445" s="1455"/>
    </row>
    <row r="446" spans="1:29" ht="34.35" customHeight="1">
      <c r="A446" s="59" t="s">
        <v>309</v>
      </c>
      <c r="B446" s="60" t="s">
        <v>310</v>
      </c>
      <c r="C446" s="29">
        <v>4</v>
      </c>
      <c r="D446" s="5" t="s">
        <v>315</v>
      </c>
      <c r="E446" s="14" t="s">
        <v>38</v>
      </c>
      <c r="F446" s="2" t="s">
        <v>316</v>
      </c>
      <c r="G446" s="2" t="s">
        <v>40</v>
      </c>
      <c r="H446" s="920">
        <v>280</v>
      </c>
      <c r="I446" s="879">
        <v>46023</v>
      </c>
      <c r="J446" s="921"/>
      <c r="K446" s="884"/>
      <c r="L446" s="884"/>
      <c r="M446" s="884">
        <v>1</v>
      </c>
      <c r="N446" s="884"/>
      <c r="O446" s="884"/>
      <c r="P446" s="884"/>
      <c r="Q446" s="884"/>
      <c r="R446" s="884"/>
      <c r="S446" s="922"/>
      <c r="T446" s="883"/>
      <c r="U446" s="884"/>
      <c r="V446" s="884">
        <v>7</v>
      </c>
      <c r="W446" s="884">
        <v>1</v>
      </c>
      <c r="X446" s="884">
        <v>1</v>
      </c>
      <c r="Y446" s="884">
        <v>5</v>
      </c>
      <c r="Z446" s="884"/>
      <c r="AA446" s="884"/>
      <c r="AB446" s="1417"/>
      <c r="AC446" s="1456" t="s">
        <v>458</v>
      </c>
    </row>
    <row r="447" spans="1:29" ht="34.35" customHeight="1">
      <c r="A447" s="59" t="s">
        <v>309</v>
      </c>
      <c r="B447" s="60" t="s">
        <v>310</v>
      </c>
      <c r="C447" s="29">
        <v>5</v>
      </c>
      <c r="D447" s="5" t="s">
        <v>315</v>
      </c>
      <c r="E447" s="14" t="s">
        <v>136</v>
      </c>
      <c r="F447" s="2" t="s">
        <v>316</v>
      </c>
      <c r="G447" s="2" t="s">
        <v>40</v>
      </c>
      <c r="H447" s="920">
        <v>106</v>
      </c>
      <c r="I447" s="879">
        <v>46023</v>
      </c>
      <c r="J447" s="921"/>
      <c r="K447" s="884"/>
      <c r="L447" s="884"/>
      <c r="M447" s="885">
        <v>2.649E-2</v>
      </c>
      <c r="N447" s="884"/>
      <c r="O447" s="884"/>
      <c r="P447" s="884"/>
      <c r="Q447" s="884"/>
      <c r="R447" s="884"/>
      <c r="S447" s="922"/>
      <c r="T447" s="883"/>
      <c r="U447" s="884"/>
      <c r="V447" s="885">
        <v>1.3688</v>
      </c>
      <c r="W447" s="885">
        <v>4.1000000000000003E-3</v>
      </c>
      <c r="X447" s="884">
        <v>1.4999999999999999E-2</v>
      </c>
      <c r="Y447" s="885">
        <v>2.886752</v>
      </c>
      <c r="Z447" s="884"/>
      <c r="AA447" s="884"/>
      <c r="AB447" s="1417"/>
      <c r="AC447" s="1456" t="s">
        <v>459</v>
      </c>
    </row>
    <row r="448" spans="1:29" ht="34.35" customHeight="1">
      <c r="A448" s="59" t="s">
        <v>309</v>
      </c>
      <c r="B448" s="60" t="s">
        <v>310</v>
      </c>
      <c r="C448" s="29">
        <v>6</v>
      </c>
      <c r="D448" s="5" t="s">
        <v>317</v>
      </c>
      <c r="E448" s="14" t="s">
        <v>38</v>
      </c>
      <c r="F448" s="2" t="s">
        <v>316</v>
      </c>
      <c r="G448" s="2" t="s">
        <v>40</v>
      </c>
      <c r="H448" s="920">
        <v>0</v>
      </c>
      <c r="I448" s="879">
        <v>46023</v>
      </c>
      <c r="J448" s="921"/>
      <c r="K448" s="884"/>
      <c r="L448" s="884"/>
      <c r="M448" s="884"/>
      <c r="N448" s="884"/>
      <c r="O448" s="884"/>
      <c r="P448" s="884"/>
      <c r="Q448" s="884"/>
      <c r="R448" s="884"/>
      <c r="S448" s="1417"/>
      <c r="T448" s="883"/>
      <c r="U448" s="884"/>
      <c r="V448" s="884"/>
      <c r="W448" s="884"/>
      <c r="X448" s="884"/>
      <c r="Y448" s="884"/>
      <c r="Z448" s="884"/>
      <c r="AA448" s="884"/>
      <c r="AB448" s="1417"/>
      <c r="AC448" s="1454"/>
    </row>
    <row r="449" spans="1:29" ht="34.35" customHeight="1">
      <c r="A449" s="59" t="s">
        <v>309</v>
      </c>
      <c r="B449" s="60" t="s">
        <v>310</v>
      </c>
      <c r="C449" s="29">
        <v>7</v>
      </c>
      <c r="D449" s="5" t="s">
        <v>317</v>
      </c>
      <c r="E449" s="14" t="s">
        <v>136</v>
      </c>
      <c r="F449" s="2" t="s">
        <v>316</v>
      </c>
      <c r="G449" s="2" t="s">
        <v>40</v>
      </c>
      <c r="H449" s="920">
        <v>0</v>
      </c>
      <c r="I449" s="879">
        <v>46023</v>
      </c>
      <c r="J449" s="921"/>
      <c r="K449" s="884"/>
      <c r="L449" s="884"/>
      <c r="M449" s="884"/>
      <c r="N449" s="884"/>
      <c r="O449" s="884"/>
      <c r="P449" s="884"/>
      <c r="Q449" s="884"/>
      <c r="R449" s="884"/>
      <c r="S449" s="1417"/>
      <c r="T449" s="883"/>
      <c r="U449" s="884"/>
      <c r="V449" s="884"/>
      <c r="W449" s="884"/>
      <c r="X449" s="884"/>
      <c r="Y449" s="884"/>
      <c r="Z449" s="884"/>
      <c r="AA449" s="884"/>
      <c r="AB449" s="1417"/>
      <c r="AC449" s="1454"/>
    </row>
    <row r="450" spans="1:29" ht="34.35" customHeight="1">
      <c r="A450" s="59" t="s">
        <v>309</v>
      </c>
      <c r="B450" s="60" t="s">
        <v>310</v>
      </c>
      <c r="C450" s="29">
        <v>8</v>
      </c>
      <c r="D450" s="5" t="s">
        <v>318</v>
      </c>
      <c r="E450" s="14" t="s">
        <v>38</v>
      </c>
      <c r="F450" s="2" t="s">
        <v>316</v>
      </c>
      <c r="G450" s="2" t="s">
        <v>40</v>
      </c>
      <c r="H450" s="920">
        <v>192</v>
      </c>
      <c r="I450" s="879">
        <v>46023</v>
      </c>
      <c r="J450" s="921"/>
      <c r="K450" s="884"/>
      <c r="L450" s="884"/>
      <c r="M450" s="884"/>
      <c r="N450" s="884"/>
      <c r="O450" s="884"/>
      <c r="P450" s="884"/>
      <c r="Q450" s="884"/>
      <c r="R450" s="884"/>
      <c r="S450" s="1417"/>
      <c r="T450" s="883"/>
      <c r="U450" s="884"/>
      <c r="V450" s="884"/>
      <c r="W450" s="884"/>
      <c r="X450" s="884"/>
      <c r="Y450" s="884"/>
      <c r="Z450" s="884"/>
      <c r="AA450" s="884"/>
      <c r="AB450" s="1417"/>
      <c r="AC450" s="1456" t="s">
        <v>460</v>
      </c>
    </row>
    <row r="451" spans="1:29" ht="34.35" customHeight="1">
      <c r="A451" s="59" t="s">
        <v>309</v>
      </c>
      <c r="B451" s="60" t="s">
        <v>310</v>
      </c>
      <c r="C451" s="29">
        <v>9</v>
      </c>
      <c r="D451" s="5" t="s">
        <v>318</v>
      </c>
      <c r="E451" s="14" t="s">
        <v>136</v>
      </c>
      <c r="F451" s="2" t="s">
        <v>316</v>
      </c>
      <c r="G451" s="2" t="s">
        <v>40</v>
      </c>
      <c r="H451" s="920">
        <v>307</v>
      </c>
      <c r="I451" s="879">
        <v>46023</v>
      </c>
      <c r="J451" s="921"/>
      <c r="K451" s="884"/>
      <c r="L451" s="884"/>
      <c r="M451" s="884"/>
      <c r="N451" s="884"/>
      <c r="O451" s="884"/>
      <c r="P451" s="884"/>
      <c r="Q451" s="884"/>
      <c r="R451" s="884"/>
      <c r="S451" s="1417"/>
      <c r="T451" s="883"/>
      <c r="U451" s="884"/>
      <c r="V451" s="884"/>
      <c r="W451" s="884"/>
      <c r="X451" s="884"/>
      <c r="Y451" s="884"/>
      <c r="Z451" s="884"/>
      <c r="AA451" s="884"/>
      <c r="AB451" s="1417"/>
      <c r="AC451" s="1456" t="s">
        <v>461</v>
      </c>
    </row>
    <row r="452" spans="1:29" ht="34.35" customHeight="1">
      <c r="A452" s="59" t="s">
        <v>309</v>
      </c>
      <c r="B452" s="60" t="s">
        <v>319</v>
      </c>
      <c r="C452" s="29">
        <v>10</v>
      </c>
      <c r="D452" s="5" t="s">
        <v>320</v>
      </c>
      <c r="E452" s="14" t="s">
        <v>38</v>
      </c>
      <c r="F452" s="2" t="s">
        <v>321</v>
      </c>
      <c r="G452" s="2" t="s">
        <v>40</v>
      </c>
      <c r="H452" s="920">
        <v>0</v>
      </c>
      <c r="I452" s="879">
        <v>46023</v>
      </c>
      <c r="J452" s="921">
        <v>0</v>
      </c>
      <c r="K452" s="884">
        <v>0</v>
      </c>
      <c r="L452" s="884">
        <v>0</v>
      </c>
      <c r="M452" s="884">
        <v>0</v>
      </c>
      <c r="N452" s="884">
        <v>0</v>
      </c>
      <c r="O452" s="884">
        <v>0</v>
      </c>
      <c r="P452" s="884">
        <v>0</v>
      </c>
      <c r="Q452" s="884">
        <v>0</v>
      </c>
      <c r="R452" s="884">
        <v>0</v>
      </c>
      <c r="S452" s="1417">
        <v>0</v>
      </c>
      <c r="T452" s="883">
        <v>0</v>
      </c>
      <c r="U452" s="884">
        <v>0</v>
      </c>
      <c r="V452" s="884">
        <v>0</v>
      </c>
      <c r="W452" s="884">
        <v>0</v>
      </c>
      <c r="X452" s="884">
        <v>0</v>
      </c>
      <c r="Y452" s="884">
        <v>0</v>
      </c>
      <c r="Z452" s="884">
        <v>0</v>
      </c>
      <c r="AA452" s="884">
        <v>0</v>
      </c>
      <c r="AB452" s="1417">
        <v>0</v>
      </c>
      <c r="AC452" s="1454"/>
    </row>
    <row r="453" spans="1:29" ht="34.35" customHeight="1">
      <c r="A453" s="59" t="s">
        <v>309</v>
      </c>
      <c r="B453" s="60" t="s">
        <v>319</v>
      </c>
      <c r="C453" s="29">
        <v>11</v>
      </c>
      <c r="D453" s="5" t="s">
        <v>322</v>
      </c>
      <c r="E453" s="14" t="s">
        <v>38</v>
      </c>
      <c r="F453" s="2" t="s">
        <v>321</v>
      </c>
      <c r="G453" s="2" t="s">
        <v>40</v>
      </c>
      <c r="H453" s="920">
        <v>0</v>
      </c>
      <c r="I453" s="879">
        <v>46023</v>
      </c>
      <c r="J453" s="921">
        <v>0</v>
      </c>
      <c r="K453" s="884">
        <v>0</v>
      </c>
      <c r="L453" s="884">
        <v>0</v>
      </c>
      <c r="M453" s="884">
        <v>0</v>
      </c>
      <c r="N453" s="884">
        <v>0</v>
      </c>
      <c r="O453" s="884">
        <v>0</v>
      </c>
      <c r="P453" s="884">
        <v>0</v>
      </c>
      <c r="Q453" s="884">
        <v>0</v>
      </c>
      <c r="R453" s="884">
        <v>0</v>
      </c>
      <c r="S453" s="1417">
        <v>0</v>
      </c>
      <c r="T453" s="883">
        <v>0</v>
      </c>
      <c r="U453" s="884">
        <v>0</v>
      </c>
      <c r="V453" s="884">
        <v>0</v>
      </c>
      <c r="W453" s="884">
        <v>0</v>
      </c>
      <c r="X453" s="884">
        <v>0</v>
      </c>
      <c r="Y453" s="884">
        <v>0</v>
      </c>
      <c r="Z453" s="884">
        <v>0</v>
      </c>
      <c r="AA453" s="884">
        <v>0</v>
      </c>
      <c r="AB453" s="1417">
        <v>0</v>
      </c>
      <c r="AC453" s="1454"/>
    </row>
    <row r="454" spans="1:29" ht="34.35" customHeight="1">
      <c r="A454" s="59" t="s">
        <v>309</v>
      </c>
      <c r="B454" s="60" t="s">
        <v>319</v>
      </c>
      <c r="C454" s="29">
        <v>12</v>
      </c>
      <c r="D454" s="5" t="s">
        <v>313</v>
      </c>
      <c r="E454" s="14" t="s">
        <v>38</v>
      </c>
      <c r="F454" s="2" t="s">
        <v>321</v>
      </c>
      <c r="G454" s="2" t="s">
        <v>40</v>
      </c>
      <c r="H454" s="920">
        <v>0</v>
      </c>
      <c r="I454" s="879">
        <v>46023</v>
      </c>
      <c r="J454" s="921">
        <v>0</v>
      </c>
      <c r="K454" s="884">
        <v>0</v>
      </c>
      <c r="L454" s="884">
        <v>0</v>
      </c>
      <c r="M454" s="884">
        <v>0</v>
      </c>
      <c r="N454" s="884">
        <v>0</v>
      </c>
      <c r="O454" s="884">
        <v>0</v>
      </c>
      <c r="P454" s="884">
        <v>0</v>
      </c>
      <c r="Q454" s="884">
        <v>0</v>
      </c>
      <c r="R454" s="884">
        <v>0</v>
      </c>
      <c r="S454" s="1417">
        <v>0</v>
      </c>
      <c r="T454" s="883">
        <v>0</v>
      </c>
      <c r="U454" s="884">
        <v>0</v>
      </c>
      <c r="V454" s="884">
        <v>0</v>
      </c>
      <c r="W454" s="884">
        <v>0</v>
      </c>
      <c r="X454" s="884">
        <v>0</v>
      </c>
      <c r="Y454" s="884">
        <v>0</v>
      </c>
      <c r="Z454" s="884">
        <v>0</v>
      </c>
      <c r="AA454" s="884">
        <v>0</v>
      </c>
      <c r="AB454" s="1417">
        <v>0</v>
      </c>
      <c r="AC454" s="1454"/>
    </row>
    <row r="455" spans="1:29" ht="34.35" customHeight="1">
      <c r="A455" s="59" t="s">
        <v>309</v>
      </c>
      <c r="B455" s="60" t="s">
        <v>319</v>
      </c>
      <c r="C455" s="29">
        <v>13</v>
      </c>
      <c r="D455" s="5" t="s">
        <v>323</v>
      </c>
      <c r="E455" s="14" t="s">
        <v>38</v>
      </c>
      <c r="F455" s="2" t="s">
        <v>321</v>
      </c>
      <c r="G455" s="2" t="s">
        <v>40</v>
      </c>
      <c r="H455" s="920">
        <v>5</v>
      </c>
      <c r="I455" s="879">
        <v>46023</v>
      </c>
      <c r="J455" s="921" t="s">
        <v>41</v>
      </c>
      <c r="K455" s="884" t="s">
        <v>41</v>
      </c>
      <c r="L455" s="884" t="s">
        <v>41</v>
      </c>
      <c r="M455" s="884" t="s">
        <v>41</v>
      </c>
      <c r="N455" s="884" t="s">
        <v>41</v>
      </c>
      <c r="O455" s="884" t="s">
        <v>41</v>
      </c>
      <c r="P455" s="884" t="s">
        <v>41</v>
      </c>
      <c r="Q455" s="884" t="s">
        <v>41</v>
      </c>
      <c r="R455" s="884" t="s">
        <v>41</v>
      </c>
      <c r="S455" s="1417" t="s">
        <v>41</v>
      </c>
      <c r="T455" s="883" t="s">
        <v>41</v>
      </c>
      <c r="U455" s="884" t="s">
        <v>41</v>
      </c>
      <c r="V455" s="884" t="s">
        <v>41</v>
      </c>
      <c r="W455" s="884" t="s">
        <v>41</v>
      </c>
      <c r="X455" s="884" t="s">
        <v>41</v>
      </c>
      <c r="Y455" s="884" t="s">
        <v>41</v>
      </c>
      <c r="Z455" s="884" t="s">
        <v>41</v>
      </c>
      <c r="AA455" s="884" t="s">
        <v>41</v>
      </c>
      <c r="AB455" s="1417" t="s">
        <v>41</v>
      </c>
      <c r="AC455" s="1454"/>
    </row>
    <row r="456" spans="1:29" ht="34.35" customHeight="1">
      <c r="A456" s="59" t="s">
        <v>309</v>
      </c>
      <c r="B456" s="61" t="s">
        <v>324</v>
      </c>
      <c r="C456" s="29">
        <v>14</v>
      </c>
      <c r="D456" s="5" t="s">
        <v>311</v>
      </c>
      <c r="E456" s="14" t="s">
        <v>38</v>
      </c>
      <c r="F456" s="2" t="s">
        <v>312</v>
      </c>
      <c r="G456" s="2" t="s">
        <v>40</v>
      </c>
      <c r="H456" s="922">
        <v>0</v>
      </c>
      <c r="I456" s="879">
        <v>46023</v>
      </c>
      <c r="J456" s="921"/>
      <c r="K456" s="884"/>
      <c r="L456" s="884"/>
      <c r="M456" s="884"/>
      <c r="N456" s="884"/>
      <c r="O456" s="884"/>
      <c r="P456" s="884"/>
      <c r="Q456" s="884"/>
      <c r="R456" s="884"/>
      <c r="S456" s="1417"/>
      <c r="T456" s="883"/>
      <c r="U456" s="884"/>
      <c r="V456" s="884"/>
      <c r="W456" s="884"/>
      <c r="X456" s="884"/>
      <c r="Y456" s="884"/>
      <c r="Z456" s="884"/>
      <c r="AA456" s="884"/>
      <c r="AB456" s="1417"/>
      <c r="AC456" s="1454"/>
    </row>
    <row r="457" spans="1:29" ht="34.35" customHeight="1">
      <c r="A457" s="59" t="s">
        <v>309</v>
      </c>
      <c r="B457" s="61" t="s">
        <v>324</v>
      </c>
      <c r="C457" s="29">
        <v>15</v>
      </c>
      <c r="D457" s="5" t="s">
        <v>313</v>
      </c>
      <c r="E457" s="14" t="s">
        <v>38</v>
      </c>
      <c r="F457" s="2" t="s">
        <v>312</v>
      </c>
      <c r="G457" s="2" t="s">
        <v>40</v>
      </c>
      <c r="H457" s="922">
        <v>0</v>
      </c>
      <c r="I457" s="879">
        <v>46023</v>
      </c>
      <c r="J457" s="921"/>
      <c r="K457" s="884"/>
      <c r="L457" s="884"/>
      <c r="M457" s="884"/>
      <c r="N457" s="884"/>
      <c r="O457" s="884"/>
      <c r="P457" s="884"/>
      <c r="Q457" s="884"/>
      <c r="R457" s="884"/>
      <c r="S457" s="1417"/>
      <c r="T457" s="883"/>
      <c r="U457" s="884"/>
      <c r="V457" s="884"/>
      <c r="W457" s="884"/>
      <c r="X457" s="884"/>
      <c r="Y457" s="884"/>
      <c r="Z457" s="884"/>
      <c r="AA457" s="884"/>
      <c r="AB457" s="1417"/>
      <c r="AC457" s="1454"/>
    </row>
    <row r="458" spans="1:29" ht="34.35" customHeight="1">
      <c r="A458" s="59" t="s">
        <v>309</v>
      </c>
      <c r="B458" s="61" t="s">
        <v>324</v>
      </c>
      <c r="C458" s="29">
        <v>16</v>
      </c>
      <c r="D458" s="6" t="s">
        <v>314</v>
      </c>
      <c r="E458" s="14" t="s">
        <v>38</v>
      </c>
      <c r="F458" s="2" t="s">
        <v>312</v>
      </c>
      <c r="G458" s="2" t="s">
        <v>40</v>
      </c>
      <c r="H458" s="922">
        <v>0</v>
      </c>
      <c r="I458" s="879">
        <v>46023</v>
      </c>
      <c r="J458" s="921"/>
      <c r="K458" s="884"/>
      <c r="L458" s="884"/>
      <c r="M458" s="884"/>
      <c r="N458" s="884"/>
      <c r="O458" s="884"/>
      <c r="P458" s="884"/>
      <c r="Q458" s="884"/>
      <c r="R458" s="884"/>
      <c r="S458" s="1417"/>
      <c r="T458" s="883"/>
      <c r="U458" s="884"/>
      <c r="V458" s="884"/>
      <c r="W458" s="884"/>
      <c r="X458" s="884"/>
      <c r="Y458" s="884"/>
      <c r="Z458" s="884"/>
      <c r="AA458" s="884"/>
      <c r="AB458" s="1417"/>
      <c r="AC458" s="1455"/>
    </row>
    <row r="459" spans="1:29" ht="34.35" customHeight="1">
      <c r="A459" s="59" t="s">
        <v>309</v>
      </c>
      <c r="B459" s="61" t="s">
        <v>325</v>
      </c>
      <c r="C459" s="29">
        <v>17</v>
      </c>
      <c r="D459" s="5" t="s">
        <v>326</v>
      </c>
      <c r="E459" s="14" t="s">
        <v>38</v>
      </c>
      <c r="F459" s="2" t="s">
        <v>327</v>
      </c>
      <c r="G459" s="2" t="s">
        <v>40</v>
      </c>
      <c r="H459" s="922">
        <v>0</v>
      </c>
      <c r="I459" s="879">
        <v>46023</v>
      </c>
      <c r="J459" s="921"/>
      <c r="K459" s="884"/>
      <c r="L459" s="884"/>
      <c r="M459" s="884"/>
      <c r="N459" s="884"/>
      <c r="O459" s="884"/>
      <c r="P459" s="884"/>
      <c r="Q459" s="884"/>
      <c r="R459" s="884"/>
      <c r="S459" s="1417"/>
      <c r="T459" s="883"/>
      <c r="U459" s="884"/>
      <c r="V459" s="884"/>
      <c r="W459" s="884"/>
      <c r="X459" s="884"/>
      <c r="Y459" s="884"/>
      <c r="Z459" s="884"/>
      <c r="AA459" s="884"/>
      <c r="AB459" s="1417"/>
      <c r="AC459" s="1454"/>
    </row>
    <row r="460" spans="1:29" ht="34.35" customHeight="1">
      <c r="A460" s="59" t="s">
        <v>309</v>
      </c>
      <c r="B460" s="61" t="s">
        <v>325</v>
      </c>
      <c r="C460" s="29">
        <v>18</v>
      </c>
      <c r="D460" s="5" t="s">
        <v>326</v>
      </c>
      <c r="E460" s="14" t="s">
        <v>136</v>
      </c>
      <c r="F460" s="2" t="s">
        <v>327</v>
      </c>
      <c r="G460" s="2" t="s">
        <v>40</v>
      </c>
      <c r="H460" s="922">
        <v>0</v>
      </c>
      <c r="I460" s="879">
        <v>46023</v>
      </c>
      <c r="J460" s="921"/>
      <c r="K460" s="884"/>
      <c r="L460" s="884"/>
      <c r="M460" s="884"/>
      <c r="N460" s="884"/>
      <c r="O460" s="884"/>
      <c r="P460" s="884"/>
      <c r="Q460" s="884"/>
      <c r="R460" s="884"/>
      <c r="S460" s="1417"/>
      <c r="T460" s="883"/>
      <c r="U460" s="884"/>
      <c r="V460" s="884"/>
      <c r="W460" s="884"/>
      <c r="X460" s="884"/>
      <c r="Y460" s="884"/>
      <c r="Z460" s="884"/>
      <c r="AA460" s="884"/>
      <c r="AB460" s="1417"/>
      <c r="AC460" s="1454"/>
    </row>
    <row r="461" spans="1:29" ht="34.35" customHeight="1">
      <c r="A461" s="59" t="s">
        <v>309</v>
      </c>
      <c r="B461" s="61" t="s">
        <v>325</v>
      </c>
      <c r="C461" s="29">
        <v>19</v>
      </c>
      <c r="D461" s="6" t="s">
        <v>328</v>
      </c>
      <c r="E461" s="14" t="s">
        <v>38</v>
      </c>
      <c r="F461" s="2" t="s">
        <v>327</v>
      </c>
      <c r="G461" s="2" t="s">
        <v>40</v>
      </c>
      <c r="H461" s="922" t="s">
        <v>41</v>
      </c>
      <c r="I461" s="879">
        <v>46023</v>
      </c>
      <c r="J461" s="921"/>
      <c r="K461" s="884"/>
      <c r="L461" s="884"/>
      <c r="M461" s="884"/>
      <c r="N461" s="884"/>
      <c r="O461" s="884"/>
      <c r="P461" s="884"/>
      <c r="Q461" s="884"/>
      <c r="R461" s="884"/>
      <c r="S461" s="1417"/>
      <c r="T461" s="883"/>
      <c r="U461" s="884"/>
      <c r="V461" s="884"/>
      <c r="W461" s="884"/>
      <c r="X461" s="884"/>
      <c r="Y461" s="884"/>
      <c r="Z461" s="884"/>
      <c r="AA461" s="884"/>
      <c r="AB461" s="1417"/>
      <c r="AC461" s="1455"/>
    </row>
    <row r="462" spans="1:29" ht="34.35" customHeight="1">
      <c r="A462" s="59" t="s">
        <v>309</v>
      </c>
      <c r="B462" s="61" t="s">
        <v>325</v>
      </c>
      <c r="C462" s="29">
        <v>20</v>
      </c>
      <c r="D462" s="6" t="s">
        <v>328</v>
      </c>
      <c r="E462" s="14" t="s">
        <v>136</v>
      </c>
      <c r="F462" s="2" t="s">
        <v>327</v>
      </c>
      <c r="G462" s="2" t="s">
        <v>40</v>
      </c>
      <c r="H462" s="922" t="s">
        <v>41</v>
      </c>
      <c r="I462" s="879">
        <v>46023</v>
      </c>
      <c r="J462" s="921"/>
      <c r="K462" s="884"/>
      <c r="L462" s="884"/>
      <c r="M462" s="884"/>
      <c r="N462" s="884"/>
      <c r="O462" s="884"/>
      <c r="P462" s="884"/>
      <c r="Q462" s="884"/>
      <c r="R462" s="884"/>
      <c r="S462" s="1417"/>
      <c r="T462" s="883"/>
      <c r="U462" s="884"/>
      <c r="V462" s="884"/>
      <c r="W462" s="884"/>
      <c r="X462" s="884"/>
      <c r="Y462" s="884"/>
      <c r="Z462" s="884"/>
      <c r="AA462" s="884"/>
      <c r="AB462" s="1417"/>
      <c r="AC462" s="1455"/>
    </row>
    <row r="463" spans="1:29" ht="34.35" customHeight="1">
      <c r="A463" s="59" t="s">
        <v>309</v>
      </c>
      <c r="B463" s="61" t="s">
        <v>325</v>
      </c>
      <c r="C463" s="29">
        <v>21</v>
      </c>
      <c r="D463" s="6" t="s">
        <v>329</v>
      </c>
      <c r="E463" s="14" t="s">
        <v>38</v>
      </c>
      <c r="F463" s="2" t="s">
        <v>327</v>
      </c>
      <c r="G463" s="2" t="s">
        <v>40</v>
      </c>
      <c r="H463" s="922" t="s">
        <v>41</v>
      </c>
      <c r="I463" s="879">
        <v>46023</v>
      </c>
      <c r="J463" s="921"/>
      <c r="K463" s="884">
        <v>2</v>
      </c>
      <c r="L463" s="884"/>
      <c r="M463" s="884"/>
      <c r="N463" s="884"/>
      <c r="O463" s="884"/>
      <c r="P463" s="884"/>
      <c r="Q463" s="884">
        <v>2</v>
      </c>
      <c r="R463" s="884">
        <v>1</v>
      </c>
      <c r="S463" s="1417">
        <v>1</v>
      </c>
      <c r="T463" s="883"/>
      <c r="U463" s="884"/>
      <c r="V463" s="884">
        <f>1+1+3</f>
        <v>5</v>
      </c>
      <c r="W463" s="884"/>
      <c r="X463" s="884">
        <f>18+7</f>
        <v>25</v>
      </c>
      <c r="Y463" s="884">
        <f>54+92</f>
        <v>146</v>
      </c>
      <c r="Z463" s="884"/>
      <c r="AA463" s="884"/>
      <c r="AB463" s="1417">
        <v>8</v>
      </c>
      <c r="AC463" s="1455"/>
    </row>
    <row r="464" spans="1:29" ht="34.35" customHeight="1">
      <c r="A464" s="59" t="s">
        <v>309</v>
      </c>
      <c r="B464" s="61" t="s">
        <v>325</v>
      </c>
      <c r="C464" s="29">
        <v>22</v>
      </c>
      <c r="D464" s="6" t="s">
        <v>329</v>
      </c>
      <c r="E464" s="14" t="s">
        <v>136</v>
      </c>
      <c r="F464" s="2" t="s">
        <v>327</v>
      </c>
      <c r="G464" s="2" t="s">
        <v>40</v>
      </c>
      <c r="H464" s="922" t="s">
        <v>41</v>
      </c>
      <c r="I464" s="879">
        <v>46023</v>
      </c>
      <c r="J464" s="921"/>
      <c r="K464" s="884">
        <v>1.05</v>
      </c>
      <c r="L464" s="884"/>
      <c r="M464" s="884"/>
      <c r="N464" s="884"/>
      <c r="O464" s="884"/>
      <c r="P464" s="884"/>
      <c r="Q464" s="884">
        <v>0.25</v>
      </c>
      <c r="R464" s="884">
        <v>0.54</v>
      </c>
      <c r="S464" s="1417">
        <v>0.18</v>
      </c>
      <c r="T464" s="883"/>
      <c r="U464" s="884"/>
      <c r="V464" s="884">
        <f>0.04+0.97+1.44</f>
        <v>2.4500000000000002</v>
      </c>
      <c r="W464" s="884"/>
      <c r="X464" s="884">
        <f>23.32+3.13</f>
        <v>26.45</v>
      </c>
      <c r="Y464" s="884">
        <f>8.9+69.93</f>
        <v>78.830000000000013</v>
      </c>
      <c r="Z464" s="884"/>
      <c r="AA464" s="884"/>
      <c r="AB464" s="1417">
        <v>8.27</v>
      </c>
      <c r="AC464" s="1455"/>
    </row>
    <row r="465" spans="1:29" ht="34.35" customHeight="1">
      <c r="A465" s="59" t="s">
        <v>309</v>
      </c>
      <c r="B465" s="61" t="s">
        <v>325</v>
      </c>
      <c r="C465" s="29">
        <v>23</v>
      </c>
      <c r="D465" s="6" t="s">
        <v>462</v>
      </c>
      <c r="E465" s="14" t="s">
        <v>38</v>
      </c>
      <c r="F465" s="2" t="s">
        <v>327</v>
      </c>
      <c r="G465" s="2" t="s">
        <v>40</v>
      </c>
      <c r="H465" s="922" t="s">
        <v>41</v>
      </c>
      <c r="I465" s="879">
        <v>46023</v>
      </c>
      <c r="J465" s="921"/>
      <c r="K465" s="884">
        <v>10</v>
      </c>
      <c r="L465" s="884">
        <v>3</v>
      </c>
      <c r="M465" s="884">
        <v>1</v>
      </c>
      <c r="N465" s="884"/>
      <c r="O465" s="884"/>
      <c r="P465" s="884">
        <v>1</v>
      </c>
      <c r="Q465" s="884"/>
      <c r="R465" s="884"/>
      <c r="S465" s="1417">
        <v>11</v>
      </c>
      <c r="T465" s="883"/>
      <c r="U465" s="884"/>
      <c r="V465" s="884">
        <v>7</v>
      </c>
      <c r="W465" s="884"/>
      <c r="X465" s="884"/>
      <c r="Y465" s="884">
        <f>43+156</f>
        <v>199</v>
      </c>
      <c r="Z465" s="884"/>
      <c r="AA465" s="884"/>
      <c r="AB465" s="1417"/>
      <c r="AC465" s="1455"/>
    </row>
    <row r="466" spans="1:29" ht="34.35" customHeight="1">
      <c r="A466" s="59" t="s">
        <v>309</v>
      </c>
      <c r="B466" s="61" t="s">
        <v>325</v>
      </c>
      <c r="C466" s="29">
        <v>24</v>
      </c>
      <c r="D466" s="6" t="s">
        <v>462</v>
      </c>
      <c r="E466" s="14" t="s">
        <v>136</v>
      </c>
      <c r="F466" s="2" t="s">
        <v>327</v>
      </c>
      <c r="G466" s="2" t="s">
        <v>40</v>
      </c>
      <c r="H466" s="922" t="s">
        <v>41</v>
      </c>
      <c r="I466" s="879">
        <v>46023</v>
      </c>
      <c r="J466" s="921"/>
      <c r="K466" s="884">
        <v>3.08</v>
      </c>
      <c r="L466" s="884">
        <v>1.26</v>
      </c>
      <c r="M466" s="884">
        <v>0.13</v>
      </c>
      <c r="N466" s="884"/>
      <c r="O466" s="884"/>
      <c r="P466" s="884">
        <v>0.02</v>
      </c>
      <c r="Q466" s="884"/>
      <c r="R466" s="884"/>
      <c r="S466" s="1417">
        <v>9.52</v>
      </c>
      <c r="T466" s="883"/>
      <c r="U466" s="884"/>
      <c r="V466" s="884">
        <v>5.34</v>
      </c>
      <c r="W466" s="884"/>
      <c r="X466" s="884"/>
      <c r="Y466" s="884">
        <f>26.44+76.34</f>
        <v>102.78</v>
      </c>
      <c r="Z466" s="884"/>
      <c r="AA466" s="884"/>
      <c r="AB466" s="1417"/>
      <c r="AC466" s="1455"/>
    </row>
    <row r="467" spans="1:29" ht="34.35" customHeight="1">
      <c r="A467" s="59" t="s">
        <v>309</v>
      </c>
      <c r="B467" s="61" t="s">
        <v>325</v>
      </c>
      <c r="C467" s="29">
        <v>25</v>
      </c>
      <c r="D467" s="5" t="s">
        <v>331</v>
      </c>
      <c r="E467" s="14" t="s">
        <v>38</v>
      </c>
      <c r="F467" s="2" t="s">
        <v>327</v>
      </c>
      <c r="G467" s="2" t="s">
        <v>332</v>
      </c>
      <c r="H467" s="922">
        <v>0</v>
      </c>
      <c r="I467" s="879">
        <v>46023</v>
      </c>
      <c r="J467" s="921"/>
      <c r="K467" s="884"/>
      <c r="L467" s="884">
        <v>3</v>
      </c>
      <c r="M467" s="884"/>
      <c r="N467" s="884"/>
      <c r="O467" s="884"/>
      <c r="P467" s="884"/>
      <c r="Q467" s="884"/>
      <c r="R467" s="884"/>
      <c r="S467" s="1417">
        <v>3</v>
      </c>
      <c r="T467" s="883"/>
      <c r="U467" s="884"/>
      <c r="V467" s="884"/>
      <c r="W467" s="884"/>
      <c r="X467" s="884"/>
      <c r="Y467" s="884">
        <f>1+4</f>
        <v>5</v>
      </c>
      <c r="Z467" s="884"/>
      <c r="AA467" s="884"/>
      <c r="AB467" s="1417"/>
      <c r="AC467" s="1454"/>
    </row>
    <row r="468" spans="1:29" ht="34.35" customHeight="1">
      <c r="A468" s="59" t="s">
        <v>309</v>
      </c>
      <c r="B468" s="61" t="s">
        <v>325</v>
      </c>
      <c r="C468" s="29">
        <v>26</v>
      </c>
      <c r="D468" s="5" t="s">
        <v>463</v>
      </c>
      <c r="E468" s="14" t="s">
        <v>136</v>
      </c>
      <c r="F468" s="2" t="s">
        <v>327</v>
      </c>
      <c r="G468" s="2" t="s">
        <v>332</v>
      </c>
      <c r="H468" s="922">
        <v>0</v>
      </c>
      <c r="I468" s="879">
        <v>46023</v>
      </c>
      <c r="J468" s="921"/>
      <c r="K468" s="884"/>
      <c r="L468" s="884">
        <v>0.6</v>
      </c>
      <c r="M468" s="884"/>
      <c r="N468" s="884"/>
      <c r="O468" s="884"/>
      <c r="P468" s="884"/>
      <c r="Q468" s="884"/>
      <c r="R468" s="884"/>
      <c r="S468" s="1417">
        <v>3.51</v>
      </c>
      <c r="T468" s="883"/>
      <c r="U468" s="884"/>
      <c r="V468" s="884"/>
      <c r="W468" s="884"/>
      <c r="X468" s="884"/>
      <c r="Y468" s="884">
        <f>0.94+5.7</f>
        <v>6.6400000000000006</v>
      </c>
      <c r="Z468" s="884"/>
      <c r="AA468" s="884"/>
      <c r="AB468" s="1417"/>
      <c r="AC468" s="1454"/>
    </row>
    <row r="469" spans="1:29" ht="34.35" customHeight="1">
      <c r="A469" s="59" t="s">
        <v>309</v>
      </c>
      <c r="B469" s="61" t="s">
        <v>325</v>
      </c>
      <c r="C469" s="29">
        <v>27</v>
      </c>
      <c r="D469" s="5" t="s">
        <v>464</v>
      </c>
      <c r="E469" s="14" t="s">
        <v>38</v>
      </c>
      <c r="F469" s="2" t="s">
        <v>327</v>
      </c>
      <c r="G469" s="2" t="s">
        <v>332</v>
      </c>
      <c r="H469" s="922">
        <v>0</v>
      </c>
      <c r="I469" s="879">
        <v>46023</v>
      </c>
      <c r="J469" s="921"/>
      <c r="K469" s="884"/>
      <c r="L469" s="884"/>
      <c r="M469" s="884"/>
      <c r="N469" s="884"/>
      <c r="O469" s="884"/>
      <c r="P469" s="884"/>
      <c r="Q469" s="884"/>
      <c r="R469" s="884"/>
      <c r="S469" s="1417"/>
      <c r="T469" s="883"/>
      <c r="U469" s="884"/>
      <c r="V469" s="884"/>
      <c r="W469" s="884"/>
      <c r="X469" s="884">
        <v>2</v>
      </c>
      <c r="Y469" s="884"/>
      <c r="Z469" s="884"/>
      <c r="AA469" s="884"/>
      <c r="AB469" s="1417"/>
      <c r="AC469" s="1454"/>
    </row>
    <row r="470" spans="1:29" ht="34.35" customHeight="1">
      <c r="A470" s="59" t="s">
        <v>309</v>
      </c>
      <c r="B470" s="61" t="s">
        <v>325</v>
      </c>
      <c r="C470" s="29">
        <v>28</v>
      </c>
      <c r="D470" s="5" t="s">
        <v>464</v>
      </c>
      <c r="E470" s="14" t="s">
        <v>136</v>
      </c>
      <c r="F470" s="2" t="s">
        <v>327</v>
      </c>
      <c r="G470" s="2" t="s">
        <v>332</v>
      </c>
      <c r="H470" s="922">
        <v>0</v>
      </c>
      <c r="I470" s="879">
        <v>46023</v>
      </c>
      <c r="J470" s="921"/>
      <c r="K470" s="884"/>
      <c r="L470" s="884"/>
      <c r="M470" s="884"/>
      <c r="N470" s="884"/>
      <c r="O470" s="884"/>
      <c r="P470" s="884"/>
      <c r="Q470" s="884"/>
      <c r="R470" s="884"/>
      <c r="S470" s="1417"/>
      <c r="T470" s="883"/>
      <c r="U470" s="884"/>
      <c r="V470" s="884"/>
      <c r="W470" s="884"/>
      <c r="X470" s="884">
        <v>1.76</v>
      </c>
      <c r="Y470" s="884"/>
      <c r="Z470" s="884"/>
      <c r="AA470" s="884"/>
      <c r="AB470" s="1417"/>
      <c r="AC470" s="1454"/>
    </row>
    <row r="471" spans="1:29" ht="34.35" customHeight="1">
      <c r="A471" s="59" t="s">
        <v>309</v>
      </c>
      <c r="B471" s="61" t="s">
        <v>325</v>
      </c>
      <c r="C471" s="29">
        <v>29</v>
      </c>
      <c r="D471" s="5" t="s">
        <v>336</v>
      </c>
      <c r="E471" s="14" t="s">
        <v>38</v>
      </c>
      <c r="F471" s="2" t="s">
        <v>316</v>
      </c>
      <c r="G471" s="2" t="s">
        <v>40</v>
      </c>
      <c r="H471" s="922">
        <v>0</v>
      </c>
      <c r="I471" s="879">
        <v>46023</v>
      </c>
      <c r="J471" s="921"/>
      <c r="K471" s="884"/>
      <c r="L471" s="884"/>
      <c r="M471" s="884"/>
      <c r="N471" s="884"/>
      <c r="O471" s="884"/>
      <c r="P471" s="884"/>
      <c r="Q471" s="884"/>
      <c r="R471" s="884"/>
      <c r="S471" s="1417"/>
      <c r="T471" s="883">
        <v>1</v>
      </c>
      <c r="U471" s="884"/>
      <c r="V471" s="884">
        <f>20+4</f>
        <v>24</v>
      </c>
      <c r="W471" s="884"/>
      <c r="X471" s="884">
        <f>11+2</f>
        <v>13</v>
      </c>
      <c r="Y471" s="884">
        <f>10+1</f>
        <v>11</v>
      </c>
      <c r="Z471" s="884">
        <v>12</v>
      </c>
      <c r="AA471" s="884">
        <f>78+2</f>
        <v>80</v>
      </c>
      <c r="AB471" s="1417"/>
      <c r="AC471" s="1454"/>
    </row>
    <row r="472" spans="1:29" ht="34.35" customHeight="1">
      <c r="A472" s="59" t="s">
        <v>309</v>
      </c>
      <c r="B472" s="61" t="s">
        <v>325</v>
      </c>
      <c r="C472" s="29">
        <v>30</v>
      </c>
      <c r="D472" s="5" t="s">
        <v>336</v>
      </c>
      <c r="E472" s="14" t="s">
        <v>136</v>
      </c>
      <c r="F472" s="2" t="s">
        <v>316</v>
      </c>
      <c r="G472" s="2" t="s">
        <v>40</v>
      </c>
      <c r="H472" s="922">
        <v>0</v>
      </c>
      <c r="I472" s="879">
        <v>46023</v>
      </c>
      <c r="J472" s="921"/>
      <c r="K472" s="884"/>
      <c r="L472" s="884"/>
      <c r="M472" s="884"/>
      <c r="N472" s="884"/>
      <c r="O472" s="884"/>
      <c r="P472" s="884"/>
      <c r="Q472" s="884"/>
      <c r="R472" s="884"/>
      <c r="S472" s="1417"/>
      <c r="T472" s="883">
        <v>0.89</v>
      </c>
      <c r="U472" s="884"/>
      <c r="V472" s="884">
        <f>1.7+1.36</f>
        <v>3.06</v>
      </c>
      <c r="W472" s="884"/>
      <c r="X472" s="887">
        <v>2.76</v>
      </c>
      <c r="Y472" s="887">
        <f>2.01+0.025</f>
        <v>2.0349999999999997</v>
      </c>
      <c r="Z472" s="884">
        <v>0.31</v>
      </c>
      <c r="AA472" s="884">
        <f>6.41+0.58</f>
        <v>6.99</v>
      </c>
      <c r="AB472" s="1417"/>
      <c r="AC472" s="1454"/>
    </row>
    <row r="473" spans="1:29" ht="34.35" customHeight="1">
      <c r="A473" s="59" t="s">
        <v>309</v>
      </c>
      <c r="B473" s="61" t="s">
        <v>325</v>
      </c>
      <c r="C473" s="29">
        <v>31</v>
      </c>
      <c r="D473" s="5" t="s">
        <v>338</v>
      </c>
      <c r="E473" s="14" t="s">
        <v>38</v>
      </c>
      <c r="F473" s="2" t="s">
        <v>316</v>
      </c>
      <c r="G473" s="2" t="s">
        <v>40</v>
      </c>
      <c r="H473" s="922">
        <v>0</v>
      </c>
      <c r="I473" s="879">
        <v>46023</v>
      </c>
      <c r="J473" s="921"/>
      <c r="K473" s="884"/>
      <c r="L473" s="884"/>
      <c r="M473" s="884"/>
      <c r="N473" s="884">
        <v>1</v>
      </c>
      <c r="O473" s="884">
        <v>4</v>
      </c>
      <c r="P473" s="884"/>
      <c r="Q473" s="884"/>
      <c r="R473" s="884"/>
      <c r="S473" s="1417">
        <v>3</v>
      </c>
      <c r="T473" s="883"/>
      <c r="U473" s="884">
        <v>1</v>
      </c>
      <c r="V473" s="884">
        <v>4</v>
      </c>
      <c r="W473" s="884">
        <v>2</v>
      </c>
      <c r="X473" s="884">
        <f>5+20</f>
        <v>25</v>
      </c>
      <c r="Y473" s="884">
        <f>66+11</f>
        <v>77</v>
      </c>
      <c r="Z473" s="884">
        <v>1</v>
      </c>
      <c r="AA473" s="884">
        <v>19</v>
      </c>
      <c r="AB473" s="1417"/>
      <c r="AC473" s="1454"/>
    </row>
    <row r="474" spans="1:29" ht="34.35" customHeight="1">
      <c r="A474" s="59" t="s">
        <v>309</v>
      </c>
      <c r="B474" s="61" t="s">
        <v>325</v>
      </c>
      <c r="C474" s="29">
        <v>32</v>
      </c>
      <c r="D474" s="5" t="s">
        <v>338</v>
      </c>
      <c r="E474" s="14" t="s">
        <v>136</v>
      </c>
      <c r="F474" s="2" t="s">
        <v>316</v>
      </c>
      <c r="G474" s="2" t="s">
        <v>40</v>
      </c>
      <c r="H474" s="922">
        <v>0</v>
      </c>
      <c r="I474" s="879">
        <v>46023</v>
      </c>
      <c r="J474" s="921"/>
      <c r="K474" s="884"/>
      <c r="L474" s="884"/>
      <c r="M474" s="884"/>
      <c r="N474" s="884">
        <v>0.71</v>
      </c>
      <c r="O474" s="884">
        <v>5.74</v>
      </c>
      <c r="P474" s="884"/>
      <c r="Q474" s="884"/>
      <c r="R474" s="884"/>
      <c r="S474" s="1417">
        <v>0.26</v>
      </c>
      <c r="T474" s="883"/>
      <c r="U474" s="884">
        <v>1.25</v>
      </c>
      <c r="V474" s="884">
        <v>8.9499999999999993</v>
      </c>
      <c r="W474" s="884">
        <v>0.19400000000000001</v>
      </c>
      <c r="X474" s="884">
        <f>6.11+26.52</f>
        <v>32.630000000000003</v>
      </c>
      <c r="Y474" s="884">
        <f>38.28+4.27</f>
        <v>42.55</v>
      </c>
      <c r="Z474" s="887">
        <v>0.24389880000000005</v>
      </c>
      <c r="AA474" s="884">
        <v>6.6852479999999996</v>
      </c>
      <c r="AB474" s="1417"/>
      <c r="AC474" s="1454"/>
    </row>
    <row r="475" spans="1:29" ht="34.35" customHeight="1">
      <c r="A475" s="59" t="s">
        <v>309</v>
      </c>
      <c r="B475" s="61" t="s">
        <v>325</v>
      </c>
      <c r="C475" s="29">
        <v>33</v>
      </c>
      <c r="D475" s="5" t="s">
        <v>339</v>
      </c>
      <c r="E475" s="14" t="s">
        <v>133</v>
      </c>
      <c r="F475" s="2" t="s">
        <v>340</v>
      </c>
      <c r="G475" s="2" t="s">
        <v>341</v>
      </c>
      <c r="H475" s="927">
        <v>5.0000000000000001E-3</v>
      </c>
      <c r="I475" s="879">
        <v>46023</v>
      </c>
      <c r="J475" s="921"/>
      <c r="K475" s="884"/>
      <c r="L475" s="884"/>
      <c r="M475" s="884"/>
      <c r="N475" s="884"/>
      <c r="O475" s="884"/>
      <c r="P475" s="884"/>
      <c r="Q475" s="884"/>
      <c r="R475" s="884"/>
      <c r="S475" s="1417"/>
      <c r="T475" s="883"/>
      <c r="U475" s="884"/>
      <c r="V475" s="884"/>
      <c r="W475" s="884"/>
      <c r="X475" s="884"/>
      <c r="Y475" s="884"/>
      <c r="Z475" s="884"/>
      <c r="AA475" s="884"/>
      <c r="AB475" s="1417"/>
      <c r="AC475" s="1457" t="s">
        <v>465</v>
      </c>
    </row>
    <row r="476" spans="1:29" ht="34.35" customHeight="1">
      <c r="A476" s="59" t="s">
        <v>309</v>
      </c>
      <c r="B476" s="61" t="s">
        <v>325</v>
      </c>
      <c r="C476" s="29">
        <v>34</v>
      </c>
      <c r="D476" s="5" t="s">
        <v>339</v>
      </c>
      <c r="E476" s="14" t="s">
        <v>136</v>
      </c>
      <c r="F476" s="2" t="s">
        <v>340</v>
      </c>
      <c r="G476" s="2" t="s">
        <v>341</v>
      </c>
      <c r="H476" s="928" t="s">
        <v>41</v>
      </c>
      <c r="I476" s="879">
        <v>46023</v>
      </c>
      <c r="J476" s="921"/>
      <c r="K476" s="884"/>
      <c r="L476" s="884"/>
      <c r="M476" s="884"/>
      <c r="N476" s="884"/>
      <c r="O476" s="884"/>
      <c r="P476" s="884"/>
      <c r="Q476" s="884"/>
      <c r="R476" s="884"/>
      <c r="S476" s="1417"/>
      <c r="T476" s="883"/>
      <c r="U476" s="884"/>
      <c r="V476" s="884"/>
      <c r="W476" s="884"/>
      <c r="X476" s="884"/>
      <c r="Y476" s="884"/>
      <c r="Z476" s="884"/>
      <c r="AA476" s="884"/>
      <c r="AB476" s="1417"/>
      <c r="AC476" s="1454"/>
    </row>
    <row r="477" spans="1:29" ht="34.35" customHeight="1">
      <c r="A477" s="59" t="s">
        <v>309</v>
      </c>
      <c r="B477" s="61" t="s">
        <v>325</v>
      </c>
      <c r="C477" s="29">
        <v>35</v>
      </c>
      <c r="D477" s="5" t="s">
        <v>342</v>
      </c>
      <c r="E477" s="14" t="s">
        <v>133</v>
      </c>
      <c r="F477" s="2" t="s">
        <v>106</v>
      </c>
      <c r="G477" s="2" t="s">
        <v>285</v>
      </c>
      <c r="H477" s="933"/>
      <c r="I477" s="879">
        <v>46023</v>
      </c>
      <c r="J477" s="921"/>
      <c r="K477" s="884"/>
      <c r="L477" s="884"/>
      <c r="M477" s="884"/>
      <c r="N477" s="884"/>
      <c r="O477" s="884"/>
      <c r="P477" s="884"/>
      <c r="Q477" s="884"/>
      <c r="R477" s="884"/>
      <c r="S477" s="1417"/>
      <c r="T477" s="883"/>
      <c r="U477" s="884"/>
      <c r="V477" s="884"/>
      <c r="W477" s="884"/>
      <c r="X477" s="884"/>
      <c r="Y477" s="884"/>
      <c r="Z477" s="884"/>
      <c r="AA477" s="884"/>
      <c r="AB477" s="1417"/>
      <c r="AC477" s="1454"/>
    </row>
    <row r="478" spans="1:29" ht="34.35" customHeight="1">
      <c r="A478" s="59" t="s">
        <v>309</v>
      </c>
      <c r="B478" s="61" t="s">
        <v>325</v>
      </c>
      <c r="C478" s="29">
        <v>36</v>
      </c>
      <c r="D478" s="5" t="s">
        <v>342</v>
      </c>
      <c r="E478" s="14" t="s">
        <v>136</v>
      </c>
      <c r="F478" s="2" t="s">
        <v>106</v>
      </c>
      <c r="G478" s="2" t="s">
        <v>285</v>
      </c>
      <c r="H478" s="924"/>
      <c r="I478" s="879">
        <v>46023</v>
      </c>
      <c r="J478" s="921"/>
      <c r="K478" s="884"/>
      <c r="L478" s="884"/>
      <c r="M478" s="884"/>
      <c r="N478" s="884"/>
      <c r="O478" s="884"/>
      <c r="P478" s="884"/>
      <c r="Q478" s="884"/>
      <c r="R478" s="884"/>
      <c r="S478" s="1417"/>
      <c r="T478" s="883"/>
      <c r="U478" s="884"/>
      <c r="V478" s="884"/>
      <c r="W478" s="884"/>
      <c r="X478" s="884"/>
      <c r="Y478" s="884"/>
      <c r="Z478" s="884"/>
      <c r="AA478" s="884"/>
      <c r="AB478" s="1417"/>
      <c r="AC478" s="1454"/>
    </row>
    <row r="479" spans="1:29" ht="34.35" customHeight="1">
      <c r="A479" s="59" t="s">
        <v>309</v>
      </c>
      <c r="B479" s="61" t="s">
        <v>325</v>
      </c>
      <c r="C479" s="29">
        <v>37</v>
      </c>
      <c r="D479" s="6" t="s">
        <v>343</v>
      </c>
      <c r="E479" s="14" t="s">
        <v>38</v>
      </c>
      <c r="F479" s="2" t="s">
        <v>105</v>
      </c>
      <c r="G479" s="2"/>
      <c r="H479" s="925" t="s">
        <v>41</v>
      </c>
      <c r="I479" s="879">
        <v>46023</v>
      </c>
      <c r="J479" s="921"/>
      <c r="K479" s="884"/>
      <c r="L479" s="884"/>
      <c r="M479" s="884"/>
      <c r="N479" s="884"/>
      <c r="O479" s="884"/>
      <c r="P479" s="884"/>
      <c r="Q479" s="884"/>
      <c r="R479" s="884"/>
      <c r="S479" s="1417"/>
      <c r="T479" s="883"/>
      <c r="U479" s="884"/>
      <c r="V479" s="884"/>
      <c r="W479" s="884"/>
      <c r="X479" s="884"/>
      <c r="Y479" s="884"/>
      <c r="Z479" s="884"/>
      <c r="AA479" s="884"/>
      <c r="AB479" s="1417"/>
      <c r="AC479" s="1455"/>
    </row>
    <row r="480" spans="1:29" ht="34.35" customHeight="1">
      <c r="A480" s="59" t="s">
        <v>309</v>
      </c>
      <c r="B480" s="61" t="s">
        <v>325</v>
      </c>
      <c r="C480" s="29">
        <v>38</v>
      </c>
      <c r="D480" s="6" t="s">
        <v>343</v>
      </c>
      <c r="E480" s="14" t="s">
        <v>136</v>
      </c>
      <c r="F480" s="2" t="s">
        <v>105</v>
      </c>
      <c r="G480" s="2"/>
      <c r="H480" s="929">
        <f>84578725.86/10^6</f>
        <v>84.578725860000006</v>
      </c>
      <c r="I480" s="879">
        <v>46023</v>
      </c>
      <c r="J480" s="934">
        <f>3270609.97/10^6</f>
        <v>3.2706099700000002</v>
      </c>
      <c r="K480" s="887" t="s">
        <v>41</v>
      </c>
      <c r="L480" s="887">
        <f>439362.46/10^6</f>
        <v>0.43936246000000001</v>
      </c>
      <c r="M480" s="887" t="s">
        <v>41</v>
      </c>
      <c r="N480" s="887" t="s">
        <v>41</v>
      </c>
      <c r="O480" s="887">
        <f>9326.53/10^6</f>
        <v>9.3265300000000013E-3</v>
      </c>
      <c r="P480" s="887">
        <f>38754.46/10^6</f>
        <v>3.8754459999999998E-2</v>
      </c>
      <c r="Q480" s="887" t="s">
        <v>41</v>
      </c>
      <c r="R480" s="887">
        <f>3151855.76/10^6</f>
        <v>3.1518557599999997</v>
      </c>
      <c r="S480" s="1429">
        <f>133630.23/10^6</f>
        <v>0.13363023000000002</v>
      </c>
      <c r="T480" s="883"/>
      <c r="U480" s="884"/>
      <c r="V480" s="884"/>
      <c r="W480" s="884"/>
      <c r="X480" s="884"/>
      <c r="Y480" s="884"/>
      <c r="Z480" s="884"/>
      <c r="AA480" s="884"/>
      <c r="AB480" s="1417"/>
      <c r="AC480" s="1455"/>
    </row>
    <row r="481" spans="1:29" ht="34.35" customHeight="1">
      <c r="A481" s="59" t="s">
        <v>309</v>
      </c>
      <c r="B481" s="61" t="s">
        <v>325</v>
      </c>
      <c r="C481" s="29">
        <v>39</v>
      </c>
      <c r="D481" s="5" t="s">
        <v>344</v>
      </c>
      <c r="E481" s="14" t="s">
        <v>136</v>
      </c>
      <c r="F481" s="2" t="s">
        <v>110</v>
      </c>
      <c r="G481" s="2" t="s">
        <v>345</v>
      </c>
      <c r="H481" s="920">
        <v>3.17</v>
      </c>
      <c r="I481" s="879">
        <v>46023</v>
      </c>
      <c r="J481" s="921"/>
      <c r="K481" s="884"/>
      <c r="L481" s="884"/>
      <c r="M481" s="884"/>
      <c r="N481" s="884"/>
      <c r="O481" s="884"/>
      <c r="P481" s="884"/>
      <c r="Q481" s="884"/>
      <c r="R481" s="884"/>
      <c r="S481" s="1417"/>
      <c r="T481" s="883"/>
      <c r="U481" s="884"/>
      <c r="V481" s="884"/>
      <c r="W481" s="884"/>
      <c r="X481" s="884"/>
      <c r="Y481" s="884"/>
      <c r="Z481" s="884"/>
      <c r="AA481" s="884"/>
      <c r="AB481" s="1417"/>
      <c r="AC481" s="1454"/>
    </row>
    <row r="482" spans="1:29" ht="34.35" customHeight="1">
      <c r="A482" s="59" t="s">
        <v>309</v>
      </c>
      <c r="B482" s="61" t="s">
        <v>325</v>
      </c>
      <c r="C482" s="29">
        <v>40</v>
      </c>
      <c r="D482" s="5" t="s">
        <v>346</v>
      </c>
      <c r="E482" s="14" t="s">
        <v>136</v>
      </c>
      <c r="F482" s="2" t="s">
        <v>110</v>
      </c>
      <c r="G482" s="2" t="s">
        <v>345</v>
      </c>
      <c r="H482" s="920">
        <v>5.84</v>
      </c>
      <c r="I482" s="879">
        <v>46023</v>
      </c>
      <c r="J482" s="921"/>
      <c r="K482" s="884"/>
      <c r="L482" s="884"/>
      <c r="M482" s="884"/>
      <c r="N482" s="884"/>
      <c r="O482" s="884"/>
      <c r="P482" s="884"/>
      <c r="Q482" s="884"/>
      <c r="R482" s="884"/>
      <c r="S482" s="1417"/>
      <c r="T482" s="883"/>
      <c r="U482" s="884"/>
      <c r="V482" s="884"/>
      <c r="W482" s="884"/>
      <c r="X482" s="884"/>
      <c r="Y482" s="884"/>
      <c r="Z482" s="884"/>
      <c r="AA482" s="884"/>
      <c r="AB482" s="1417"/>
      <c r="AC482" s="1454"/>
    </row>
    <row r="483" spans="1:29" ht="34.35" customHeight="1">
      <c r="A483" s="59" t="s">
        <v>309</v>
      </c>
      <c r="B483" s="61" t="s">
        <v>325</v>
      </c>
      <c r="C483" s="29">
        <v>41</v>
      </c>
      <c r="D483" s="5" t="s">
        <v>347</v>
      </c>
      <c r="E483" s="14" t="s">
        <v>38</v>
      </c>
      <c r="F483" s="2" t="s">
        <v>106</v>
      </c>
      <c r="G483" s="2" t="s">
        <v>285</v>
      </c>
      <c r="H483" s="924"/>
      <c r="I483" s="879">
        <v>46023</v>
      </c>
      <c r="J483" s="921"/>
      <c r="K483" s="884"/>
      <c r="L483" s="884"/>
      <c r="M483" s="884"/>
      <c r="N483" s="884"/>
      <c r="O483" s="884"/>
      <c r="P483" s="884"/>
      <c r="Q483" s="884"/>
      <c r="R483" s="884"/>
      <c r="S483" s="1417"/>
      <c r="T483" s="883"/>
      <c r="U483" s="884"/>
      <c r="V483" s="884"/>
      <c r="W483" s="884"/>
      <c r="X483" s="884"/>
      <c r="Y483" s="884"/>
      <c r="Z483" s="884"/>
      <c r="AA483" s="884"/>
      <c r="AB483" s="1417"/>
      <c r="AC483" s="1454"/>
    </row>
    <row r="484" spans="1:29" ht="34.35" customHeight="1">
      <c r="A484" s="59" t="s">
        <v>309</v>
      </c>
      <c r="B484" s="61" t="s">
        <v>325</v>
      </c>
      <c r="C484" s="29">
        <v>42</v>
      </c>
      <c r="D484" s="5" t="s">
        <v>347</v>
      </c>
      <c r="E484" s="14" t="s">
        <v>136</v>
      </c>
      <c r="F484" s="2" t="s">
        <v>106</v>
      </c>
      <c r="G484" s="2" t="s">
        <v>285</v>
      </c>
      <c r="H484" s="924"/>
      <c r="I484" s="879">
        <v>46023</v>
      </c>
      <c r="J484" s="921"/>
      <c r="K484" s="884"/>
      <c r="L484" s="884"/>
      <c r="M484" s="884"/>
      <c r="N484" s="884"/>
      <c r="O484" s="884"/>
      <c r="P484" s="884"/>
      <c r="Q484" s="884"/>
      <c r="R484" s="884"/>
      <c r="S484" s="1417"/>
      <c r="T484" s="883"/>
      <c r="U484" s="884"/>
      <c r="V484" s="884"/>
      <c r="W484" s="884"/>
      <c r="X484" s="884"/>
      <c r="Y484" s="884"/>
      <c r="Z484" s="884"/>
      <c r="AA484" s="884"/>
      <c r="AB484" s="1417"/>
      <c r="AC484" s="1454"/>
    </row>
    <row r="485" spans="1:29" ht="34.35" customHeight="1">
      <c r="A485" s="59" t="s">
        <v>309</v>
      </c>
      <c r="B485" s="61" t="s">
        <v>325</v>
      </c>
      <c r="C485" s="29">
        <v>43</v>
      </c>
      <c r="D485" s="5" t="s">
        <v>349</v>
      </c>
      <c r="E485" s="14" t="s">
        <v>136</v>
      </c>
      <c r="F485" s="2" t="s">
        <v>340</v>
      </c>
      <c r="G485" s="2" t="s">
        <v>134</v>
      </c>
      <c r="H485" s="920">
        <v>5.4</v>
      </c>
      <c r="I485" s="879">
        <v>46023</v>
      </c>
      <c r="J485" s="921"/>
      <c r="K485" s="884"/>
      <c r="L485" s="884"/>
      <c r="M485" s="884"/>
      <c r="N485" s="884"/>
      <c r="O485" s="884"/>
      <c r="P485" s="884"/>
      <c r="Q485" s="884"/>
      <c r="R485" s="884"/>
      <c r="S485" s="1417"/>
      <c r="T485" s="883"/>
      <c r="U485" s="884"/>
      <c r="V485" s="884"/>
      <c r="W485" s="884"/>
      <c r="X485" s="884"/>
      <c r="Y485" s="884"/>
      <c r="Z485" s="884"/>
      <c r="AA485" s="884"/>
      <c r="AB485" s="1417"/>
      <c r="AC485" s="1454"/>
    </row>
    <row r="486" spans="1:29" ht="34.35" customHeight="1">
      <c r="A486" s="59" t="s">
        <v>309</v>
      </c>
      <c r="B486" s="61" t="s">
        <v>325</v>
      </c>
      <c r="C486" s="29">
        <v>44</v>
      </c>
      <c r="D486" s="5" t="s">
        <v>350</v>
      </c>
      <c r="E486" s="14" t="s">
        <v>38</v>
      </c>
      <c r="F486" s="2" t="s">
        <v>106</v>
      </c>
      <c r="G486" s="2" t="s">
        <v>134</v>
      </c>
      <c r="H486" s="924">
        <v>200</v>
      </c>
      <c r="I486" s="879">
        <v>46023</v>
      </c>
      <c r="J486" s="921"/>
      <c r="K486" s="884"/>
      <c r="L486" s="884"/>
      <c r="M486" s="884"/>
      <c r="N486" s="884"/>
      <c r="O486" s="884"/>
      <c r="P486" s="884"/>
      <c r="Q486" s="884"/>
      <c r="R486" s="884"/>
      <c r="S486" s="1417"/>
      <c r="T486" s="883"/>
      <c r="U486" s="884"/>
      <c r="V486" s="884"/>
      <c r="W486" s="884"/>
      <c r="X486" s="884"/>
      <c r="Y486" s="884"/>
      <c r="Z486" s="884"/>
      <c r="AA486" s="884"/>
      <c r="AB486" s="1417"/>
      <c r="AC486" s="1454"/>
    </row>
    <row r="487" spans="1:29" ht="34.35" customHeight="1">
      <c r="A487" s="59" t="s">
        <v>309</v>
      </c>
      <c r="B487" s="61" t="s">
        <v>325</v>
      </c>
      <c r="C487" s="29">
        <v>45</v>
      </c>
      <c r="D487" s="5" t="s">
        <v>350</v>
      </c>
      <c r="E487" s="14" t="s">
        <v>136</v>
      </c>
      <c r="F487" s="2" t="s">
        <v>106</v>
      </c>
      <c r="G487" s="2" t="s">
        <v>134</v>
      </c>
      <c r="H487" s="924">
        <v>90</v>
      </c>
      <c r="I487" s="879">
        <v>46023</v>
      </c>
      <c r="J487" s="921"/>
      <c r="K487" s="884"/>
      <c r="L487" s="884"/>
      <c r="M487" s="884"/>
      <c r="N487" s="884"/>
      <c r="O487" s="884"/>
      <c r="P487" s="884"/>
      <c r="Q487" s="884"/>
      <c r="R487" s="884"/>
      <c r="S487" s="1417"/>
      <c r="T487" s="883"/>
      <c r="U487" s="884"/>
      <c r="V487" s="884"/>
      <c r="W487" s="884"/>
      <c r="X487" s="884"/>
      <c r="Y487" s="884"/>
      <c r="Z487" s="884"/>
      <c r="AA487" s="884"/>
      <c r="AB487" s="1417"/>
      <c r="AC487" s="1454"/>
    </row>
    <row r="488" spans="1:29" ht="34.35" customHeight="1">
      <c r="A488" s="59" t="s">
        <v>309</v>
      </c>
      <c r="B488" s="62" t="s">
        <v>351</v>
      </c>
      <c r="C488" s="29">
        <v>46</v>
      </c>
      <c r="D488" s="63" t="s">
        <v>41</v>
      </c>
      <c r="E488" s="14" t="s">
        <v>353</v>
      </c>
      <c r="F488" s="2" t="s">
        <v>312</v>
      </c>
      <c r="G488" s="1" t="s">
        <v>40</v>
      </c>
      <c r="H488" s="920">
        <v>1.2</v>
      </c>
      <c r="I488" s="879">
        <v>46023</v>
      </c>
      <c r="J488" s="921"/>
      <c r="K488" s="884"/>
      <c r="L488" s="884"/>
      <c r="M488" s="884"/>
      <c r="N488" s="884"/>
      <c r="O488" s="884"/>
      <c r="P488" s="884"/>
      <c r="Q488" s="884"/>
      <c r="R488" s="884"/>
      <c r="S488" s="1417"/>
      <c r="T488" s="883"/>
      <c r="U488" s="884"/>
      <c r="V488" s="884"/>
      <c r="W488" s="884"/>
      <c r="X488" s="884"/>
      <c r="Y488" s="884"/>
      <c r="Z488" s="884"/>
      <c r="AA488" s="884"/>
      <c r="AB488" s="1417"/>
      <c r="AC488" s="1456" t="s">
        <v>352</v>
      </c>
    </row>
    <row r="489" spans="1:29" ht="34.35" customHeight="1">
      <c r="A489" s="59" t="s">
        <v>309</v>
      </c>
      <c r="B489" s="64" t="s">
        <v>354</v>
      </c>
      <c r="C489" s="29">
        <v>47</v>
      </c>
      <c r="D489" s="63" t="s">
        <v>41</v>
      </c>
      <c r="E489" s="14" t="s">
        <v>353</v>
      </c>
      <c r="F489" s="2" t="s">
        <v>327</v>
      </c>
      <c r="G489" s="1" t="s">
        <v>40</v>
      </c>
      <c r="H489" s="922">
        <v>0</v>
      </c>
      <c r="I489" s="879">
        <v>46023</v>
      </c>
      <c r="J489" s="921"/>
      <c r="K489" s="884"/>
      <c r="L489" s="884"/>
      <c r="M489" s="884"/>
      <c r="N489" s="884"/>
      <c r="O489" s="884"/>
      <c r="P489" s="884"/>
      <c r="Q489" s="884"/>
      <c r="R489" s="884"/>
      <c r="S489" s="1417"/>
      <c r="T489" s="883"/>
      <c r="U489" s="884"/>
      <c r="V489" s="884"/>
      <c r="W489" s="884"/>
      <c r="X489" s="884"/>
      <c r="Y489" s="884"/>
      <c r="Z489" s="884"/>
      <c r="AA489" s="884"/>
      <c r="AB489" s="1417"/>
      <c r="AC489" s="1457" t="s">
        <v>466</v>
      </c>
    </row>
    <row r="490" spans="1:29" ht="34.35" customHeight="1">
      <c r="A490" s="59" t="s">
        <v>309</v>
      </c>
      <c r="B490" s="64" t="s">
        <v>356</v>
      </c>
      <c r="C490" s="29">
        <v>48</v>
      </c>
      <c r="D490" s="63" t="s">
        <v>41</v>
      </c>
      <c r="E490" s="14" t="s">
        <v>353</v>
      </c>
      <c r="F490" s="2" t="s">
        <v>321</v>
      </c>
      <c r="G490" s="1" t="s">
        <v>40</v>
      </c>
      <c r="H490" s="922">
        <v>0</v>
      </c>
      <c r="I490" s="879">
        <v>46023</v>
      </c>
      <c r="J490" s="921" t="s">
        <v>41</v>
      </c>
      <c r="K490" s="884" t="s">
        <v>41</v>
      </c>
      <c r="L490" s="884" t="s">
        <v>41</v>
      </c>
      <c r="M490" s="884" t="s">
        <v>41</v>
      </c>
      <c r="N490" s="884" t="s">
        <v>41</v>
      </c>
      <c r="O490" s="884" t="s">
        <v>41</v>
      </c>
      <c r="P490" s="884" t="s">
        <v>41</v>
      </c>
      <c r="Q490" s="884" t="s">
        <v>41</v>
      </c>
      <c r="R490" s="884" t="s">
        <v>41</v>
      </c>
      <c r="S490" s="1417" t="s">
        <v>41</v>
      </c>
      <c r="T490" s="883" t="s">
        <v>41</v>
      </c>
      <c r="U490" s="884" t="s">
        <v>41</v>
      </c>
      <c r="V490" s="884" t="s">
        <v>41</v>
      </c>
      <c r="W490" s="884" t="s">
        <v>41</v>
      </c>
      <c r="X490" s="884" t="s">
        <v>41</v>
      </c>
      <c r="Y490" s="884" t="s">
        <v>41</v>
      </c>
      <c r="Z490" s="884" t="s">
        <v>41</v>
      </c>
      <c r="AA490" s="884" t="s">
        <v>41</v>
      </c>
      <c r="AB490" s="1417" t="s">
        <v>41</v>
      </c>
      <c r="AC490" s="1457" t="s">
        <v>466</v>
      </c>
    </row>
    <row r="491" spans="1:29" ht="34.35" customHeight="1">
      <c r="A491" s="69" t="s">
        <v>309</v>
      </c>
      <c r="B491" s="11" t="s">
        <v>357</v>
      </c>
      <c r="C491" s="73">
        <v>49</v>
      </c>
      <c r="D491" s="7" t="s">
        <v>41</v>
      </c>
      <c r="E491" s="71" t="s">
        <v>38</v>
      </c>
      <c r="F491" s="2" t="s">
        <v>312</v>
      </c>
      <c r="G491" s="1" t="s">
        <v>41</v>
      </c>
      <c r="H491" s="922">
        <v>0</v>
      </c>
      <c r="I491" s="879">
        <v>46023</v>
      </c>
      <c r="J491" s="931"/>
      <c r="K491" s="887"/>
      <c r="L491" s="887"/>
      <c r="M491" s="887"/>
      <c r="N491" s="887"/>
      <c r="O491" s="887"/>
      <c r="P491" s="887"/>
      <c r="Q491" s="887"/>
      <c r="R491" s="887"/>
      <c r="S491" s="887"/>
      <c r="T491" s="887"/>
      <c r="U491" s="887"/>
      <c r="V491" s="887"/>
      <c r="W491" s="887"/>
      <c r="X491" s="887"/>
      <c r="Y491" s="887"/>
      <c r="Z491" s="887"/>
      <c r="AA491" s="887"/>
      <c r="AC491" s="1459"/>
    </row>
    <row r="492" spans="1:29" ht="34.35" customHeight="1">
      <c r="A492" s="59" t="s">
        <v>309</v>
      </c>
      <c r="B492" s="60" t="s">
        <v>310</v>
      </c>
      <c r="C492" s="29">
        <v>1</v>
      </c>
      <c r="D492" s="5" t="s">
        <v>311</v>
      </c>
      <c r="E492" s="14" t="s">
        <v>38</v>
      </c>
      <c r="F492" s="2" t="s">
        <v>312</v>
      </c>
      <c r="G492" s="2" t="s">
        <v>40</v>
      </c>
      <c r="H492" s="920">
        <v>0</v>
      </c>
      <c r="I492" s="879">
        <v>46054</v>
      </c>
      <c r="J492" s="921"/>
      <c r="K492" s="884"/>
      <c r="L492" s="884"/>
      <c r="M492" s="884"/>
      <c r="N492" s="884"/>
      <c r="O492" s="884"/>
      <c r="P492" s="884"/>
      <c r="Q492" s="884"/>
      <c r="R492" s="884"/>
      <c r="S492" s="1417"/>
      <c r="T492" s="883"/>
      <c r="U492" s="884"/>
      <c r="V492" s="884"/>
      <c r="W492" s="884"/>
      <c r="X492" s="884"/>
      <c r="Y492" s="884"/>
      <c r="Z492" s="884"/>
      <c r="AA492" s="884"/>
      <c r="AB492" s="1417"/>
      <c r="AC492" s="1454"/>
    </row>
    <row r="493" spans="1:29" ht="34.35" customHeight="1">
      <c r="A493" s="59" t="s">
        <v>309</v>
      </c>
      <c r="B493" s="60" t="s">
        <v>310</v>
      </c>
      <c r="C493" s="29">
        <v>2</v>
      </c>
      <c r="D493" s="5" t="s">
        <v>313</v>
      </c>
      <c r="E493" s="14" t="s">
        <v>38</v>
      </c>
      <c r="F493" s="2" t="s">
        <v>312</v>
      </c>
      <c r="G493" s="2" t="s">
        <v>40</v>
      </c>
      <c r="H493" s="920">
        <v>0</v>
      </c>
      <c r="I493" s="879">
        <v>46054</v>
      </c>
      <c r="J493" s="921"/>
      <c r="K493" s="884"/>
      <c r="L493" s="884"/>
      <c r="M493" s="884"/>
      <c r="N493" s="884"/>
      <c r="O493" s="884"/>
      <c r="P493" s="884"/>
      <c r="Q493" s="884"/>
      <c r="R493" s="884"/>
      <c r="S493" s="1417"/>
      <c r="T493" s="883"/>
      <c r="U493" s="884"/>
      <c r="V493" s="884"/>
      <c r="W493" s="884"/>
      <c r="X493" s="884"/>
      <c r="Y493" s="884"/>
      <c r="Z493" s="884"/>
      <c r="AA493" s="884"/>
      <c r="AB493" s="1417"/>
      <c r="AC493" s="1454"/>
    </row>
    <row r="494" spans="1:29" ht="34.35" customHeight="1">
      <c r="A494" s="59" t="s">
        <v>309</v>
      </c>
      <c r="B494" s="60" t="s">
        <v>310</v>
      </c>
      <c r="C494" s="29">
        <v>3</v>
      </c>
      <c r="D494" s="6" t="s">
        <v>314</v>
      </c>
      <c r="E494" s="14" t="s">
        <v>38</v>
      </c>
      <c r="F494" s="2" t="s">
        <v>312</v>
      </c>
      <c r="G494" s="2" t="s">
        <v>40</v>
      </c>
      <c r="H494" s="920">
        <v>0</v>
      </c>
      <c r="I494" s="879">
        <v>46054</v>
      </c>
      <c r="J494" s="921"/>
      <c r="K494" s="884"/>
      <c r="L494" s="884"/>
      <c r="M494" s="884"/>
      <c r="N494" s="884"/>
      <c r="O494" s="884"/>
      <c r="P494" s="884"/>
      <c r="Q494" s="884"/>
      <c r="R494" s="884"/>
      <c r="S494" s="1417"/>
      <c r="T494" s="883"/>
      <c r="U494" s="884"/>
      <c r="V494" s="884"/>
      <c r="W494" s="884"/>
      <c r="X494" s="884"/>
      <c r="Y494" s="884"/>
      <c r="Z494" s="884"/>
      <c r="AA494" s="884"/>
      <c r="AB494" s="1417"/>
      <c r="AC494" s="1455"/>
    </row>
    <row r="495" spans="1:29" ht="34.35" customHeight="1">
      <c r="A495" s="59" t="s">
        <v>309</v>
      </c>
      <c r="B495" s="60" t="s">
        <v>310</v>
      </c>
      <c r="C495" s="29">
        <v>4</v>
      </c>
      <c r="D495" s="5" t="s">
        <v>315</v>
      </c>
      <c r="E495" s="14" t="s">
        <v>38</v>
      </c>
      <c r="F495" s="2" t="s">
        <v>316</v>
      </c>
      <c r="G495" s="2" t="s">
        <v>40</v>
      </c>
      <c r="H495" s="920">
        <v>280</v>
      </c>
      <c r="I495" s="879">
        <v>46054</v>
      </c>
      <c r="J495" s="921"/>
      <c r="K495" s="884">
        <v>1</v>
      </c>
      <c r="L495" s="884"/>
      <c r="M495" s="884"/>
      <c r="N495" s="884">
        <v>1</v>
      </c>
      <c r="O495" s="884"/>
      <c r="P495" s="884"/>
      <c r="Q495" s="884"/>
      <c r="R495" s="884"/>
      <c r="S495" s="922"/>
      <c r="T495" s="883"/>
      <c r="U495" s="884"/>
      <c r="V495" s="884">
        <v>4</v>
      </c>
      <c r="W495" s="884"/>
      <c r="X495" s="884"/>
      <c r="Y495" s="884">
        <v>8</v>
      </c>
      <c r="Z495" s="884"/>
      <c r="AA495" s="884"/>
      <c r="AB495" s="1417"/>
      <c r="AC495" s="1456" t="s">
        <v>458</v>
      </c>
    </row>
    <row r="496" spans="1:29" ht="34.35" customHeight="1">
      <c r="A496" s="59" t="s">
        <v>309</v>
      </c>
      <c r="B496" s="60" t="s">
        <v>310</v>
      </c>
      <c r="C496" s="29">
        <v>5</v>
      </c>
      <c r="D496" s="5" t="s">
        <v>315</v>
      </c>
      <c r="E496" s="14" t="s">
        <v>136</v>
      </c>
      <c r="F496" s="2" t="s">
        <v>316</v>
      </c>
      <c r="G496" s="2" t="s">
        <v>40</v>
      </c>
      <c r="H496" s="920">
        <v>106</v>
      </c>
      <c r="I496" s="879">
        <v>46054</v>
      </c>
      <c r="J496" s="921"/>
      <c r="K496" s="887">
        <v>0.22600000000000001</v>
      </c>
      <c r="L496" s="884"/>
      <c r="M496" s="884"/>
      <c r="N496" s="887">
        <v>0.63670000000000004</v>
      </c>
      <c r="O496" s="884"/>
      <c r="P496" s="884"/>
      <c r="Q496" s="884"/>
      <c r="R496" s="884"/>
      <c r="S496" s="922"/>
      <c r="T496" s="883"/>
      <c r="U496" s="884"/>
      <c r="V496" s="887">
        <v>0.1045</v>
      </c>
      <c r="W496" s="884"/>
      <c r="X496" s="884"/>
      <c r="Y496" s="887">
        <f>2.757+0.997</f>
        <v>3.754</v>
      </c>
      <c r="Z496" s="884"/>
      <c r="AA496" s="884"/>
      <c r="AB496" s="1417"/>
      <c r="AC496" s="1456" t="s">
        <v>459</v>
      </c>
    </row>
    <row r="497" spans="1:29" ht="34.35" customHeight="1">
      <c r="A497" s="59" t="s">
        <v>309</v>
      </c>
      <c r="B497" s="60" t="s">
        <v>310</v>
      </c>
      <c r="C497" s="29">
        <v>6</v>
      </c>
      <c r="D497" s="5" t="s">
        <v>317</v>
      </c>
      <c r="E497" s="14" t="s">
        <v>38</v>
      </c>
      <c r="F497" s="2" t="s">
        <v>316</v>
      </c>
      <c r="G497" s="2" t="s">
        <v>40</v>
      </c>
      <c r="H497" s="920">
        <v>0</v>
      </c>
      <c r="I497" s="879">
        <v>46054</v>
      </c>
      <c r="J497" s="921"/>
      <c r="K497" s="884"/>
      <c r="L497" s="884"/>
      <c r="M497" s="884"/>
      <c r="N497" s="884"/>
      <c r="O497" s="884"/>
      <c r="P497" s="884"/>
      <c r="Q497" s="884"/>
      <c r="R497" s="884"/>
      <c r="S497" s="1417"/>
      <c r="T497" s="883"/>
      <c r="U497" s="884"/>
      <c r="V497" s="884"/>
      <c r="W497" s="884"/>
      <c r="X497" s="884"/>
      <c r="Y497" s="884"/>
      <c r="Z497" s="884"/>
      <c r="AA497" s="884"/>
      <c r="AB497" s="1417"/>
      <c r="AC497" s="1454"/>
    </row>
    <row r="498" spans="1:29" ht="34.35" customHeight="1">
      <c r="A498" s="59" t="s">
        <v>309</v>
      </c>
      <c r="B498" s="60" t="s">
        <v>310</v>
      </c>
      <c r="C498" s="29">
        <v>7</v>
      </c>
      <c r="D498" s="5" t="s">
        <v>317</v>
      </c>
      <c r="E498" s="14" t="s">
        <v>136</v>
      </c>
      <c r="F498" s="2" t="s">
        <v>316</v>
      </c>
      <c r="G498" s="2" t="s">
        <v>40</v>
      </c>
      <c r="H498" s="920">
        <v>0</v>
      </c>
      <c r="I498" s="879">
        <v>46054</v>
      </c>
      <c r="J498" s="921"/>
      <c r="K498" s="884"/>
      <c r="L498" s="884"/>
      <c r="M498" s="884"/>
      <c r="N498" s="884"/>
      <c r="O498" s="884"/>
      <c r="P498" s="884"/>
      <c r="Q498" s="884"/>
      <c r="R498" s="884"/>
      <c r="S498" s="1417"/>
      <c r="T498" s="883"/>
      <c r="U498" s="884"/>
      <c r="V498" s="884"/>
      <c r="W498" s="884"/>
      <c r="X498" s="884"/>
      <c r="Y498" s="884"/>
      <c r="Z498" s="884"/>
      <c r="AA498" s="884"/>
      <c r="AB498" s="1417"/>
      <c r="AC498" s="1454"/>
    </row>
    <row r="499" spans="1:29" ht="34.35" customHeight="1">
      <c r="A499" s="59" t="s">
        <v>309</v>
      </c>
      <c r="B499" s="60" t="s">
        <v>310</v>
      </c>
      <c r="C499" s="29">
        <v>8</v>
      </c>
      <c r="D499" s="5" t="s">
        <v>318</v>
      </c>
      <c r="E499" s="14" t="s">
        <v>38</v>
      </c>
      <c r="F499" s="2" t="s">
        <v>316</v>
      </c>
      <c r="G499" s="2" t="s">
        <v>40</v>
      </c>
      <c r="H499" s="920">
        <v>192</v>
      </c>
      <c r="I499" s="879">
        <v>46054</v>
      </c>
      <c r="J499" s="921"/>
      <c r="K499" s="884"/>
      <c r="L499" s="884"/>
      <c r="M499" s="884"/>
      <c r="N499" s="884">
        <v>1</v>
      </c>
      <c r="O499" s="884"/>
      <c r="P499" s="884"/>
      <c r="Q499" s="884"/>
      <c r="R499" s="884"/>
      <c r="S499" s="1417"/>
      <c r="T499" s="883"/>
      <c r="U499" s="884"/>
      <c r="V499" s="884"/>
      <c r="W499" s="884"/>
      <c r="X499" s="884"/>
      <c r="Y499" s="884">
        <v>10</v>
      </c>
      <c r="Z499" s="884"/>
      <c r="AA499" s="884">
        <v>1</v>
      </c>
      <c r="AB499" s="1417"/>
      <c r="AC499" s="1456" t="s">
        <v>460</v>
      </c>
    </row>
    <row r="500" spans="1:29" ht="34.35" customHeight="1">
      <c r="A500" s="59" t="s">
        <v>309</v>
      </c>
      <c r="B500" s="60" t="s">
        <v>310</v>
      </c>
      <c r="C500" s="29">
        <v>9</v>
      </c>
      <c r="D500" s="5" t="s">
        <v>318</v>
      </c>
      <c r="E500" s="14" t="s">
        <v>136</v>
      </c>
      <c r="F500" s="2" t="s">
        <v>316</v>
      </c>
      <c r="G500" s="2" t="s">
        <v>40</v>
      </c>
      <c r="H500" s="920">
        <v>307</v>
      </c>
      <c r="I500" s="879">
        <v>46054</v>
      </c>
      <c r="J500" s="921"/>
      <c r="K500" s="884"/>
      <c r="L500" s="884"/>
      <c r="M500" s="884"/>
      <c r="N500" s="884">
        <v>0.1</v>
      </c>
      <c r="O500" s="884"/>
      <c r="P500" s="884"/>
      <c r="Q500" s="884"/>
      <c r="R500" s="884"/>
      <c r="S500" s="1417"/>
      <c r="T500" s="883"/>
      <c r="U500" s="884"/>
      <c r="V500" s="884"/>
      <c r="W500" s="884"/>
      <c r="X500" s="884"/>
      <c r="Y500" s="887">
        <f>7.2628+0.66</f>
        <v>7.9228000000000005</v>
      </c>
      <c r="Z500" s="884"/>
      <c r="AA500" s="887">
        <v>0.28799999999999998</v>
      </c>
      <c r="AB500" s="1417"/>
      <c r="AC500" s="1456" t="s">
        <v>461</v>
      </c>
    </row>
    <row r="501" spans="1:29" ht="34.35" customHeight="1">
      <c r="A501" s="59" t="s">
        <v>309</v>
      </c>
      <c r="B501" s="60" t="s">
        <v>319</v>
      </c>
      <c r="C501" s="29">
        <v>10</v>
      </c>
      <c r="D501" s="5" t="s">
        <v>320</v>
      </c>
      <c r="E501" s="14" t="s">
        <v>38</v>
      </c>
      <c r="F501" s="2" t="s">
        <v>321</v>
      </c>
      <c r="G501" s="2" t="s">
        <v>40</v>
      </c>
      <c r="H501" s="920">
        <v>0</v>
      </c>
      <c r="I501" s="879">
        <v>46054</v>
      </c>
      <c r="J501" s="921">
        <v>0</v>
      </c>
      <c r="K501" s="884">
        <v>0</v>
      </c>
      <c r="L501" s="884">
        <v>0</v>
      </c>
      <c r="M501" s="884">
        <v>0</v>
      </c>
      <c r="N501" s="884">
        <v>0</v>
      </c>
      <c r="O501" s="884">
        <v>0</v>
      </c>
      <c r="P501" s="884">
        <v>0</v>
      </c>
      <c r="Q501" s="884">
        <v>0</v>
      </c>
      <c r="R501" s="884">
        <v>0</v>
      </c>
      <c r="S501" s="1417">
        <v>0</v>
      </c>
      <c r="T501" s="883">
        <v>0</v>
      </c>
      <c r="U501" s="884">
        <v>0</v>
      </c>
      <c r="V501" s="884">
        <v>0</v>
      </c>
      <c r="W501" s="884">
        <v>0</v>
      </c>
      <c r="X501" s="884">
        <v>0</v>
      </c>
      <c r="Y501" s="884">
        <v>0</v>
      </c>
      <c r="Z501" s="884">
        <v>0</v>
      </c>
      <c r="AA501" s="884">
        <v>0</v>
      </c>
      <c r="AB501" s="1417">
        <v>0</v>
      </c>
      <c r="AC501" s="1454"/>
    </row>
    <row r="502" spans="1:29" ht="34.35" customHeight="1">
      <c r="A502" s="59" t="s">
        <v>309</v>
      </c>
      <c r="B502" s="60" t="s">
        <v>319</v>
      </c>
      <c r="C502" s="29">
        <v>11</v>
      </c>
      <c r="D502" s="5" t="s">
        <v>322</v>
      </c>
      <c r="E502" s="14" t="s">
        <v>38</v>
      </c>
      <c r="F502" s="2" t="s">
        <v>321</v>
      </c>
      <c r="G502" s="2" t="s">
        <v>40</v>
      </c>
      <c r="H502" s="920">
        <v>0</v>
      </c>
      <c r="I502" s="879">
        <v>46054</v>
      </c>
      <c r="J502" s="921">
        <v>0</v>
      </c>
      <c r="K502" s="884">
        <v>0</v>
      </c>
      <c r="L502" s="884">
        <v>0</v>
      </c>
      <c r="M502" s="884">
        <v>0</v>
      </c>
      <c r="N502" s="884">
        <v>0</v>
      </c>
      <c r="O502" s="884">
        <v>0</v>
      </c>
      <c r="P502" s="884">
        <v>0</v>
      </c>
      <c r="Q502" s="884">
        <v>0</v>
      </c>
      <c r="R502" s="884">
        <v>0</v>
      </c>
      <c r="S502" s="1417">
        <v>0</v>
      </c>
      <c r="T502" s="883">
        <v>0</v>
      </c>
      <c r="U502" s="884">
        <v>0</v>
      </c>
      <c r="V502" s="884">
        <v>0</v>
      </c>
      <c r="W502" s="884">
        <v>0</v>
      </c>
      <c r="X502" s="884">
        <v>0</v>
      </c>
      <c r="Y502" s="884">
        <v>0</v>
      </c>
      <c r="Z502" s="884">
        <v>0</v>
      </c>
      <c r="AA502" s="884">
        <v>0</v>
      </c>
      <c r="AB502" s="1417">
        <v>0</v>
      </c>
      <c r="AC502" s="1454"/>
    </row>
    <row r="503" spans="1:29" ht="34.35" customHeight="1">
      <c r="A503" s="59" t="s">
        <v>309</v>
      </c>
      <c r="B503" s="60" t="s">
        <v>319</v>
      </c>
      <c r="C503" s="29">
        <v>12</v>
      </c>
      <c r="D503" s="5" t="s">
        <v>313</v>
      </c>
      <c r="E503" s="14" t="s">
        <v>38</v>
      </c>
      <c r="F503" s="2" t="s">
        <v>321</v>
      </c>
      <c r="G503" s="2" t="s">
        <v>40</v>
      </c>
      <c r="H503" s="920">
        <v>0</v>
      </c>
      <c r="I503" s="879">
        <v>46054</v>
      </c>
      <c r="J503" s="921">
        <v>0</v>
      </c>
      <c r="K503" s="884">
        <v>0</v>
      </c>
      <c r="L503" s="884">
        <v>0</v>
      </c>
      <c r="M503" s="884">
        <v>0</v>
      </c>
      <c r="N503" s="884">
        <v>0</v>
      </c>
      <c r="O503" s="884">
        <v>0</v>
      </c>
      <c r="P503" s="884">
        <v>0</v>
      </c>
      <c r="Q503" s="884">
        <v>0</v>
      </c>
      <c r="R503" s="884">
        <v>0</v>
      </c>
      <c r="S503" s="1417">
        <v>0</v>
      </c>
      <c r="T503" s="883">
        <v>0</v>
      </c>
      <c r="U503" s="884">
        <v>0</v>
      </c>
      <c r="V503" s="884">
        <v>0</v>
      </c>
      <c r="W503" s="884">
        <v>0</v>
      </c>
      <c r="X503" s="884">
        <v>0</v>
      </c>
      <c r="Y503" s="884">
        <v>0</v>
      </c>
      <c r="Z503" s="884">
        <v>0</v>
      </c>
      <c r="AA503" s="884">
        <v>0</v>
      </c>
      <c r="AB503" s="1417">
        <v>0</v>
      </c>
      <c r="AC503" s="1454"/>
    </row>
    <row r="504" spans="1:29" ht="34.35" customHeight="1">
      <c r="A504" s="59" t="s">
        <v>309</v>
      </c>
      <c r="B504" s="60" t="s">
        <v>319</v>
      </c>
      <c r="C504" s="29">
        <v>13</v>
      </c>
      <c r="D504" s="5" t="s">
        <v>323</v>
      </c>
      <c r="E504" s="14" t="s">
        <v>38</v>
      </c>
      <c r="F504" s="2" t="s">
        <v>321</v>
      </c>
      <c r="G504" s="2" t="s">
        <v>40</v>
      </c>
      <c r="H504" s="920">
        <v>5</v>
      </c>
      <c r="I504" s="879">
        <v>46054</v>
      </c>
      <c r="J504" s="921" t="s">
        <v>41</v>
      </c>
      <c r="K504" s="884" t="s">
        <v>41</v>
      </c>
      <c r="L504" s="884" t="s">
        <v>41</v>
      </c>
      <c r="M504" s="884" t="s">
        <v>41</v>
      </c>
      <c r="N504" s="884" t="s">
        <v>41</v>
      </c>
      <c r="O504" s="884" t="s">
        <v>41</v>
      </c>
      <c r="P504" s="884" t="s">
        <v>41</v>
      </c>
      <c r="Q504" s="884" t="s">
        <v>41</v>
      </c>
      <c r="R504" s="884" t="s">
        <v>41</v>
      </c>
      <c r="S504" s="1417" t="s">
        <v>41</v>
      </c>
      <c r="T504" s="883" t="s">
        <v>41</v>
      </c>
      <c r="U504" s="884" t="s">
        <v>41</v>
      </c>
      <c r="V504" s="884" t="s">
        <v>41</v>
      </c>
      <c r="W504" s="884" t="s">
        <v>41</v>
      </c>
      <c r="X504" s="884" t="s">
        <v>41</v>
      </c>
      <c r="Y504" s="884" t="s">
        <v>41</v>
      </c>
      <c r="Z504" s="884" t="s">
        <v>41</v>
      </c>
      <c r="AA504" s="884" t="s">
        <v>41</v>
      </c>
      <c r="AB504" s="1417" t="s">
        <v>41</v>
      </c>
      <c r="AC504" s="1454"/>
    </row>
    <row r="505" spans="1:29" ht="34.35" customHeight="1">
      <c r="A505" s="59" t="s">
        <v>309</v>
      </c>
      <c r="B505" s="61" t="s">
        <v>324</v>
      </c>
      <c r="C505" s="29">
        <v>14</v>
      </c>
      <c r="D505" s="5" t="s">
        <v>311</v>
      </c>
      <c r="E505" s="14" t="s">
        <v>38</v>
      </c>
      <c r="F505" s="2" t="s">
        <v>312</v>
      </c>
      <c r="G505" s="2" t="s">
        <v>40</v>
      </c>
      <c r="H505" s="922">
        <v>0</v>
      </c>
      <c r="I505" s="879">
        <v>46054</v>
      </c>
      <c r="J505" s="921" t="s">
        <v>41</v>
      </c>
      <c r="K505" s="884" t="s">
        <v>41</v>
      </c>
      <c r="L505" s="884" t="s">
        <v>41</v>
      </c>
      <c r="M505" s="884" t="s">
        <v>41</v>
      </c>
      <c r="N505" s="884" t="s">
        <v>41</v>
      </c>
      <c r="O505" s="884" t="s">
        <v>41</v>
      </c>
      <c r="P505" s="884" t="s">
        <v>41</v>
      </c>
      <c r="Q505" s="884" t="s">
        <v>41</v>
      </c>
      <c r="R505" s="884" t="s">
        <v>41</v>
      </c>
      <c r="S505" s="1417" t="s">
        <v>41</v>
      </c>
      <c r="T505" s="883" t="s">
        <v>41</v>
      </c>
      <c r="U505" s="884" t="s">
        <v>41</v>
      </c>
      <c r="V505" s="884" t="s">
        <v>41</v>
      </c>
      <c r="W505" s="884" t="s">
        <v>41</v>
      </c>
      <c r="X505" s="884" t="s">
        <v>41</v>
      </c>
      <c r="Y505" s="884" t="s">
        <v>41</v>
      </c>
      <c r="Z505" s="884" t="s">
        <v>41</v>
      </c>
      <c r="AA505" s="884" t="s">
        <v>41</v>
      </c>
      <c r="AB505" s="1417" t="s">
        <v>41</v>
      </c>
      <c r="AC505" s="1454"/>
    </row>
    <row r="506" spans="1:29" ht="34.35" customHeight="1">
      <c r="A506" s="59" t="s">
        <v>309</v>
      </c>
      <c r="B506" s="61" t="s">
        <v>324</v>
      </c>
      <c r="C506" s="29">
        <v>15</v>
      </c>
      <c r="D506" s="5" t="s">
        <v>313</v>
      </c>
      <c r="E506" s="14" t="s">
        <v>38</v>
      </c>
      <c r="F506" s="2" t="s">
        <v>312</v>
      </c>
      <c r="G506" s="2" t="s">
        <v>40</v>
      </c>
      <c r="H506" s="922">
        <v>0</v>
      </c>
      <c r="I506" s="879">
        <v>46054</v>
      </c>
      <c r="J506" s="921"/>
      <c r="K506" s="884"/>
      <c r="L506" s="884"/>
      <c r="M506" s="884"/>
      <c r="N506" s="884"/>
      <c r="O506" s="884"/>
      <c r="P506" s="884"/>
      <c r="Q506" s="884"/>
      <c r="R506" s="884"/>
      <c r="S506" s="1417"/>
      <c r="T506" s="883"/>
      <c r="U506" s="884"/>
      <c r="V506" s="884"/>
      <c r="W506" s="884"/>
      <c r="X506" s="884"/>
      <c r="Y506" s="884"/>
      <c r="Z506" s="884"/>
      <c r="AA506" s="884"/>
      <c r="AB506" s="1417"/>
      <c r="AC506" s="1454"/>
    </row>
    <row r="507" spans="1:29" ht="34.35" customHeight="1">
      <c r="A507" s="59" t="s">
        <v>309</v>
      </c>
      <c r="B507" s="61" t="s">
        <v>324</v>
      </c>
      <c r="C507" s="29">
        <v>16</v>
      </c>
      <c r="D507" s="6" t="s">
        <v>314</v>
      </c>
      <c r="E507" s="14" t="s">
        <v>38</v>
      </c>
      <c r="F507" s="2" t="s">
        <v>312</v>
      </c>
      <c r="G507" s="2" t="s">
        <v>40</v>
      </c>
      <c r="H507" s="922">
        <v>0</v>
      </c>
      <c r="I507" s="879">
        <v>46054</v>
      </c>
      <c r="J507" s="921"/>
      <c r="K507" s="884"/>
      <c r="L507" s="884"/>
      <c r="M507" s="884"/>
      <c r="N507" s="884"/>
      <c r="O507" s="884"/>
      <c r="P507" s="884"/>
      <c r="Q507" s="884"/>
      <c r="R507" s="884"/>
      <c r="S507" s="1417"/>
      <c r="T507" s="883"/>
      <c r="U507" s="884"/>
      <c r="V507" s="884"/>
      <c r="W507" s="884"/>
      <c r="X507" s="884"/>
      <c r="Y507" s="884"/>
      <c r="Z507" s="884"/>
      <c r="AA507" s="884"/>
      <c r="AB507" s="1417"/>
      <c r="AC507" s="1455"/>
    </row>
    <row r="508" spans="1:29" ht="34.35" customHeight="1">
      <c r="A508" s="59" t="s">
        <v>309</v>
      </c>
      <c r="B508" s="61" t="s">
        <v>325</v>
      </c>
      <c r="C508" s="29">
        <v>17</v>
      </c>
      <c r="D508" s="5" t="s">
        <v>326</v>
      </c>
      <c r="E508" s="14" t="s">
        <v>38</v>
      </c>
      <c r="F508" s="2" t="s">
        <v>327</v>
      </c>
      <c r="G508" s="2" t="s">
        <v>40</v>
      </c>
      <c r="H508" s="922">
        <v>0</v>
      </c>
      <c r="I508" s="879">
        <v>46054</v>
      </c>
      <c r="J508" s="921"/>
      <c r="K508" s="884"/>
      <c r="L508" s="884"/>
      <c r="M508" s="884"/>
      <c r="N508" s="884"/>
      <c r="O508" s="884"/>
      <c r="P508" s="884"/>
      <c r="Q508" s="884"/>
      <c r="R508" s="884"/>
      <c r="S508" s="1417"/>
      <c r="T508" s="883"/>
      <c r="U508" s="884"/>
      <c r="V508" s="884"/>
      <c r="W508" s="884"/>
      <c r="X508" s="884"/>
      <c r="Y508" s="884"/>
      <c r="Z508" s="884"/>
      <c r="AA508" s="884"/>
      <c r="AB508" s="1417"/>
      <c r="AC508" s="1454"/>
    </row>
    <row r="509" spans="1:29" ht="34.35" customHeight="1">
      <c r="A509" s="59" t="s">
        <v>309</v>
      </c>
      <c r="B509" s="61" t="s">
        <v>325</v>
      </c>
      <c r="C509" s="29">
        <v>18</v>
      </c>
      <c r="D509" s="5" t="s">
        <v>326</v>
      </c>
      <c r="E509" s="14" t="s">
        <v>136</v>
      </c>
      <c r="F509" s="2" t="s">
        <v>327</v>
      </c>
      <c r="G509" s="2" t="s">
        <v>40</v>
      </c>
      <c r="H509" s="922">
        <v>0</v>
      </c>
      <c r="I509" s="879">
        <v>46054</v>
      </c>
      <c r="J509" s="921"/>
      <c r="K509" s="884"/>
      <c r="L509" s="884"/>
      <c r="M509" s="884"/>
      <c r="N509" s="884"/>
      <c r="O509" s="884"/>
      <c r="P509" s="884"/>
      <c r="Q509" s="884"/>
      <c r="R509" s="884"/>
      <c r="S509" s="1417"/>
      <c r="T509" s="883"/>
      <c r="U509" s="884"/>
      <c r="V509" s="884"/>
      <c r="W509" s="884"/>
      <c r="X509" s="884"/>
      <c r="Y509" s="884"/>
      <c r="Z509" s="884"/>
      <c r="AA509" s="884"/>
      <c r="AB509" s="1417"/>
      <c r="AC509" s="1454"/>
    </row>
    <row r="510" spans="1:29" ht="34.35" customHeight="1">
      <c r="A510" s="59" t="s">
        <v>309</v>
      </c>
      <c r="B510" s="61" t="s">
        <v>325</v>
      </c>
      <c r="C510" s="29">
        <v>19</v>
      </c>
      <c r="D510" s="6" t="s">
        <v>328</v>
      </c>
      <c r="E510" s="14" t="s">
        <v>38</v>
      </c>
      <c r="F510" s="2" t="s">
        <v>327</v>
      </c>
      <c r="G510" s="2" t="s">
        <v>40</v>
      </c>
      <c r="H510" s="922" t="s">
        <v>41</v>
      </c>
      <c r="I510" s="879">
        <v>46054</v>
      </c>
      <c r="J510" s="921"/>
      <c r="K510" s="884"/>
      <c r="L510" s="884"/>
      <c r="M510" s="884"/>
      <c r="N510" s="884"/>
      <c r="O510" s="884"/>
      <c r="P510" s="884"/>
      <c r="Q510" s="884"/>
      <c r="R510" s="884"/>
      <c r="S510" s="1417"/>
      <c r="T510" s="883"/>
      <c r="U510" s="884"/>
      <c r="V510" s="884"/>
      <c r="W510" s="884"/>
      <c r="X510" s="884"/>
      <c r="Y510" s="884"/>
      <c r="Z510" s="884"/>
      <c r="AA510" s="884"/>
      <c r="AB510" s="1417"/>
      <c r="AC510" s="1455"/>
    </row>
    <row r="511" spans="1:29" ht="34.35" customHeight="1">
      <c r="A511" s="59" t="s">
        <v>309</v>
      </c>
      <c r="B511" s="61" t="s">
        <v>325</v>
      </c>
      <c r="C511" s="29">
        <v>20</v>
      </c>
      <c r="D511" s="6" t="s">
        <v>328</v>
      </c>
      <c r="E511" s="14" t="s">
        <v>136</v>
      </c>
      <c r="F511" s="2" t="s">
        <v>327</v>
      </c>
      <c r="G511" s="2" t="s">
        <v>40</v>
      </c>
      <c r="H511" s="922" t="s">
        <v>41</v>
      </c>
      <c r="I511" s="879">
        <v>46054</v>
      </c>
      <c r="J511" s="921"/>
      <c r="K511" s="884"/>
      <c r="L511" s="884"/>
      <c r="M511" s="884"/>
      <c r="N511" s="884"/>
      <c r="O511" s="884"/>
      <c r="P511" s="884"/>
      <c r="Q511" s="884"/>
      <c r="R511" s="884"/>
      <c r="S511" s="1417"/>
      <c r="T511" s="883"/>
      <c r="U511" s="884"/>
      <c r="V511" s="884"/>
      <c r="W511" s="884"/>
      <c r="X511" s="884"/>
      <c r="Y511" s="884"/>
      <c r="Z511" s="884"/>
      <c r="AA511" s="884"/>
      <c r="AB511" s="1417"/>
      <c r="AC511" s="1455"/>
    </row>
    <row r="512" spans="1:29" ht="34.35" customHeight="1">
      <c r="A512" s="59" t="s">
        <v>309</v>
      </c>
      <c r="B512" s="61" t="s">
        <v>325</v>
      </c>
      <c r="C512" s="29">
        <v>21</v>
      </c>
      <c r="D512" s="6" t="s">
        <v>329</v>
      </c>
      <c r="E512" s="14" t="s">
        <v>38</v>
      </c>
      <c r="F512" s="2" t="s">
        <v>327</v>
      </c>
      <c r="G512" s="2" t="s">
        <v>40</v>
      </c>
      <c r="H512" s="922" t="s">
        <v>41</v>
      </c>
      <c r="I512" s="879">
        <v>46054</v>
      </c>
      <c r="J512" s="921"/>
      <c r="K512" s="884">
        <v>7</v>
      </c>
      <c r="L512" s="884"/>
      <c r="M512" s="884"/>
      <c r="N512" s="884"/>
      <c r="O512" s="884"/>
      <c r="P512" s="884"/>
      <c r="Q512" s="884">
        <v>4</v>
      </c>
      <c r="R512" s="884">
        <v>1</v>
      </c>
      <c r="S512" s="1417">
        <v>3</v>
      </c>
      <c r="T512" s="883">
        <v>1</v>
      </c>
      <c r="U512" s="884"/>
      <c r="V512" s="884">
        <f>1+3+1</f>
        <v>5</v>
      </c>
      <c r="W512" s="884">
        <v>1</v>
      </c>
      <c r="X512" s="884">
        <f>5+12</f>
        <v>17</v>
      </c>
      <c r="Y512" s="884">
        <f>100+12</f>
        <v>112</v>
      </c>
      <c r="Z512" s="884"/>
      <c r="AA512" s="884">
        <v>1</v>
      </c>
      <c r="AB512" s="1417">
        <v>10</v>
      </c>
      <c r="AC512" s="1455"/>
    </row>
    <row r="513" spans="1:29" ht="34.35" customHeight="1">
      <c r="A513" s="59" t="s">
        <v>309</v>
      </c>
      <c r="B513" s="61" t="s">
        <v>325</v>
      </c>
      <c r="C513" s="29">
        <v>22</v>
      </c>
      <c r="D513" s="6" t="s">
        <v>329</v>
      </c>
      <c r="E513" s="14" t="s">
        <v>136</v>
      </c>
      <c r="F513" s="2" t="s">
        <v>327</v>
      </c>
      <c r="G513" s="2" t="s">
        <v>40</v>
      </c>
      <c r="H513" s="922" t="s">
        <v>41</v>
      </c>
      <c r="I513" s="879">
        <v>46054</v>
      </c>
      <c r="J513" s="921"/>
      <c r="K513" s="884">
        <v>1.91</v>
      </c>
      <c r="L513" s="884"/>
      <c r="M513" s="884"/>
      <c r="N513" s="884"/>
      <c r="O513" s="884"/>
      <c r="P513" s="884"/>
      <c r="Q513" s="884">
        <v>0.82</v>
      </c>
      <c r="R513" s="884">
        <v>0.54</v>
      </c>
      <c r="S513" s="1417">
        <v>3.57</v>
      </c>
      <c r="T513" s="883">
        <v>0.47</v>
      </c>
      <c r="U513" s="884"/>
      <c r="V513" s="884">
        <f>3.36+0.04</f>
        <v>3.4</v>
      </c>
      <c r="W513" s="884">
        <v>0.06</v>
      </c>
      <c r="X513" s="884">
        <f>3.03+18.49</f>
        <v>21.52</v>
      </c>
      <c r="Y513" s="884">
        <f>76.54+6.86</f>
        <v>83.4</v>
      </c>
      <c r="Z513" s="884"/>
      <c r="AA513" s="884">
        <v>1.66</v>
      </c>
      <c r="AB513" s="1417">
        <v>8.7799999999999994</v>
      </c>
      <c r="AC513" s="1455"/>
    </row>
    <row r="514" spans="1:29" ht="34.35" customHeight="1">
      <c r="A514" s="59" t="s">
        <v>309</v>
      </c>
      <c r="B514" s="61" t="s">
        <v>325</v>
      </c>
      <c r="C514" s="29">
        <v>23</v>
      </c>
      <c r="D514" s="6" t="s">
        <v>462</v>
      </c>
      <c r="E514" s="14" t="s">
        <v>38</v>
      </c>
      <c r="F514" s="2" t="s">
        <v>327</v>
      </c>
      <c r="G514" s="2" t="s">
        <v>40</v>
      </c>
      <c r="H514" s="922" t="s">
        <v>41</v>
      </c>
      <c r="I514" s="879">
        <v>46054</v>
      </c>
      <c r="J514" s="921">
        <v>1</v>
      </c>
      <c r="K514" s="884">
        <v>9</v>
      </c>
      <c r="L514" s="884">
        <v>2</v>
      </c>
      <c r="M514" s="884">
        <v>6</v>
      </c>
      <c r="N514" s="884"/>
      <c r="O514" s="884"/>
      <c r="P514" s="884">
        <v>1</v>
      </c>
      <c r="Q514" s="884"/>
      <c r="R514" s="884"/>
      <c r="S514" s="1417">
        <v>9</v>
      </c>
      <c r="T514" s="883"/>
      <c r="U514" s="884"/>
      <c r="V514" s="884">
        <f>6+2</f>
        <v>8</v>
      </c>
      <c r="W514" s="884">
        <v>1</v>
      </c>
      <c r="X514" s="884">
        <v>3</v>
      </c>
      <c r="Y514" s="884">
        <f>160+7</f>
        <v>167</v>
      </c>
      <c r="Z514" s="884"/>
      <c r="AA514" s="884"/>
      <c r="AB514" s="1417"/>
      <c r="AC514" s="1455"/>
    </row>
    <row r="515" spans="1:29" ht="34.35" customHeight="1">
      <c r="A515" s="59" t="s">
        <v>309</v>
      </c>
      <c r="B515" s="61" t="s">
        <v>325</v>
      </c>
      <c r="C515" s="29">
        <v>24</v>
      </c>
      <c r="D515" s="6" t="s">
        <v>462</v>
      </c>
      <c r="E515" s="14" t="s">
        <v>136</v>
      </c>
      <c r="F515" s="2" t="s">
        <v>327</v>
      </c>
      <c r="G515" s="2" t="s">
        <v>40</v>
      </c>
      <c r="H515" s="922" t="s">
        <v>41</v>
      </c>
      <c r="I515" s="879">
        <v>46054</v>
      </c>
      <c r="J515" s="921">
        <v>0.22</v>
      </c>
      <c r="K515" s="884">
        <v>1.9</v>
      </c>
      <c r="L515" s="884">
        <v>0.6</v>
      </c>
      <c r="M515" s="884">
        <v>1.7</v>
      </c>
      <c r="N515" s="884"/>
      <c r="O515" s="884"/>
      <c r="P515" s="884">
        <v>0.03</v>
      </c>
      <c r="Q515" s="884"/>
      <c r="R515" s="884"/>
      <c r="S515" s="1417">
        <v>8.01</v>
      </c>
      <c r="T515" s="883"/>
      <c r="U515" s="884"/>
      <c r="V515" s="884">
        <v>5.4</v>
      </c>
      <c r="W515" s="884">
        <v>3.2000000000000001E-2</v>
      </c>
      <c r="X515" s="884">
        <v>2.09</v>
      </c>
      <c r="Y515" s="884">
        <f>86.27+4.6</f>
        <v>90.86999999999999</v>
      </c>
      <c r="Z515" s="884"/>
      <c r="AA515" s="884"/>
      <c r="AB515" s="1417"/>
      <c r="AC515" s="1455"/>
    </row>
    <row r="516" spans="1:29" ht="34.35" customHeight="1">
      <c r="A516" s="59" t="s">
        <v>309</v>
      </c>
      <c r="B516" s="61" t="s">
        <v>325</v>
      </c>
      <c r="C516" s="29">
        <v>25</v>
      </c>
      <c r="D516" s="5" t="s">
        <v>331</v>
      </c>
      <c r="E516" s="14" t="s">
        <v>38</v>
      </c>
      <c r="F516" s="2" t="s">
        <v>327</v>
      </c>
      <c r="G516" s="2" t="s">
        <v>332</v>
      </c>
      <c r="H516" s="922">
        <v>0</v>
      </c>
      <c r="I516" s="879">
        <v>46054</v>
      </c>
      <c r="J516" s="921"/>
      <c r="K516" s="884"/>
      <c r="L516" s="884">
        <v>3</v>
      </c>
      <c r="M516" s="884"/>
      <c r="N516" s="884"/>
      <c r="O516" s="884"/>
      <c r="P516" s="884"/>
      <c r="Q516" s="884"/>
      <c r="R516" s="884"/>
      <c r="S516" s="1417">
        <v>3</v>
      </c>
      <c r="T516" s="883"/>
      <c r="U516" s="884"/>
      <c r="V516" s="884"/>
      <c r="W516" s="884"/>
      <c r="X516" s="884"/>
      <c r="Y516" s="884">
        <v>1</v>
      </c>
      <c r="Z516" s="884"/>
      <c r="AA516" s="884"/>
      <c r="AB516" s="1417"/>
      <c r="AC516" s="1454"/>
    </row>
    <row r="517" spans="1:29" ht="34.35" customHeight="1">
      <c r="A517" s="59" t="s">
        <v>309</v>
      </c>
      <c r="B517" s="61" t="s">
        <v>325</v>
      </c>
      <c r="C517" s="29">
        <v>26</v>
      </c>
      <c r="D517" s="5" t="s">
        <v>463</v>
      </c>
      <c r="E517" s="14" t="s">
        <v>136</v>
      </c>
      <c r="F517" s="2" t="s">
        <v>327</v>
      </c>
      <c r="G517" s="2" t="s">
        <v>332</v>
      </c>
      <c r="H517" s="922">
        <v>0</v>
      </c>
      <c r="I517" s="879">
        <v>46054</v>
      </c>
      <c r="J517" s="921"/>
      <c r="K517" s="884"/>
      <c r="L517" s="884">
        <v>0.6</v>
      </c>
      <c r="M517" s="884"/>
      <c r="N517" s="884"/>
      <c r="O517" s="884"/>
      <c r="P517" s="884"/>
      <c r="Q517" s="884"/>
      <c r="R517" s="884"/>
      <c r="S517" s="1417">
        <v>3.5</v>
      </c>
      <c r="T517" s="883"/>
      <c r="U517" s="884"/>
      <c r="V517" s="884"/>
      <c r="W517" s="884"/>
      <c r="X517" s="884"/>
      <c r="Y517" s="884">
        <v>0.94</v>
      </c>
      <c r="Z517" s="884"/>
      <c r="AA517" s="884"/>
      <c r="AB517" s="1417"/>
      <c r="AC517" s="1454"/>
    </row>
    <row r="518" spans="1:29" ht="34.35" customHeight="1">
      <c r="A518" s="59" t="s">
        <v>309</v>
      </c>
      <c r="B518" s="61" t="s">
        <v>325</v>
      </c>
      <c r="C518" s="29">
        <v>27</v>
      </c>
      <c r="D518" s="5" t="s">
        <v>464</v>
      </c>
      <c r="E518" s="14" t="s">
        <v>38</v>
      </c>
      <c r="F518" s="2" t="s">
        <v>327</v>
      </c>
      <c r="G518" s="2" t="s">
        <v>332</v>
      </c>
      <c r="H518" s="922">
        <v>0</v>
      </c>
      <c r="I518" s="879">
        <v>46054</v>
      </c>
      <c r="J518" s="921"/>
      <c r="K518" s="884"/>
      <c r="L518" s="884"/>
      <c r="M518" s="884"/>
      <c r="N518" s="884"/>
      <c r="O518" s="884"/>
      <c r="P518" s="884"/>
      <c r="Q518" s="884"/>
      <c r="R518" s="884"/>
      <c r="S518" s="1417"/>
      <c r="T518" s="883"/>
      <c r="U518" s="884"/>
      <c r="V518" s="884"/>
      <c r="W518" s="884"/>
      <c r="X518" s="884">
        <v>2</v>
      </c>
      <c r="Y518" s="884"/>
      <c r="Z518" s="884"/>
      <c r="AA518" s="884"/>
      <c r="AB518" s="1417"/>
      <c r="AC518" s="1454"/>
    </row>
    <row r="519" spans="1:29" ht="34.35" customHeight="1">
      <c r="A519" s="59" t="s">
        <v>309</v>
      </c>
      <c r="B519" s="61" t="s">
        <v>325</v>
      </c>
      <c r="C519" s="29">
        <v>28</v>
      </c>
      <c r="D519" s="5" t="s">
        <v>464</v>
      </c>
      <c r="E519" s="14" t="s">
        <v>136</v>
      </c>
      <c r="F519" s="2" t="s">
        <v>327</v>
      </c>
      <c r="G519" s="2" t="s">
        <v>332</v>
      </c>
      <c r="H519" s="922">
        <v>0</v>
      </c>
      <c r="I519" s="879">
        <v>46054</v>
      </c>
      <c r="J519" s="921"/>
      <c r="K519" s="884"/>
      <c r="L519" s="884"/>
      <c r="M519" s="884"/>
      <c r="N519" s="884"/>
      <c r="O519" s="884"/>
      <c r="P519" s="884"/>
      <c r="Q519" s="884"/>
      <c r="R519" s="884"/>
      <c r="S519" s="1417"/>
      <c r="T519" s="883"/>
      <c r="U519" s="884"/>
      <c r="V519" s="884"/>
      <c r="W519" s="884"/>
      <c r="X519" s="884">
        <v>1.76</v>
      </c>
      <c r="Y519" s="884"/>
      <c r="Z519" s="884"/>
      <c r="AA519" s="884"/>
      <c r="AB519" s="1417"/>
      <c r="AC519" s="1454"/>
    </row>
    <row r="520" spans="1:29" ht="34.35" customHeight="1">
      <c r="A520" s="59" t="s">
        <v>309</v>
      </c>
      <c r="B520" s="61" t="s">
        <v>325</v>
      </c>
      <c r="C520" s="29">
        <v>29</v>
      </c>
      <c r="D520" s="5" t="s">
        <v>336</v>
      </c>
      <c r="E520" s="14" t="s">
        <v>38</v>
      </c>
      <c r="F520" s="2" t="s">
        <v>316</v>
      </c>
      <c r="G520" s="2" t="s">
        <v>40</v>
      </c>
      <c r="H520" s="922">
        <v>0</v>
      </c>
      <c r="I520" s="879">
        <v>46054</v>
      </c>
      <c r="J520" s="921"/>
      <c r="K520" s="884"/>
      <c r="L520" s="884"/>
      <c r="M520" s="884"/>
      <c r="N520" s="884"/>
      <c r="O520" s="884"/>
      <c r="P520" s="884"/>
      <c r="Q520" s="884"/>
      <c r="R520" s="884"/>
      <c r="S520" s="1417">
        <v>2</v>
      </c>
      <c r="T520" s="2554">
        <v>1</v>
      </c>
      <c r="U520" s="884"/>
      <c r="V520" s="932">
        <f>65+4</f>
        <v>69</v>
      </c>
      <c r="W520" s="932">
        <v>1</v>
      </c>
      <c r="X520" s="932">
        <f>14+2</f>
        <v>16</v>
      </c>
      <c r="Y520" s="932">
        <f>11+2</f>
        <v>13</v>
      </c>
      <c r="Z520" s="932">
        <v>14</v>
      </c>
      <c r="AA520" s="932">
        <f>30+2</f>
        <v>32</v>
      </c>
      <c r="AB520" s="1417">
        <v>2</v>
      </c>
      <c r="AC520" s="1454"/>
    </row>
    <row r="521" spans="1:29" ht="34.35" customHeight="1">
      <c r="A521" s="59" t="s">
        <v>309</v>
      </c>
      <c r="B521" s="61" t="s">
        <v>325</v>
      </c>
      <c r="C521" s="29">
        <v>30</v>
      </c>
      <c r="D521" s="5" t="s">
        <v>336</v>
      </c>
      <c r="E521" s="14" t="s">
        <v>136</v>
      </c>
      <c r="F521" s="2" t="s">
        <v>316</v>
      </c>
      <c r="G521" s="2" t="s">
        <v>40</v>
      </c>
      <c r="H521" s="922">
        <v>0</v>
      </c>
      <c r="I521" s="879">
        <v>46054</v>
      </c>
      <c r="J521" s="921"/>
      <c r="K521" s="884"/>
      <c r="L521" s="884"/>
      <c r="M521" s="884"/>
      <c r="N521" s="884"/>
      <c r="O521" s="884"/>
      <c r="P521" s="884"/>
      <c r="Q521" s="884"/>
      <c r="R521" s="884"/>
      <c r="S521" s="1417">
        <v>8.0000000000000002E-3</v>
      </c>
      <c r="T521" s="883">
        <v>0.88700000000000001</v>
      </c>
      <c r="U521" s="884"/>
      <c r="V521" s="885">
        <f>4.597+1.359</f>
        <v>5.9560000000000004</v>
      </c>
      <c r="W521" s="884">
        <v>3.2000000000000001E-2</v>
      </c>
      <c r="X521" s="885">
        <f>1.057+1.793</f>
        <v>2.8499999999999996</v>
      </c>
      <c r="Y521" s="884">
        <f>2.075+0.068</f>
        <v>2.1430000000000002</v>
      </c>
      <c r="Z521" s="884">
        <v>0.32200000000000001</v>
      </c>
      <c r="AA521" s="884">
        <f>3.149+0.32</f>
        <v>3.4689999999999999</v>
      </c>
      <c r="AB521" s="1417">
        <v>8.9999999999999993E-3</v>
      </c>
      <c r="AC521" s="1454"/>
    </row>
    <row r="522" spans="1:29" ht="34.35" customHeight="1">
      <c r="A522" s="59" t="s">
        <v>309</v>
      </c>
      <c r="B522" s="61" t="s">
        <v>325</v>
      </c>
      <c r="C522" s="29">
        <v>31</v>
      </c>
      <c r="D522" s="5" t="s">
        <v>338</v>
      </c>
      <c r="E522" s="14" t="s">
        <v>38</v>
      </c>
      <c r="F522" s="2" t="s">
        <v>316</v>
      </c>
      <c r="G522" s="2" t="s">
        <v>40</v>
      </c>
      <c r="H522" s="922">
        <v>0</v>
      </c>
      <c r="I522" s="879">
        <v>46054</v>
      </c>
      <c r="J522" s="921"/>
      <c r="K522" s="1445"/>
      <c r="L522" s="1445"/>
      <c r="M522" s="884"/>
      <c r="N522" s="884"/>
      <c r="O522" s="884">
        <v>2</v>
      </c>
      <c r="P522" s="884"/>
      <c r="Q522" s="884"/>
      <c r="R522" s="1445"/>
      <c r="S522" s="1444">
        <v>3</v>
      </c>
      <c r="T522" s="883"/>
      <c r="U522" s="937"/>
      <c r="V522" s="937">
        <v>4</v>
      </c>
      <c r="W522" s="937">
        <v>3</v>
      </c>
      <c r="X522" s="937">
        <f>5+22</f>
        <v>27</v>
      </c>
      <c r="Y522" s="937">
        <f>70+8</f>
        <v>78</v>
      </c>
      <c r="Z522" s="937">
        <v>1</v>
      </c>
      <c r="AA522" s="937">
        <f>15+2</f>
        <v>17</v>
      </c>
      <c r="AB522" s="1417"/>
      <c r="AC522" s="1454"/>
    </row>
    <row r="523" spans="1:29" ht="34.35" customHeight="1">
      <c r="A523" s="59" t="s">
        <v>309</v>
      </c>
      <c r="B523" s="61" t="s">
        <v>325</v>
      </c>
      <c r="C523" s="29">
        <v>32</v>
      </c>
      <c r="D523" s="5" t="s">
        <v>338</v>
      </c>
      <c r="E523" s="14" t="s">
        <v>136</v>
      </c>
      <c r="F523" s="2" t="s">
        <v>316</v>
      </c>
      <c r="G523" s="2" t="s">
        <v>40</v>
      </c>
      <c r="H523" s="922">
        <v>0</v>
      </c>
      <c r="I523" s="879">
        <v>46054</v>
      </c>
      <c r="J523" s="921"/>
      <c r="K523" s="2536"/>
      <c r="L523" s="2536"/>
      <c r="M523" s="884"/>
      <c r="N523" s="884"/>
      <c r="O523" s="884">
        <v>3.395</v>
      </c>
      <c r="P523" s="884"/>
      <c r="Q523" s="884"/>
      <c r="R523" s="1445"/>
      <c r="S523" s="2555">
        <v>0.61</v>
      </c>
      <c r="T523" s="883"/>
      <c r="U523" s="938"/>
      <c r="V523" s="938">
        <v>8.952</v>
      </c>
      <c r="W523" s="938">
        <v>0.255</v>
      </c>
      <c r="X523" s="938">
        <f>2.358+26.215</f>
        <v>28.573</v>
      </c>
      <c r="Y523" s="938">
        <f>42.549+4.193</f>
        <v>46.741999999999997</v>
      </c>
      <c r="Z523" s="938">
        <v>1.25</v>
      </c>
      <c r="AA523" s="938">
        <f>7.374+2.698</f>
        <v>10.071999999999999</v>
      </c>
      <c r="AB523" s="1417"/>
      <c r="AC523" s="1454"/>
    </row>
    <row r="524" spans="1:29" ht="34.35" customHeight="1">
      <c r="A524" s="59" t="s">
        <v>309</v>
      </c>
      <c r="B524" s="61" t="s">
        <v>325</v>
      </c>
      <c r="C524" s="29">
        <v>33</v>
      </c>
      <c r="D524" s="5" t="s">
        <v>339</v>
      </c>
      <c r="E524" s="14" t="s">
        <v>133</v>
      </c>
      <c r="F524" s="2" t="s">
        <v>340</v>
      </c>
      <c r="G524" s="2" t="s">
        <v>341</v>
      </c>
      <c r="H524" s="927">
        <v>5.0000000000000001E-3</v>
      </c>
      <c r="I524" s="879">
        <v>46054</v>
      </c>
      <c r="J524" s="921"/>
      <c r="K524" s="884"/>
      <c r="L524" s="884"/>
      <c r="M524" s="884"/>
      <c r="N524" s="884"/>
      <c r="O524" s="884"/>
      <c r="P524" s="884"/>
      <c r="Q524" s="884"/>
      <c r="R524" s="884"/>
      <c r="S524" s="1417"/>
      <c r="T524" s="883"/>
      <c r="U524" s="884"/>
      <c r="V524" s="884"/>
      <c r="W524" s="884"/>
      <c r="X524" s="884"/>
      <c r="Y524" s="884"/>
      <c r="Z524" s="884"/>
      <c r="AA524" s="884"/>
      <c r="AB524" s="1417"/>
      <c r="AC524" s="1457" t="s">
        <v>465</v>
      </c>
    </row>
    <row r="525" spans="1:29" ht="34.35" customHeight="1">
      <c r="A525" s="59" t="s">
        <v>309</v>
      </c>
      <c r="B525" s="61" t="s">
        <v>325</v>
      </c>
      <c r="C525" s="29">
        <v>34</v>
      </c>
      <c r="D525" s="5" t="s">
        <v>339</v>
      </c>
      <c r="E525" s="14" t="s">
        <v>136</v>
      </c>
      <c r="F525" s="2" t="s">
        <v>340</v>
      </c>
      <c r="G525" s="2" t="s">
        <v>341</v>
      </c>
      <c r="H525" s="928" t="s">
        <v>41</v>
      </c>
      <c r="I525" s="879">
        <v>46054</v>
      </c>
      <c r="J525" s="921"/>
      <c r="K525" s="884"/>
      <c r="L525" s="884"/>
      <c r="M525" s="884"/>
      <c r="N525" s="884"/>
      <c r="O525" s="884"/>
      <c r="P525" s="884"/>
      <c r="Q525" s="884"/>
      <c r="R525" s="884"/>
      <c r="S525" s="1417"/>
      <c r="T525" s="883"/>
      <c r="U525" s="884"/>
      <c r="V525" s="884"/>
      <c r="W525" s="884"/>
      <c r="X525" s="884"/>
      <c r="Y525" s="884"/>
      <c r="Z525" s="884"/>
      <c r="AA525" s="884"/>
      <c r="AB525" s="1417"/>
      <c r="AC525" s="1454"/>
    </row>
    <row r="526" spans="1:29" ht="34.35" customHeight="1">
      <c r="A526" s="59" t="s">
        <v>309</v>
      </c>
      <c r="B526" s="61" t="s">
        <v>325</v>
      </c>
      <c r="C526" s="29">
        <v>35</v>
      </c>
      <c r="D526" s="5" t="s">
        <v>342</v>
      </c>
      <c r="E526" s="14" t="s">
        <v>133</v>
      </c>
      <c r="F526" s="2" t="s">
        <v>106</v>
      </c>
      <c r="G526" s="2" t="s">
        <v>285</v>
      </c>
      <c r="H526" s="933"/>
      <c r="I526" s="879">
        <v>46054</v>
      </c>
      <c r="J526" s="921"/>
      <c r="K526" s="884"/>
      <c r="L526" s="884"/>
      <c r="M526" s="884"/>
      <c r="N526" s="884"/>
      <c r="O526" s="884"/>
      <c r="P526" s="884"/>
      <c r="Q526" s="884"/>
      <c r="R526" s="884"/>
      <c r="S526" s="1417"/>
      <c r="T526" s="883"/>
      <c r="U526" s="884"/>
      <c r="V526" s="884"/>
      <c r="W526" s="884"/>
      <c r="X526" s="884"/>
      <c r="Y526" s="884"/>
      <c r="Z526" s="884"/>
      <c r="AA526" s="884"/>
      <c r="AB526" s="1417"/>
      <c r="AC526" s="1454"/>
    </row>
    <row r="527" spans="1:29" ht="34.35" customHeight="1">
      <c r="A527" s="59" t="s">
        <v>309</v>
      </c>
      <c r="B527" s="61" t="s">
        <v>325</v>
      </c>
      <c r="C527" s="29">
        <v>36</v>
      </c>
      <c r="D527" s="5" t="s">
        <v>342</v>
      </c>
      <c r="E527" s="14" t="s">
        <v>136</v>
      </c>
      <c r="F527" s="2" t="s">
        <v>106</v>
      </c>
      <c r="G527" s="2" t="s">
        <v>285</v>
      </c>
      <c r="H527" s="924"/>
      <c r="I527" s="879">
        <v>46054</v>
      </c>
      <c r="J527" s="921"/>
      <c r="K527" s="884"/>
      <c r="L527" s="884"/>
      <c r="M527" s="884"/>
      <c r="N527" s="884"/>
      <c r="O527" s="884"/>
      <c r="P527" s="884"/>
      <c r="Q527" s="884"/>
      <c r="R527" s="884"/>
      <c r="S527" s="1417"/>
      <c r="T527" s="883"/>
      <c r="U527" s="884"/>
      <c r="V527" s="884"/>
      <c r="W527" s="884"/>
      <c r="X527" s="884"/>
      <c r="Y527" s="884"/>
      <c r="Z527" s="884"/>
      <c r="AA527" s="884"/>
      <c r="AB527" s="1417"/>
      <c r="AC527" s="1454"/>
    </row>
    <row r="528" spans="1:29" ht="34.35" customHeight="1">
      <c r="A528" s="59" t="s">
        <v>309</v>
      </c>
      <c r="B528" s="61" t="s">
        <v>325</v>
      </c>
      <c r="C528" s="29">
        <v>37</v>
      </c>
      <c r="D528" s="6" t="s">
        <v>343</v>
      </c>
      <c r="E528" s="14" t="s">
        <v>38</v>
      </c>
      <c r="F528" s="2" t="s">
        <v>105</v>
      </c>
      <c r="G528" s="2"/>
      <c r="H528" s="925" t="s">
        <v>41</v>
      </c>
      <c r="I528" s="879">
        <v>46054</v>
      </c>
      <c r="J528" s="921"/>
      <c r="K528" s="884"/>
      <c r="L528" s="884"/>
      <c r="M528" s="884"/>
      <c r="N528" s="884"/>
      <c r="O528" s="884"/>
      <c r="P528" s="884"/>
      <c r="Q528" s="884"/>
      <c r="R528" s="884"/>
      <c r="S528" s="1417"/>
      <c r="T528" s="883"/>
      <c r="U528" s="884"/>
      <c r="V528" s="884"/>
      <c r="W528" s="884"/>
      <c r="X528" s="884"/>
      <c r="Y528" s="884"/>
      <c r="Z528" s="884"/>
      <c r="AA528" s="884"/>
      <c r="AB528" s="1417"/>
      <c r="AC528" s="1455"/>
    </row>
    <row r="529" spans="1:29" ht="34.35" customHeight="1">
      <c r="A529" s="59" t="s">
        <v>309</v>
      </c>
      <c r="B529" s="61" t="s">
        <v>325</v>
      </c>
      <c r="C529" s="29">
        <v>38</v>
      </c>
      <c r="D529" s="6" t="s">
        <v>343</v>
      </c>
      <c r="E529" s="14" t="s">
        <v>136</v>
      </c>
      <c r="F529" s="2" t="s">
        <v>105</v>
      </c>
      <c r="G529" s="2"/>
      <c r="H529" s="929">
        <f>84578725.86/10^6</f>
        <v>84.578725860000006</v>
      </c>
      <c r="I529" s="879">
        <v>46054</v>
      </c>
      <c r="J529" s="934">
        <f>2621200.65/10^6</f>
        <v>2.62120065</v>
      </c>
      <c r="K529" s="887" t="s">
        <v>41</v>
      </c>
      <c r="L529" s="887">
        <f>567504.45/10^6</f>
        <v>0.56750444999999994</v>
      </c>
      <c r="M529" s="887" t="s">
        <v>41</v>
      </c>
      <c r="N529" s="887">
        <f>3884.55/10^6</f>
        <v>3.8845500000000001E-3</v>
      </c>
      <c r="O529" s="887">
        <f>82269.43/10^6</f>
        <v>8.2269429999999991E-2</v>
      </c>
      <c r="P529" s="887">
        <f>95528.36/10^6</f>
        <v>9.5528360000000007E-2</v>
      </c>
      <c r="Q529" s="887" t="s">
        <v>41</v>
      </c>
      <c r="R529" s="887">
        <f>2879892.85/10^6</f>
        <v>2.8798928500000001</v>
      </c>
      <c r="S529" s="1429">
        <f>298106.28/10^6</f>
        <v>0.29810628</v>
      </c>
      <c r="T529" s="883"/>
      <c r="U529" s="884"/>
      <c r="V529" s="884"/>
      <c r="W529" s="884"/>
      <c r="X529" s="884"/>
      <c r="Y529" s="884"/>
      <c r="Z529" s="884"/>
      <c r="AA529" s="884"/>
      <c r="AB529" s="1417"/>
      <c r="AC529" s="1455"/>
    </row>
    <row r="530" spans="1:29" ht="34.35" customHeight="1">
      <c r="A530" s="59" t="s">
        <v>309</v>
      </c>
      <c r="B530" s="61" t="s">
        <v>325</v>
      </c>
      <c r="C530" s="29">
        <v>39</v>
      </c>
      <c r="D530" s="5" t="s">
        <v>344</v>
      </c>
      <c r="E530" s="14" t="s">
        <v>136</v>
      </c>
      <c r="F530" s="2" t="s">
        <v>110</v>
      </c>
      <c r="G530" s="2" t="s">
        <v>345</v>
      </c>
      <c r="H530" s="920">
        <v>3.17</v>
      </c>
      <c r="I530" s="879">
        <v>46054</v>
      </c>
      <c r="J530" s="921"/>
      <c r="K530" s="884"/>
      <c r="L530" s="884"/>
      <c r="M530" s="884"/>
      <c r="N530" s="884"/>
      <c r="O530" s="884"/>
      <c r="P530" s="884"/>
      <c r="Q530" s="884"/>
      <c r="R530" s="884"/>
      <c r="S530" s="1417"/>
      <c r="T530" s="883"/>
      <c r="U530" s="884"/>
      <c r="V530" s="884"/>
      <c r="W530" s="884"/>
      <c r="X530" s="884"/>
      <c r="Y530" s="884"/>
      <c r="Z530" s="884"/>
      <c r="AA530" s="884"/>
      <c r="AB530" s="1417"/>
      <c r="AC530" s="1454"/>
    </row>
    <row r="531" spans="1:29" ht="34.35" customHeight="1">
      <c r="A531" s="59" t="s">
        <v>309</v>
      </c>
      <c r="B531" s="61" t="s">
        <v>325</v>
      </c>
      <c r="C531" s="29">
        <v>40</v>
      </c>
      <c r="D531" s="5" t="s">
        <v>346</v>
      </c>
      <c r="E531" s="14" t="s">
        <v>136</v>
      </c>
      <c r="F531" s="2" t="s">
        <v>110</v>
      </c>
      <c r="G531" s="2" t="s">
        <v>345</v>
      </c>
      <c r="H531" s="920">
        <v>5.84</v>
      </c>
      <c r="I531" s="879">
        <v>46054</v>
      </c>
      <c r="J531" s="921"/>
      <c r="K531" s="884"/>
      <c r="L531" s="884"/>
      <c r="M531" s="884"/>
      <c r="N531" s="884"/>
      <c r="O531" s="884"/>
      <c r="P531" s="884"/>
      <c r="Q531" s="884"/>
      <c r="R531" s="884"/>
      <c r="S531" s="1417"/>
      <c r="T531" s="883"/>
      <c r="U531" s="884"/>
      <c r="V531" s="884"/>
      <c r="W531" s="884"/>
      <c r="X531" s="884"/>
      <c r="Y531" s="884"/>
      <c r="Z531" s="884"/>
      <c r="AA531" s="884"/>
      <c r="AB531" s="1417"/>
      <c r="AC531" s="1454"/>
    </row>
    <row r="532" spans="1:29" ht="34.35" customHeight="1">
      <c r="A532" s="59" t="s">
        <v>309</v>
      </c>
      <c r="B532" s="61" t="s">
        <v>325</v>
      </c>
      <c r="C532" s="29">
        <v>41</v>
      </c>
      <c r="D532" s="5" t="s">
        <v>347</v>
      </c>
      <c r="E532" s="14" t="s">
        <v>38</v>
      </c>
      <c r="F532" s="2" t="s">
        <v>106</v>
      </c>
      <c r="G532" s="2" t="s">
        <v>285</v>
      </c>
      <c r="H532" s="924"/>
      <c r="I532" s="879">
        <v>46054</v>
      </c>
      <c r="J532" s="921"/>
      <c r="K532" s="884"/>
      <c r="L532" s="884"/>
      <c r="M532" s="884"/>
      <c r="N532" s="884"/>
      <c r="O532" s="884"/>
      <c r="P532" s="884"/>
      <c r="Q532" s="884"/>
      <c r="R532" s="884"/>
      <c r="S532" s="1417"/>
      <c r="T532" s="883"/>
      <c r="U532" s="884"/>
      <c r="V532" s="884"/>
      <c r="W532" s="884"/>
      <c r="X532" s="884"/>
      <c r="Y532" s="884"/>
      <c r="Z532" s="884"/>
      <c r="AA532" s="884"/>
      <c r="AB532" s="1417"/>
      <c r="AC532" s="1454"/>
    </row>
    <row r="533" spans="1:29" ht="34.35" customHeight="1">
      <c r="A533" s="59" t="s">
        <v>309</v>
      </c>
      <c r="B533" s="61" t="s">
        <v>325</v>
      </c>
      <c r="C533" s="29">
        <v>42</v>
      </c>
      <c r="D533" s="5" t="s">
        <v>347</v>
      </c>
      <c r="E533" s="14" t="s">
        <v>136</v>
      </c>
      <c r="F533" s="2" t="s">
        <v>106</v>
      </c>
      <c r="G533" s="2" t="s">
        <v>285</v>
      </c>
      <c r="H533" s="924"/>
      <c r="I533" s="879">
        <v>46054</v>
      </c>
      <c r="J533" s="921"/>
      <c r="K533" s="884"/>
      <c r="L533" s="884"/>
      <c r="M533" s="884"/>
      <c r="N533" s="884"/>
      <c r="O533" s="884"/>
      <c r="P533" s="884"/>
      <c r="Q533" s="884"/>
      <c r="R533" s="884"/>
      <c r="S533" s="1417"/>
      <c r="T533" s="883"/>
      <c r="U533" s="884"/>
      <c r="V533" s="884"/>
      <c r="W533" s="884"/>
      <c r="X533" s="884"/>
      <c r="Y533" s="884"/>
      <c r="Z533" s="884"/>
      <c r="AA533" s="884"/>
      <c r="AB533" s="1417"/>
      <c r="AC533" s="1454"/>
    </row>
    <row r="534" spans="1:29" ht="34.35" customHeight="1">
      <c r="A534" s="59" t="s">
        <v>309</v>
      </c>
      <c r="B534" s="61" t="s">
        <v>325</v>
      </c>
      <c r="C534" s="29">
        <v>43</v>
      </c>
      <c r="D534" s="5" t="s">
        <v>349</v>
      </c>
      <c r="E534" s="14" t="s">
        <v>136</v>
      </c>
      <c r="F534" s="2" t="s">
        <v>340</v>
      </c>
      <c r="G534" s="2" t="s">
        <v>134</v>
      </c>
      <c r="H534" s="920">
        <v>5.4</v>
      </c>
      <c r="I534" s="879">
        <v>46054</v>
      </c>
      <c r="J534" s="921"/>
      <c r="K534" s="884"/>
      <c r="L534" s="884"/>
      <c r="M534" s="884"/>
      <c r="N534" s="884"/>
      <c r="O534" s="884"/>
      <c r="P534" s="884"/>
      <c r="Q534" s="884"/>
      <c r="R534" s="884"/>
      <c r="S534" s="1417"/>
      <c r="T534" s="883"/>
      <c r="U534" s="884"/>
      <c r="V534" s="884"/>
      <c r="W534" s="884"/>
      <c r="X534" s="884"/>
      <c r="Y534" s="884"/>
      <c r="Z534" s="884"/>
      <c r="AA534" s="884"/>
      <c r="AB534" s="1417"/>
      <c r="AC534" s="1454"/>
    </row>
    <row r="535" spans="1:29" ht="34.35" customHeight="1">
      <c r="A535" s="59" t="s">
        <v>309</v>
      </c>
      <c r="B535" s="61" t="s">
        <v>325</v>
      </c>
      <c r="C535" s="29">
        <v>44</v>
      </c>
      <c r="D535" s="5" t="s">
        <v>350</v>
      </c>
      <c r="E535" s="14" t="s">
        <v>38</v>
      </c>
      <c r="F535" s="2" t="s">
        <v>106</v>
      </c>
      <c r="G535" s="2" t="s">
        <v>134</v>
      </c>
      <c r="H535" s="924">
        <v>200</v>
      </c>
      <c r="I535" s="879">
        <v>46054</v>
      </c>
      <c r="J535" s="921"/>
      <c r="K535" s="884"/>
      <c r="L535" s="884"/>
      <c r="M535" s="884"/>
      <c r="N535" s="884"/>
      <c r="O535" s="884"/>
      <c r="P535" s="884"/>
      <c r="Q535" s="884"/>
      <c r="R535" s="884"/>
      <c r="S535" s="1417"/>
      <c r="T535" s="883"/>
      <c r="U535" s="884"/>
      <c r="V535" s="884"/>
      <c r="W535" s="884"/>
      <c r="X535" s="884"/>
      <c r="Y535" s="884"/>
      <c r="Z535" s="884"/>
      <c r="AA535" s="884"/>
      <c r="AB535" s="1417"/>
      <c r="AC535" s="1454"/>
    </row>
    <row r="536" spans="1:29" ht="34.35" customHeight="1">
      <c r="A536" s="59" t="s">
        <v>309</v>
      </c>
      <c r="B536" s="61" t="s">
        <v>325</v>
      </c>
      <c r="C536" s="29">
        <v>45</v>
      </c>
      <c r="D536" s="5" t="s">
        <v>350</v>
      </c>
      <c r="E536" s="14" t="s">
        <v>136</v>
      </c>
      <c r="F536" s="2" t="s">
        <v>106</v>
      </c>
      <c r="G536" s="2" t="s">
        <v>134</v>
      </c>
      <c r="H536" s="924">
        <v>90</v>
      </c>
      <c r="I536" s="879">
        <v>46054</v>
      </c>
      <c r="J536" s="921"/>
      <c r="K536" s="884"/>
      <c r="L536" s="884"/>
      <c r="M536" s="884"/>
      <c r="N536" s="884"/>
      <c r="O536" s="884"/>
      <c r="P536" s="884"/>
      <c r="Q536" s="884"/>
      <c r="R536" s="884"/>
      <c r="S536" s="1417"/>
      <c r="T536" s="883"/>
      <c r="U536" s="884"/>
      <c r="V536" s="884"/>
      <c r="W536" s="884"/>
      <c r="X536" s="884"/>
      <c r="Y536" s="884"/>
      <c r="Z536" s="884"/>
      <c r="AA536" s="884"/>
      <c r="AB536" s="1417"/>
      <c r="AC536" s="1454"/>
    </row>
    <row r="537" spans="1:29" ht="34.35" customHeight="1">
      <c r="A537" s="59" t="s">
        <v>309</v>
      </c>
      <c r="B537" s="62" t="s">
        <v>351</v>
      </c>
      <c r="C537" s="29">
        <v>46</v>
      </c>
      <c r="D537" s="63" t="s">
        <v>41</v>
      </c>
      <c r="E537" s="14" t="s">
        <v>353</v>
      </c>
      <c r="F537" s="2" t="s">
        <v>312</v>
      </c>
      <c r="G537" s="1" t="s">
        <v>40</v>
      </c>
      <c r="H537" s="920">
        <v>1.2</v>
      </c>
      <c r="I537" s="879">
        <v>46054</v>
      </c>
      <c r="J537" s="921"/>
      <c r="K537" s="884"/>
      <c r="L537" s="884"/>
      <c r="M537" s="884"/>
      <c r="N537" s="884"/>
      <c r="O537" s="884"/>
      <c r="P537" s="884"/>
      <c r="Q537" s="884"/>
      <c r="R537" s="884"/>
      <c r="S537" s="1417"/>
      <c r="T537" s="883"/>
      <c r="U537" s="884"/>
      <c r="V537" s="884"/>
      <c r="W537" s="884"/>
      <c r="X537" s="884"/>
      <c r="Y537" s="884"/>
      <c r="Z537" s="884"/>
      <c r="AA537" s="884"/>
      <c r="AB537" s="1417"/>
      <c r="AC537" s="1456" t="s">
        <v>352</v>
      </c>
    </row>
    <row r="538" spans="1:29" ht="34.35" customHeight="1">
      <c r="A538" s="59" t="s">
        <v>309</v>
      </c>
      <c r="B538" s="64" t="s">
        <v>354</v>
      </c>
      <c r="C538" s="29">
        <v>47</v>
      </c>
      <c r="D538" s="63" t="s">
        <v>41</v>
      </c>
      <c r="E538" s="14" t="s">
        <v>353</v>
      </c>
      <c r="F538" s="2" t="s">
        <v>327</v>
      </c>
      <c r="G538" s="1" t="s">
        <v>40</v>
      </c>
      <c r="H538" s="922">
        <v>0</v>
      </c>
      <c r="I538" s="879">
        <v>46054</v>
      </c>
      <c r="J538" s="921"/>
      <c r="K538" s="884"/>
      <c r="L538" s="884"/>
      <c r="M538" s="884"/>
      <c r="N538" s="884"/>
      <c r="O538" s="884"/>
      <c r="P538" s="884"/>
      <c r="Q538" s="884"/>
      <c r="R538" s="884"/>
      <c r="S538" s="1417"/>
      <c r="T538" s="883"/>
      <c r="U538" s="884"/>
      <c r="V538" s="884"/>
      <c r="W538" s="884"/>
      <c r="X538" s="884"/>
      <c r="Y538" s="884"/>
      <c r="Z538" s="884"/>
      <c r="AA538" s="884"/>
      <c r="AB538" s="1417"/>
      <c r="AC538" s="1457" t="s">
        <v>466</v>
      </c>
    </row>
    <row r="539" spans="1:29" ht="34.35" customHeight="1">
      <c r="A539" s="59" t="s">
        <v>309</v>
      </c>
      <c r="B539" s="64" t="s">
        <v>356</v>
      </c>
      <c r="C539" s="29">
        <v>48</v>
      </c>
      <c r="D539" s="63" t="s">
        <v>41</v>
      </c>
      <c r="E539" s="14" t="s">
        <v>353</v>
      </c>
      <c r="F539" s="2" t="s">
        <v>321</v>
      </c>
      <c r="G539" s="1" t="s">
        <v>40</v>
      </c>
      <c r="H539" s="922">
        <v>0</v>
      </c>
      <c r="I539" s="879">
        <v>46054</v>
      </c>
      <c r="J539" s="921" t="s">
        <v>41</v>
      </c>
      <c r="K539" s="884" t="s">
        <v>41</v>
      </c>
      <c r="L539" s="884" t="s">
        <v>41</v>
      </c>
      <c r="M539" s="884" t="s">
        <v>41</v>
      </c>
      <c r="N539" s="884" t="s">
        <v>41</v>
      </c>
      <c r="O539" s="884" t="s">
        <v>41</v>
      </c>
      <c r="P539" s="884" t="s">
        <v>41</v>
      </c>
      <c r="Q539" s="884" t="s">
        <v>41</v>
      </c>
      <c r="R539" s="884" t="s">
        <v>41</v>
      </c>
      <c r="S539" s="1417" t="s">
        <v>41</v>
      </c>
      <c r="T539" s="883" t="s">
        <v>41</v>
      </c>
      <c r="U539" s="884" t="s">
        <v>41</v>
      </c>
      <c r="V539" s="884" t="s">
        <v>41</v>
      </c>
      <c r="W539" s="884" t="s">
        <v>41</v>
      </c>
      <c r="X539" s="884" t="s">
        <v>41</v>
      </c>
      <c r="Y539" s="884" t="s">
        <v>41</v>
      </c>
      <c r="Z539" s="884" t="s">
        <v>41</v>
      </c>
      <c r="AA539" s="884" t="s">
        <v>41</v>
      </c>
      <c r="AB539" s="1417" t="s">
        <v>41</v>
      </c>
      <c r="AC539" s="1457" t="s">
        <v>466</v>
      </c>
    </row>
    <row r="540" spans="1:29" ht="34.35" customHeight="1">
      <c r="A540" s="69" t="s">
        <v>309</v>
      </c>
      <c r="B540" s="11" t="s">
        <v>357</v>
      </c>
      <c r="C540" s="73">
        <v>49</v>
      </c>
      <c r="D540" s="7" t="s">
        <v>41</v>
      </c>
      <c r="E540" s="71" t="s">
        <v>38</v>
      </c>
      <c r="F540" s="2" t="s">
        <v>312</v>
      </c>
      <c r="G540" s="1" t="s">
        <v>41</v>
      </c>
      <c r="I540" s="879">
        <v>46023</v>
      </c>
      <c r="J540" s="921"/>
      <c r="K540" s="884"/>
      <c r="L540" s="884"/>
      <c r="M540" s="884"/>
      <c r="N540" s="884"/>
      <c r="O540" s="884"/>
      <c r="P540" s="884"/>
      <c r="Q540" s="884"/>
      <c r="R540" s="884"/>
      <c r="S540" s="1417"/>
      <c r="T540" s="883"/>
      <c r="U540" s="884"/>
      <c r="V540" s="884"/>
      <c r="W540" s="884"/>
      <c r="X540" s="884"/>
      <c r="Y540" s="884"/>
      <c r="Z540" s="884"/>
      <c r="AA540" s="884"/>
      <c r="AB540" s="1417"/>
      <c r="AC540" s="1459"/>
    </row>
    <row r="541" spans="1:29" ht="34.35" customHeight="1">
      <c r="A541" s="59" t="s">
        <v>309</v>
      </c>
      <c r="B541" s="60" t="s">
        <v>310</v>
      </c>
      <c r="C541" s="29">
        <v>1</v>
      </c>
      <c r="D541" s="5" t="s">
        <v>311</v>
      </c>
      <c r="E541" s="14" t="s">
        <v>38</v>
      </c>
      <c r="F541" s="2" t="s">
        <v>312</v>
      </c>
      <c r="G541" s="2" t="s">
        <v>40</v>
      </c>
      <c r="H541" s="920">
        <v>0</v>
      </c>
      <c r="I541" s="879">
        <v>46082</v>
      </c>
      <c r="J541" s="921"/>
      <c r="K541" s="884"/>
      <c r="L541" s="884"/>
      <c r="M541" s="884"/>
      <c r="N541" s="884"/>
      <c r="O541" s="884"/>
      <c r="P541" s="884"/>
      <c r="Q541" s="884"/>
      <c r="R541" s="884"/>
      <c r="S541" s="1417"/>
      <c r="T541" s="883"/>
      <c r="U541" s="884"/>
      <c r="V541" s="884"/>
      <c r="W541" s="884"/>
      <c r="X541" s="884"/>
      <c r="Y541" s="884"/>
      <c r="Z541" s="884"/>
      <c r="AA541" s="884"/>
      <c r="AB541" s="1417"/>
      <c r="AC541" s="1454"/>
    </row>
    <row r="542" spans="1:29" ht="34.35" customHeight="1">
      <c r="A542" s="59" t="s">
        <v>309</v>
      </c>
      <c r="B542" s="60" t="s">
        <v>310</v>
      </c>
      <c r="C542" s="29">
        <v>2</v>
      </c>
      <c r="D542" s="5" t="s">
        <v>313</v>
      </c>
      <c r="E542" s="14" t="s">
        <v>38</v>
      </c>
      <c r="F542" s="2" t="s">
        <v>312</v>
      </c>
      <c r="G542" s="2" t="s">
        <v>40</v>
      </c>
      <c r="H542" s="920">
        <v>0</v>
      </c>
      <c r="I542" s="879">
        <v>46082</v>
      </c>
      <c r="J542" s="921"/>
      <c r="K542" s="884"/>
      <c r="L542" s="884"/>
      <c r="M542" s="884"/>
      <c r="N542" s="884"/>
      <c r="O542" s="884"/>
      <c r="P542" s="884"/>
      <c r="Q542" s="884"/>
      <c r="R542" s="884"/>
      <c r="S542" s="1417"/>
      <c r="T542" s="883"/>
      <c r="U542" s="884"/>
      <c r="V542" s="884"/>
      <c r="W542" s="884"/>
      <c r="X542" s="884"/>
      <c r="Y542" s="884"/>
      <c r="Z542" s="884"/>
      <c r="AA542" s="884"/>
      <c r="AB542" s="1417"/>
      <c r="AC542" s="1454"/>
    </row>
    <row r="543" spans="1:29" ht="34.35" customHeight="1">
      <c r="A543" s="59" t="s">
        <v>309</v>
      </c>
      <c r="B543" s="60" t="s">
        <v>310</v>
      </c>
      <c r="C543" s="29">
        <v>3</v>
      </c>
      <c r="D543" s="6" t="s">
        <v>314</v>
      </c>
      <c r="E543" s="14" t="s">
        <v>38</v>
      </c>
      <c r="F543" s="2" t="s">
        <v>312</v>
      </c>
      <c r="G543" s="2" t="s">
        <v>40</v>
      </c>
      <c r="H543" s="920">
        <v>0</v>
      </c>
      <c r="I543" s="879">
        <v>46082</v>
      </c>
      <c r="J543" s="921"/>
      <c r="K543" s="884"/>
      <c r="L543" s="884"/>
      <c r="M543" s="884"/>
      <c r="N543" s="884"/>
      <c r="O543" s="884"/>
      <c r="P543" s="884"/>
      <c r="Q543" s="884"/>
      <c r="R543" s="884"/>
      <c r="S543" s="1417"/>
      <c r="T543" s="883"/>
      <c r="U543" s="884"/>
      <c r="V543" s="884"/>
      <c r="W543" s="884"/>
      <c r="X543" s="884"/>
      <c r="Y543" s="884"/>
      <c r="Z543" s="884"/>
      <c r="AA543" s="884"/>
      <c r="AB543" s="1417"/>
      <c r="AC543" s="1455"/>
    </row>
    <row r="544" spans="1:29" ht="34.35" customHeight="1">
      <c r="A544" s="59" t="s">
        <v>309</v>
      </c>
      <c r="B544" s="60" t="s">
        <v>310</v>
      </c>
      <c r="C544" s="29">
        <v>4</v>
      </c>
      <c r="D544" s="5" t="s">
        <v>315</v>
      </c>
      <c r="E544" s="14" t="s">
        <v>38</v>
      </c>
      <c r="F544" s="2" t="s">
        <v>316</v>
      </c>
      <c r="G544" s="2" t="s">
        <v>40</v>
      </c>
      <c r="H544" s="920">
        <v>280</v>
      </c>
      <c r="I544" s="879">
        <v>46082</v>
      </c>
      <c r="J544" s="921"/>
      <c r="K544" s="884"/>
      <c r="L544" s="884"/>
      <c r="M544" s="884"/>
      <c r="N544" s="884"/>
      <c r="O544" s="884"/>
      <c r="P544" s="884"/>
      <c r="Q544" s="884"/>
      <c r="R544" s="884"/>
      <c r="S544" s="922"/>
      <c r="T544" s="883"/>
      <c r="U544" s="884"/>
      <c r="V544" s="884"/>
      <c r="W544" s="884"/>
      <c r="X544" s="884"/>
      <c r="Y544" s="884"/>
      <c r="Z544" s="884"/>
      <c r="AA544" s="884"/>
      <c r="AB544" s="1417"/>
      <c r="AC544" s="1456" t="s">
        <v>458</v>
      </c>
    </row>
    <row r="545" spans="1:29" ht="34.35" customHeight="1">
      <c r="A545" s="59" t="s">
        <v>309</v>
      </c>
      <c r="B545" s="60" t="s">
        <v>310</v>
      </c>
      <c r="C545" s="29">
        <v>5</v>
      </c>
      <c r="D545" s="5" t="s">
        <v>315</v>
      </c>
      <c r="E545" s="14" t="s">
        <v>136</v>
      </c>
      <c r="F545" s="2" t="s">
        <v>316</v>
      </c>
      <c r="G545" s="2" t="s">
        <v>40</v>
      </c>
      <c r="H545" s="920">
        <v>106</v>
      </c>
      <c r="I545" s="879">
        <v>46082</v>
      </c>
      <c r="J545" s="921"/>
      <c r="K545" s="884"/>
      <c r="L545" s="884"/>
      <c r="M545" s="884"/>
      <c r="N545" s="884"/>
      <c r="O545" s="884"/>
      <c r="P545" s="884"/>
      <c r="Q545" s="884"/>
      <c r="R545" s="884"/>
      <c r="S545" s="922"/>
      <c r="T545" s="883"/>
      <c r="U545" s="884"/>
      <c r="V545" s="884"/>
      <c r="W545" s="884"/>
      <c r="X545" s="884"/>
      <c r="Y545" s="884"/>
      <c r="Z545" s="884"/>
      <c r="AA545" s="884"/>
      <c r="AB545" s="1417"/>
      <c r="AC545" s="1456" t="s">
        <v>459</v>
      </c>
    </row>
    <row r="546" spans="1:29" ht="34.35" customHeight="1">
      <c r="A546" s="59" t="s">
        <v>309</v>
      </c>
      <c r="B546" s="60" t="s">
        <v>310</v>
      </c>
      <c r="C546" s="29">
        <v>6</v>
      </c>
      <c r="D546" s="5" t="s">
        <v>317</v>
      </c>
      <c r="E546" s="14" t="s">
        <v>38</v>
      </c>
      <c r="F546" s="2" t="s">
        <v>316</v>
      </c>
      <c r="G546" s="2" t="s">
        <v>40</v>
      </c>
      <c r="H546" s="920">
        <v>0</v>
      </c>
      <c r="I546" s="879">
        <v>46082</v>
      </c>
      <c r="J546" s="921"/>
      <c r="K546" s="884"/>
      <c r="L546" s="884"/>
      <c r="M546" s="884"/>
      <c r="N546" s="884"/>
      <c r="O546" s="884"/>
      <c r="P546" s="884"/>
      <c r="Q546" s="884"/>
      <c r="R546" s="884"/>
      <c r="S546" s="1417"/>
      <c r="T546" s="883"/>
      <c r="U546" s="884"/>
      <c r="V546" s="884"/>
      <c r="W546" s="884"/>
      <c r="X546" s="884"/>
      <c r="Y546" s="884"/>
      <c r="Z546" s="884"/>
      <c r="AA546" s="884"/>
      <c r="AB546" s="1417"/>
      <c r="AC546" s="1454"/>
    </row>
    <row r="547" spans="1:29" ht="34.35" customHeight="1">
      <c r="A547" s="59" t="s">
        <v>309</v>
      </c>
      <c r="B547" s="60" t="s">
        <v>310</v>
      </c>
      <c r="C547" s="29">
        <v>7</v>
      </c>
      <c r="D547" s="5" t="s">
        <v>317</v>
      </c>
      <c r="E547" s="14" t="s">
        <v>136</v>
      </c>
      <c r="F547" s="2" t="s">
        <v>316</v>
      </c>
      <c r="G547" s="2" t="s">
        <v>40</v>
      </c>
      <c r="H547" s="920">
        <v>0</v>
      </c>
      <c r="I547" s="879">
        <v>46082</v>
      </c>
      <c r="J547" s="921"/>
      <c r="K547" s="884"/>
      <c r="L547" s="884"/>
      <c r="M547" s="884"/>
      <c r="N547" s="884"/>
      <c r="O547" s="884"/>
      <c r="P547" s="884"/>
      <c r="Q547" s="884"/>
      <c r="R547" s="884"/>
      <c r="S547" s="1417"/>
      <c r="T547" s="883"/>
      <c r="U547" s="884"/>
      <c r="V547" s="884"/>
      <c r="W547" s="884"/>
      <c r="X547" s="884"/>
      <c r="Y547" s="884"/>
      <c r="Z547" s="884"/>
      <c r="AA547" s="884"/>
      <c r="AB547" s="1417"/>
      <c r="AC547" s="1454"/>
    </row>
    <row r="548" spans="1:29" ht="34.35" customHeight="1">
      <c r="A548" s="59" t="s">
        <v>309</v>
      </c>
      <c r="B548" s="60" t="s">
        <v>310</v>
      </c>
      <c r="C548" s="29">
        <v>8</v>
      </c>
      <c r="D548" s="5" t="s">
        <v>318</v>
      </c>
      <c r="E548" s="14" t="s">
        <v>38</v>
      </c>
      <c r="F548" s="2" t="s">
        <v>316</v>
      </c>
      <c r="G548" s="2" t="s">
        <v>40</v>
      </c>
      <c r="H548" s="920">
        <v>192</v>
      </c>
      <c r="I548" s="879">
        <v>46082</v>
      </c>
      <c r="J548" s="921"/>
      <c r="K548" s="884"/>
      <c r="L548" s="884"/>
      <c r="M548" s="884"/>
      <c r="N548" s="884"/>
      <c r="O548" s="884"/>
      <c r="P548" s="884"/>
      <c r="Q548" s="884"/>
      <c r="R548" s="884"/>
      <c r="S548" s="1417"/>
      <c r="T548" s="883"/>
      <c r="U548" s="884"/>
      <c r="V548" s="884"/>
      <c r="W548" s="884"/>
      <c r="X548" s="884"/>
      <c r="Y548" s="884"/>
      <c r="Z548" s="884"/>
      <c r="AA548" s="884"/>
      <c r="AB548" s="1417"/>
      <c r="AC548" s="1456" t="s">
        <v>460</v>
      </c>
    </row>
    <row r="549" spans="1:29" ht="34.35" customHeight="1">
      <c r="A549" s="59" t="s">
        <v>309</v>
      </c>
      <c r="B549" s="60" t="s">
        <v>310</v>
      </c>
      <c r="C549" s="29">
        <v>9</v>
      </c>
      <c r="D549" s="5" t="s">
        <v>318</v>
      </c>
      <c r="E549" s="14" t="s">
        <v>136</v>
      </c>
      <c r="F549" s="2" t="s">
        <v>316</v>
      </c>
      <c r="G549" s="2" t="s">
        <v>40</v>
      </c>
      <c r="H549" s="920">
        <v>307</v>
      </c>
      <c r="I549" s="879">
        <v>46082</v>
      </c>
      <c r="J549" s="921"/>
      <c r="K549" s="884"/>
      <c r="L549" s="884"/>
      <c r="M549" s="884"/>
      <c r="N549" s="884"/>
      <c r="O549" s="884"/>
      <c r="P549" s="884"/>
      <c r="Q549" s="884"/>
      <c r="R549" s="884"/>
      <c r="S549" s="1417"/>
      <c r="T549" s="883"/>
      <c r="U549" s="884"/>
      <c r="V549" s="884"/>
      <c r="W549" s="884"/>
      <c r="X549" s="884"/>
      <c r="Y549" s="884"/>
      <c r="Z549" s="884"/>
      <c r="AA549" s="884"/>
      <c r="AB549" s="1417"/>
      <c r="AC549" s="1456" t="s">
        <v>461</v>
      </c>
    </row>
    <row r="550" spans="1:29" ht="34.35" customHeight="1">
      <c r="A550" s="59" t="s">
        <v>309</v>
      </c>
      <c r="B550" s="60" t="s">
        <v>319</v>
      </c>
      <c r="C550" s="29">
        <v>10</v>
      </c>
      <c r="D550" s="5" t="s">
        <v>320</v>
      </c>
      <c r="E550" s="14" t="s">
        <v>38</v>
      </c>
      <c r="F550" s="2" t="s">
        <v>321</v>
      </c>
      <c r="G550" s="2" t="s">
        <v>40</v>
      </c>
      <c r="H550" s="920">
        <v>0</v>
      </c>
      <c r="I550" s="879">
        <v>46082</v>
      </c>
      <c r="J550" s="921"/>
      <c r="K550" s="884"/>
      <c r="L550" s="884"/>
      <c r="M550" s="884"/>
      <c r="N550" s="884"/>
      <c r="O550" s="884"/>
      <c r="P550" s="884"/>
      <c r="Q550" s="884"/>
      <c r="R550" s="884"/>
      <c r="S550" s="1417"/>
      <c r="T550" s="883"/>
      <c r="U550" s="884"/>
      <c r="V550" s="884"/>
      <c r="W550" s="884"/>
      <c r="X550" s="884"/>
      <c r="Y550" s="884"/>
      <c r="Z550" s="884"/>
      <c r="AA550" s="884"/>
      <c r="AB550" s="1417"/>
      <c r="AC550" s="1454"/>
    </row>
    <row r="551" spans="1:29" ht="34.35" customHeight="1">
      <c r="A551" s="59" t="s">
        <v>309</v>
      </c>
      <c r="B551" s="60" t="s">
        <v>319</v>
      </c>
      <c r="C551" s="29">
        <v>11</v>
      </c>
      <c r="D551" s="5" t="s">
        <v>322</v>
      </c>
      <c r="E551" s="14" t="s">
        <v>38</v>
      </c>
      <c r="F551" s="2" t="s">
        <v>321</v>
      </c>
      <c r="G551" s="2" t="s">
        <v>40</v>
      </c>
      <c r="H551" s="920">
        <v>0</v>
      </c>
      <c r="I551" s="879">
        <v>46082</v>
      </c>
      <c r="J551" s="921"/>
      <c r="K551" s="884"/>
      <c r="L551" s="884"/>
      <c r="M551" s="884"/>
      <c r="N551" s="884"/>
      <c r="O551" s="884"/>
      <c r="P551" s="884"/>
      <c r="Q551" s="884"/>
      <c r="R551" s="884"/>
      <c r="S551" s="1417"/>
      <c r="T551" s="883"/>
      <c r="U551" s="884"/>
      <c r="V551" s="884"/>
      <c r="W551" s="884"/>
      <c r="X551" s="884"/>
      <c r="Y551" s="884"/>
      <c r="Z551" s="884"/>
      <c r="AA551" s="884"/>
      <c r="AB551" s="1417"/>
      <c r="AC551" s="1454"/>
    </row>
    <row r="552" spans="1:29" ht="34.35" customHeight="1">
      <c r="A552" s="59" t="s">
        <v>309</v>
      </c>
      <c r="B552" s="60" t="s">
        <v>319</v>
      </c>
      <c r="C552" s="29">
        <v>12</v>
      </c>
      <c r="D552" s="5" t="s">
        <v>313</v>
      </c>
      <c r="E552" s="14" t="s">
        <v>38</v>
      </c>
      <c r="F552" s="2" t="s">
        <v>321</v>
      </c>
      <c r="G552" s="2" t="s">
        <v>40</v>
      </c>
      <c r="H552" s="920">
        <v>0</v>
      </c>
      <c r="I552" s="879">
        <v>46082</v>
      </c>
      <c r="J552" s="921"/>
      <c r="K552" s="884"/>
      <c r="L552" s="884"/>
      <c r="M552" s="884"/>
      <c r="N552" s="884"/>
      <c r="O552" s="884"/>
      <c r="P552" s="884"/>
      <c r="Q552" s="884"/>
      <c r="R552" s="884"/>
      <c r="S552" s="1417"/>
      <c r="T552" s="883"/>
      <c r="U552" s="884"/>
      <c r="V552" s="884"/>
      <c r="W552" s="884"/>
      <c r="X552" s="884"/>
      <c r="Y552" s="884"/>
      <c r="Z552" s="884"/>
      <c r="AA552" s="884"/>
      <c r="AB552" s="1417"/>
      <c r="AC552" s="1454"/>
    </row>
    <row r="553" spans="1:29" ht="34.35" customHeight="1">
      <c r="A553" s="59" t="s">
        <v>309</v>
      </c>
      <c r="B553" s="60" t="s">
        <v>319</v>
      </c>
      <c r="C553" s="29">
        <v>13</v>
      </c>
      <c r="D553" s="5" t="s">
        <v>323</v>
      </c>
      <c r="E553" s="14" t="s">
        <v>38</v>
      </c>
      <c r="F553" s="2" t="s">
        <v>321</v>
      </c>
      <c r="G553" s="2" t="s">
        <v>40</v>
      </c>
      <c r="H553" s="920">
        <v>5</v>
      </c>
      <c r="I553" s="879">
        <v>46082</v>
      </c>
      <c r="J553" s="921"/>
      <c r="K553" s="884"/>
      <c r="L553" s="884"/>
      <c r="M553" s="884"/>
      <c r="N553" s="884"/>
      <c r="O553" s="884"/>
      <c r="P553" s="884"/>
      <c r="Q553" s="884"/>
      <c r="R553" s="884"/>
      <c r="S553" s="1417"/>
      <c r="T553" s="883"/>
      <c r="U553" s="884"/>
      <c r="V553" s="884"/>
      <c r="W553" s="884"/>
      <c r="X553" s="884"/>
      <c r="Y553" s="884"/>
      <c r="Z553" s="884"/>
      <c r="AA553" s="884"/>
      <c r="AB553" s="1417"/>
      <c r="AC553" s="1454"/>
    </row>
    <row r="554" spans="1:29" ht="34.35" customHeight="1">
      <c r="A554" s="59" t="s">
        <v>309</v>
      </c>
      <c r="B554" s="61" t="s">
        <v>324</v>
      </c>
      <c r="C554" s="29">
        <v>14</v>
      </c>
      <c r="D554" s="5" t="s">
        <v>311</v>
      </c>
      <c r="E554" s="14" t="s">
        <v>38</v>
      </c>
      <c r="F554" s="2" t="s">
        <v>312</v>
      </c>
      <c r="G554" s="2" t="s">
        <v>40</v>
      </c>
      <c r="H554" s="922">
        <v>0</v>
      </c>
      <c r="I554" s="879">
        <v>46082</v>
      </c>
      <c r="J554" s="921"/>
      <c r="K554" s="884"/>
      <c r="L554" s="884"/>
      <c r="M554" s="884"/>
      <c r="N554" s="884"/>
      <c r="O554" s="884"/>
      <c r="P554" s="884"/>
      <c r="Q554" s="884"/>
      <c r="R554" s="884"/>
      <c r="S554" s="1417"/>
      <c r="T554" s="883"/>
      <c r="U554" s="884"/>
      <c r="V554" s="884"/>
      <c r="W554" s="884"/>
      <c r="X554" s="884"/>
      <c r="Y554" s="884"/>
      <c r="Z554" s="884"/>
      <c r="AA554" s="884"/>
      <c r="AB554" s="1417"/>
      <c r="AC554" s="1454"/>
    </row>
    <row r="555" spans="1:29" ht="34.35" customHeight="1">
      <c r="A555" s="59" t="s">
        <v>309</v>
      </c>
      <c r="B555" s="61" t="s">
        <v>324</v>
      </c>
      <c r="C555" s="29">
        <v>15</v>
      </c>
      <c r="D555" s="5" t="s">
        <v>313</v>
      </c>
      <c r="E555" s="14" t="s">
        <v>38</v>
      </c>
      <c r="F555" s="2" t="s">
        <v>312</v>
      </c>
      <c r="G555" s="2" t="s">
        <v>40</v>
      </c>
      <c r="H555" s="922">
        <v>0</v>
      </c>
      <c r="I555" s="879">
        <v>46082</v>
      </c>
      <c r="J555" s="921"/>
      <c r="K555" s="884"/>
      <c r="L555" s="884"/>
      <c r="M555" s="884"/>
      <c r="N555" s="884"/>
      <c r="O555" s="884"/>
      <c r="P555" s="884"/>
      <c r="Q555" s="884"/>
      <c r="R555" s="884"/>
      <c r="S555" s="1417"/>
      <c r="T555" s="883"/>
      <c r="U555" s="884"/>
      <c r="V555" s="884"/>
      <c r="W555" s="884"/>
      <c r="X555" s="884"/>
      <c r="Y555" s="884"/>
      <c r="Z555" s="884"/>
      <c r="AA555" s="884"/>
      <c r="AB555" s="1417"/>
      <c r="AC555" s="1454"/>
    </row>
    <row r="556" spans="1:29" ht="34.35" customHeight="1">
      <c r="A556" s="59" t="s">
        <v>309</v>
      </c>
      <c r="B556" s="61" t="s">
        <v>324</v>
      </c>
      <c r="C556" s="29">
        <v>16</v>
      </c>
      <c r="D556" s="6" t="s">
        <v>314</v>
      </c>
      <c r="E556" s="14" t="s">
        <v>38</v>
      </c>
      <c r="F556" s="2" t="s">
        <v>312</v>
      </c>
      <c r="G556" s="2" t="s">
        <v>40</v>
      </c>
      <c r="H556" s="922">
        <v>0</v>
      </c>
      <c r="I556" s="879">
        <v>46082</v>
      </c>
      <c r="J556" s="921"/>
      <c r="K556" s="884"/>
      <c r="L556" s="884"/>
      <c r="M556" s="884"/>
      <c r="N556" s="884"/>
      <c r="O556" s="884"/>
      <c r="P556" s="884"/>
      <c r="Q556" s="884"/>
      <c r="R556" s="884"/>
      <c r="S556" s="1417"/>
      <c r="T556" s="883"/>
      <c r="U556" s="884"/>
      <c r="V556" s="884"/>
      <c r="W556" s="884"/>
      <c r="X556" s="884"/>
      <c r="Y556" s="884"/>
      <c r="Z556" s="884"/>
      <c r="AA556" s="884"/>
      <c r="AB556" s="1417"/>
      <c r="AC556" s="1455"/>
    </row>
    <row r="557" spans="1:29" ht="34.35" customHeight="1">
      <c r="A557" s="59" t="s">
        <v>309</v>
      </c>
      <c r="B557" s="61" t="s">
        <v>325</v>
      </c>
      <c r="C557" s="29">
        <v>17</v>
      </c>
      <c r="D557" s="5" t="s">
        <v>326</v>
      </c>
      <c r="E557" s="14" t="s">
        <v>38</v>
      </c>
      <c r="F557" s="2" t="s">
        <v>327</v>
      </c>
      <c r="G557" s="2" t="s">
        <v>40</v>
      </c>
      <c r="H557" s="922">
        <v>0</v>
      </c>
      <c r="I557" s="879">
        <v>46082</v>
      </c>
      <c r="J557" s="921"/>
      <c r="K557" s="884"/>
      <c r="L557" s="884"/>
      <c r="M557" s="884"/>
      <c r="N557" s="884"/>
      <c r="O557" s="884"/>
      <c r="P557" s="884"/>
      <c r="Q557" s="884"/>
      <c r="R557" s="884"/>
      <c r="S557" s="1417"/>
      <c r="T557" s="883"/>
      <c r="U557" s="884"/>
      <c r="V557" s="884"/>
      <c r="W557" s="884"/>
      <c r="X557" s="884"/>
      <c r="Y557" s="884"/>
      <c r="Z557" s="884"/>
      <c r="AA557" s="884"/>
      <c r="AB557" s="1417"/>
      <c r="AC557" s="1454"/>
    </row>
    <row r="558" spans="1:29" ht="34.35" customHeight="1">
      <c r="A558" s="59" t="s">
        <v>309</v>
      </c>
      <c r="B558" s="61" t="s">
        <v>325</v>
      </c>
      <c r="C558" s="29">
        <v>18</v>
      </c>
      <c r="D558" s="5" t="s">
        <v>326</v>
      </c>
      <c r="E558" s="14" t="s">
        <v>136</v>
      </c>
      <c r="F558" s="2" t="s">
        <v>327</v>
      </c>
      <c r="G558" s="2" t="s">
        <v>40</v>
      </c>
      <c r="H558" s="922">
        <v>0</v>
      </c>
      <c r="I558" s="879">
        <v>46082</v>
      </c>
      <c r="J558" s="921"/>
      <c r="K558" s="884"/>
      <c r="L558" s="884"/>
      <c r="M558" s="884"/>
      <c r="N558" s="884"/>
      <c r="O558" s="884"/>
      <c r="P558" s="884"/>
      <c r="Q558" s="884"/>
      <c r="R558" s="884"/>
      <c r="S558" s="1417"/>
      <c r="T558" s="883"/>
      <c r="U558" s="884"/>
      <c r="V558" s="884"/>
      <c r="W558" s="884"/>
      <c r="X558" s="884"/>
      <c r="Y558" s="884"/>
      <c r="Z558" s="884"/>
      <c r="AA558" s="884"/>
      <c r="AB558" s="1417"/>
      <c r="AC558" s="1454"/>
    </row>
    <row r="559" spans="1:29" ht="34.35" customHeight="1">
      <c r="A559" s="59" t="s">
        <v>309</v>
      </c>
      <c r="B559" s="61" t="s">
        <v>325</v>
      </c>
      <c r="C559" s="29">
        <v>19</v>
      </c>
      <c r="D559" s="6" t="s">
        <v>328</v>
      </c>
      <c r="E559" s="14" t="s">
        <v>38</v>
      </c>
      <c r="F559" s="2" t="s">
        <v>327</v>
      </c>
      <c r="G559" s="2" t="s">
        <v>40</v>
      </c>
      <c r="H559" s="922" t="s">
        <v>41</v>
      </c>
      <c r="I559" s="879">
        <v>46082</v>
      </c>
      <c r="J559" s="921"/>
      <c r="K559" s="884"/>
      <c r="L559" s="884"/>
      <c r="M559" s="884"/>
      <c r="N559" s="884"/>
      <c r="O559" s="884"/>
      <c r="P559" s="884"/>
      <c r="Q559" s="884"/>
      <c r="R559" s="884"/>
      <c r="S559" s="1417"/>
      <c r="T559" s="883"/>
      <c r="U559" s="884"/>
      <c r="V559" s="884"/>
      <c r="W559" s="884"/>
      <c r="X559" s="884"/>
      <c r="Y559" s="884"/>
      <c r="Z559" s="884"/>
      <c r="AA559" s="884"/>
      <c r="AB559" s="1417"/>
      <c r="AC559" s="1455"/>
    </row>
    <row r="560" spans="1:29" ht="34.35" customHeight="1">
      <c r="A560" s="59" t="s">
        <v>309</v>
      </c>
      <c r="B560" s="61" t="s">
        <v>325</v>
      </c>
      <c r="C560" s="29">
        <v>20</v>
      </c>
      <c r="D560" s="6" t="s">
        <v>328</v>
      </c>
      <c r="E560" s="14" t="s">
        <v>136</v>
      </c>
      <c r="F560" s="2" t="s">
        <v>327</v>
      </c>
      <c r="G560" s="2" t="s">
        <v>40</v>
      </c>
      <c r="H560" s="922" t="s">
        <v>41</v>
      </c>
      <c r="I560" s="879">
        <v>46082</v>
      </c>
      <c r="J560" s="921"/>
      <c r="K560" s="884"/>
      <c r="L560" s="884"/>
      <c r="M560" s="884"/>
      <c r="N560" s="884"/>
      <c r="O560" s="884"/>
      <c r="P560" s="884"/>
      <c r="Q560" s="884"/>
      <c r="R560" s="884"/>
      <c r="S560" s="1417"/>
      <c r="T560" s="883"/>
      <c r="U560" s="884"/>
      <c r="V560" s="884"/>
      <c r="W560" s="884"/>
      <c r="X560" s="884"/>
      <c r="Y560" s="884"/>
      <c r="Z560" s="884"/>
      <c r="AA560" s="884"/>
      <c r="AB560" s="1417"/>
      <c r="AC560" s="1455"/>
    </row>
    <row r="561" spans="1:29" ht="34.35" customHeight="1">
      <c r="A561" s="59" t="s">
        <v>309</v>
      </c>
      <c r="B561" s="61" t="s">
        <v>325</v>
      </c>
      <c r="C561" s="29">
        <v>21</v>
      </c>
      <c r="D561" s="6" t="s">
        <v>329</v>
      </c>
      <c r="E561" s="14" t="s">
        <v>38</v>
      </c>
      <c r="F561" s="2" t="s">
        <v>327</v>
      </c>
      <c r="G561" s="2" t="s">
        <v>40</v>
      </c>
      <c r="H561" s="922" t="s">
        <v>41</v>
      </c>
      <c r="I561" s="879">
        <v>46082</v>
      </c>
      <c r="J561" s="921"/>
      <c r="K561" s="884"/>
      <c r="L561" s="884"/>
      <c r="M561" s="884"/>
      <c r="N561" s="884"/>
      <c r="O561" s="884"/>
      <c r="P561" s="884"/>
      <c r="Q561" s="884"/>
      <c r="R561" s="884"/>
      <c r="S561" s="1417"/>
      <c r="T561" s="883"/>
      <c r="U561" s="884"/>
      <c r="V561" s="884"/>
      <c r="W561" s="884"/>
      <c r="X561" s="884"/>
      <c r="Y561" s="884"/>
      <c r="Z561" s="884"/>
      <c r="AA561" s="884"/>
      <c r="AB561" s="1417"/>
      <c r="AC561" s="1455"/>
    </row>
    <row r="562" spans="1:29" ht="34.35" customHeight="1">
      <c r="A562" s="59" t="s">
        <v>309</v>
      </c>
      <c r="B562" s="61" t="s">
        <v>325</v>
      </c>
      <c r="C562" s="29">
        <v>22</v>
      </c>
      <c r="D562" s="6" t="s">
        <v>329</v>
      </c>
      <c r="E562" s="14" t="s">
        <v>136</v>
      </c>
      <c r="F562" s="2" t="s">
        <v>327</v>
      </c>
      <c r="G562" s="2" t="s">
        <v>40</v>
      </c>
      <c r="H562" s="922" t="s">
        <v>41</v>
      </c>
      <c r="I562" s="879">
        <v>46082</v>
      </c>
      <c r="J562" s="921"/>
      <c r="K562" s="884"/>
      <c r="L562" s="884"/>
      <c r="M562" s="884"/>
      <c r="N562" s="884"/>
      <c r="O562" s="884"/>
      <c r="P562" s="884"/>
      <c r="Q562" s="884"/>
      <c r="R562" s="884"/>
      <c r="S562" s="1417"/>
      <c r="T562" s="883"/>
      <c r="U562" s="884"/>
      <c r="V562" s="884"/>
      <c r="W562" s="884"/>
      <c r="X562" s="884"/>
      <c r="Y562" s="884"/>
      <c r="Z562" s="884"/>
      <c r="AA562" s="884"/>
      <c r="AB562" s="1417"/>
      <c r="AC562" s="1455"/>
    </row>
    <row r="563" spans="1:29" ht="34.35" customHeight="1">
      <c r="A563" s="59" t="s">
        <v>309</v>
      </c>
      <c r="B563" s="61" t="s">
        <v>325</v>
      </c>
      <c r="C563" s="29">
        <v>23</v>
      </c>
      <c r="D563" s="6" t="s">
        <v>462</v>
      </c>
      <c r="E563" s="14" t="s">
        <v>38</v>
      </c>
      <c r="F563" s="2" t="s">
        <v>327</v>
      </c>
      <c r="G563" s="2" t="s">
        <v>40</v>
      </c>
      <c r="H563" s="922" t="s">
        <v>41</v>
      </c>
      <c r="I563" s="879">
        <v>46082</v>
      </c>
      <c r="J563" s="921"/>
      <c r="K563" s="884"/>
      <c r="L563" s="884"/>
      <c r="M563" s="884"/>
      <c r="N563" s="884"/>
      <c r="O563" s="884"/>
      <c r="P563" s="884"/>
      <c r="Q563" s="884"/>
      <c r="R563" s="884"/>
      <c r="S563" s="1417"/>
      <c r="T563" s="883"/>
      <c r="U563" s="884"/>
      <c r="V563" s="884"/>
      <c r="W563" s="884"/>
      <c r="X563" s="884"/>
      <c r="Y563" s="884"/>
      <c r="Z563" s="884"/>
      <c r="AA563" s="884"/>
      <c r="AB563" s="1417"/>
      <c r="AC563" s="1455"/>
    </row>
    <row r="564" spans="1:29" ht="34.35" customHeight="1">
      <c r="A564" s="59" t="s">
        <v>309</v>
      </c>
      <c r="B564" s="61" t="s">
        <v>325</v>
      </c>
      <c r="C564" s="29">
        <v>24</v>
      </c>
      <c r="D564" s="6" t="s">
        <v>462</v>
      </c>
      <c r="E564" s="14" t="s">
        <v>136</v>
      </c>
      <c r="F564" s="2" t="s">
        <v>327</v>
      </c>
      <c r="G564" s="2" t="s">
        <v>40</v>
      </c>
      <c r="H564" s="922" t="s">
        <v>41</v>
      </c>
      <c r="I564" s="879">
        <v>46082</v>
      </c>
      <c r="J564" s="921"/>
      <c r="K564" s="884"/>
      <c r="L564" s="884"/>
      <c r="M564" s="884"/>
      <c r="N564" s="884"/>
      <c r="O564" s="884"/>
      <c r="P564" s="884"/>
      <c r="Q564" s="884"/>
      <c r="R564" s="884"/>
      <c r="S564" s="1417"/>
      <c r="T564" s="883"/>
      <c r="U564" s="884"/>
      <c r="V564" s="884"/>
      <c r="W564" s="884"/>
      <c r="X564" s="884"/>
      <c r="Y564" s="884"/>
      <c r="Z564" s="884"/>
      <c r="AA564" s="884"/>
      <c r="AB564" s="1417"/>
      <c r="AC564" s="1455"/>
    </row>
    <row r="565" spans="1:29" ht="34.35" customHeight="1">
      <c r="A565" s="59" t="s">
        <v>309</v>
      </c>
      <c r="B565" s="61" t="s">
        <v>325</v>
      </c>
      <c r="C565" s="29">
        <v>25</v>
      </c>
      <c r="D565" s="5" t="s">
        <v>331</v>
      </c>
      <c r="E565" s="14" t="s">
        <v>38</v>
      </c>
      <c r="F565" s="2" t="s">
        <v>327</v>
      </c>
      <c r="G565" s="2" t="s">
        <v>332</v>
      </c>
      <c r="H565" s="922">
        <v>0</v>
      </c>
      <c r="I565" s="879">
        <v>46082</v>
      </c>
      <c r="J565" s="921"/>
      <c r="K565" s="884"/>
      <c r="L565" s="884"/>
      <c r="M565" s="884"/>
      <c r="N565" s="884"/>
      <c r="O565" s="884"/>
      <c r="P565" s="884"/>
      <c r="Q565" s="884"/>
      <c r="R565" s="884"/>
      <c r="S565" s="1417"/>
      <c r="T565" s="883"/>
      <c r="U565" s="884"/>
      <c r="V565" s="884"/>
      <c r="W565" s="884"/>
      <c r="X565" s="884"/>
      <c r="Y565" s="884"/>
      <c r="Z565" s="884"/>
      <c r="AA565" s="884"/>
      <c r="AB565" s="1417"/>
      <c r="AC565" s="1454"/>
    </row>
    <row r="566" spans="1:29" ht="34.35" customHeight="1">
      <c r="A566" s="59" t="s">
        <v>309</v>
      </c>
      <c r="B566" s="61" t="s">
        <v>325</v>
      </c>
      <c r="C566" s="29">
        <v>26</v>
      </c>
      <c r="D566" s="5" t="s">
        <v>463</v>
      </c>
      <c r="E566" s="14" t="s">
        <v>136</v>
      </c>
      <c r="F566" s="2" t="s">
        <v>327</v>
      </c>
      <c r="G566" s="2" t="s">
        <v>332</v>
      </c>
      <c r="H566" s="922">
        <v>0</v>
      </c>
      <c r="I566" s="879">
        <v>46082</v>
      </c>
      <c r="J566" s="921"/>
      <c r="K566" s="884"/>
      <c r="L566" s="884"/>
      <c r="M566" s="884"/>
      <c r="N566" s="884"/>
      <c r="O566" s="884"/>
      <c r="P566" s="884"/>
      <c r="Q566" s="884"/>
      <c r="R566" s="884"/>
      <c r="S566" s="1417"/>
      <c r="T566" s="883"/>
      <c r="U566" s="884"/>
      <c r="V566" s="884"/>
      <c r="W566" s="884"/>
      <c r="X566" s="884"/>
      <c r="Y566" s="884"/>
      <c r="Z566" s="884"/>
      <c r="AA566" s="884"/>
      <c r="AB566" s="1417"/>
      <c r="AC566" s="1454"/>
    </row>
    <row r="567" spans="1:29" ht="34.35" customHeight="1">
      <c r="A567" s="59" t="s">
        <v>309</v>
      </c>
      <c r="B567" s="61" t="s">
        <v>325</v>
      </c>
      <c r="C567" s="29">
        <v>27</v>
      </c>
      <c r="D567" s="5" t="s">
        <v>464</v>
      </c>
      <c r="E567" s="14" t="s">
        <v>38</v>
      </c>
      <c r="F567" s="2" t="s">
        <v>327</v>
      </c>
      <c r="G567" s="2" t="s">
        <v>332</v>
      </c>
      <c r="H567" s="922">
        <v>0</v>
      </c>
      <c r="I567" s="879">
        <v>46082</v>
      </c>
      <c r="J567" s="921"/>
      <c r="K567" s="884"/>
      <c r="L567" s="884"/>
      <c r="M567" s="884"/>
      <c r="N567" s="884"/>
      <c r="O567" s="884"/>
      <c r="P567" s="884"/>
      <c r="Q567" s="884"/>
      <c r="R567" s="884"/>
      <c r="S567" s="1417"/>
      <c r="T567" s="883"/>
      <c r="U567" s="884"/>
      <c r="V567" s="884"/>
      <c r="W567" s="884"/>
      <c r="X567" s="884"/>
      <c r="Y567" s="884"/>
      <c r="Z567" s="884"/>
      <c r="AA567" s="884"/>
      <c r="AB567" s="1417"/>
      <c r="AC567" s="1454"/>
    </row>
    <row r="568" spans="1:29" ht="34.35" customHeight="1">
      <c r="A568" s="59" t="s">
        <v>309</v>
      </c>
      <c r="B568" s="61" t="s">
        <v>325</v>
      </c>
      <c r="C568" s="29">
        <v>28</v>
      </c>
      <c r="D568" s="5" t="s">
        <v>464</v>
      </c>
      <c r="E568" s="14" t="s">
        <v>136</v>
      </c>
      <c r="F568" s="2" t="s">
        <v>327</v>
      </c>
      <c r="G568" s="2" t="s">
        <v>332</v>
      </c>
      <c r="H568" s="922">
        <v>0</v>
      </c>
      <c r="I568" s="879">
        <v>46082</v>
      </c>
      <c r="J568" s="921"/>
      <c r="K568" s="884"/>
      <c r="L568" s="884"/>
      <c r="M568" s="884"/>
      <c r="N568" s="884"/>
      <c r="O568" s="884"/>
      <c r="P568" s="884"/>
      <c r="Q568" s="884"/>
      <c r="R568" s="884"/>
      <c r="S568" s="1417"/>
      <c r="T568" s="883"/>
      <c r="U568" s="884"/>
      <c r="V568" s="884"/>
      <c r="W568" s="884"/>
      <c r="X568" s="884"/>
      <c r="Y568" s="884"/>
      <c r="Z568" s="884"/>
      <c r="AA568" s="884"/>
      <c r="AB568" s="1417"/>
      <c r="AC568" s="1454"/>
    </row>
    <row r="569" spans="1:29" ht="34.35" customHeight="1">
      <c r="A569" s="59" t="s">
        <v>309</v>
      </c>
      <c r="B569" s="61" t="s">
        <v>325</v>
      </c>
      <c r="C569" s="29">
        <v>29</v>
      </c>
      <c r="D569" s="5" t="s">
        <v>336</v>
      </c>
      <c r="E569" s="14" t="s">
        <v>38</v>
      </c>
      <c r="F569" s="2" t="s">
        <v>316</v>
      </c>
      <c r="G569" s="2" t="s">
        <v>40</v>
      </c>
      <c r="H569" s="922">
        <v>0</v>
      </c>
      <c r="I569" s="879">
        <v>46082</v>
      </c>
      <c r="J569" s="921"/>
      <c r="K569" s="884"/>
      <c r="L569" s="884"/>
      <c r="M569" s="884"/>
      <c r="N569" s="884"/>
      <c r="O569" s="884"/>
      <c r="P569" s="884"/>
      <c r="Q569" s="884"/>
      <c r="R569" s="884"/>
      <c r="S569" s="1417"/>
      <c r="T569" s="883"/>
      <c r="U569" s="884"/>
      <c r="V569" s="884"/>
      <c r="W569" s="884"/>
      <c r="X569" s="884"/>
      <c r="Y569" s="884"/>
      <c r="Z569" s="884"/>
      <c r="AA569" s="884"/>
      <c r="AB569" s="1417"/>
      <c r="AC569" s="1454"/>
    </row>
    <row r="570" spans="1:29" ht="34.35" customHeight="1">
      <c r="A570" s="59" t="s">
        <v>309</v>
      </c>
      <c r="B570" s="61" t="s">
        <v>325</v>
      </c>
      <c r="C570" s="29">
        <v>30</v>
      </c>
      <c r="D570" s="5" t="s">
        <v>336</v>
      </c>
      <c r="E570" s="14" t="s">
        <v>136</v>
      </c>
      <c r="F570" s="2" t="s">
        <v>316</v>
      </c>
      <c r="G570" s="2" t="s">
        <v>40</v>
      </c>
      <c r="H570" s="922">
        <v>0</v>
      </c>
      <c r="I570" s="879">
        <v>46082</v>
      </c>
      <c r="J570" s="921"/>
      <c r="K570" s="884"/>
      <c r="L570" s="884"/>
      <c r="M570" s="884"/>
      <c r="N570" s="884"/>
      <c r="O570" s="884"/>
      <c r="P570" s="884"/>
      <c r="Q570" s="884"/>
      <c r="R570" s="884"/>
      <c r="S570" s="1417"/>
      <c r="T570" s="883"/>
      <c r="U570" s="884"/>
      <c r="V570" s="884"/>
      <c r="W570" s="884"/>
      <c r="X570" s="884"/>
      <c r="Y570" s="884"/>
      <c r="Z570" s="884"/>
      <c r="AA570" s="884"/>
      <c r="AB570" s="1417"/>
      <c r="AC570" s="1454"/>
    </row>
    <row r="571" spans="1:29" ht="34.35" customHeight="1">
      <c r="A571" s="59" t="s">
        <v>309</v>
      </c>
      <c r="B571" s="61" t="s">
        <v>325</v>
      </c>
      <c r="C571" s="29">
        <v>31</v>
      </c>
      <c r="D571" s="5" t="s">
        <v>338</v>
      </c>
      <c r="E571" s="14" t="s">
        <v>38</v>
      </c>
      <c r="F571" s="2" t="s">
        <v>316</v>
      </c>
      <c r="G571" s="2" t="s">
        <v>40</v>
      </c>
      <c r="H571" s="922">
        <v>0</v>
      </c>
      <c r="I571" s="879">
        <v>46082</v>
      </c>
      <c r="J571" s="921"/>
      <c r="K571" s="884"/>
      <c r="L571" s="884"/>
      <c r="M571" s="884"/>
      <c r="N571" s="884"/>
      <c r="O571" s="884"/>
      <c r="P571" s="884"/>
      <c r="Q571" s="884"/>
      <c r="R571" s="884"/>
      <c r="S571" s="1417"/>
      <c r="T571" s="883"/>
      <c r="U571" s="884"/>
      <c r="V571" s="884"/>
      <c r="W571" s="884"/>
      <c r="X571" s="884"/>
      <c r="Y571" s="884"/>
      <c r="Z571" s="884"/>
      <c r="AA571" s="884"/>
      <c r="AB571" s="1417"/>
      <c r="AC571" s="1454"/>
    </row>
    <row r="572" spans="1:29" ht="34.35" customHeight="1">
      <c r="A572" s="59" t="s">
        <v>309</v>
      </c>
      <c r="B572" s="61" t="s">
        <v>325</v>
      </c>
      <c r="C572" s="29">
        <v>32</v>
      </c>
      <c r="D572" s="5" t="s">
        <v>338</v>
      </c>
      <c r="E572" s="14" t="s">
        <v>136</v>
      </c>
      <c r="F572" s="2" t="s">
        <v>316</v>
      </c>
      <c r="G572" s="2" t="s">
        <v>40</v>
      </c>
      <c r="H572" s="922">
        <v>0</v>
      </c>
      <c r="I572" s="879">
        <v>46082</v>
      </c>
      <c r="J572" s="921"/>
      <c r="K572" s="884"/>
      <c r="L572" s="884"/>
      <c r="M572" s="884"/>
      <c r="N572" s="884"/>
      <c r="O572" s="884"/>
      <c r="P572" s="884"/>
      <c r="Q572" s="884"/>
      <c r="R572" s="884"/>
      <c r="S572" s="1417"/>
      <c r="T572" s="883"/>
      <c r="U572" s="884"/>
      <c r="V572" s="884"/>
      <c r="W572" s="884"/>
      <c r="X572" s="884"/>
      <c r="Y572" s="884"/>
      <c r="Z572" s="884"/>
      <c r="AA572" s="884"/>
      <c r="AB572" s="1417"/>
      <c r="AC572" s="1454"/>
    </row>
    <row r="573" spans="1:29" ht="34.35" customHeight="1">
      <c r="A573" s="59" t="s">
        <v>309</v>
      </c>
      <c r="B573" s="61" t="s">
        <v>325</v>
      </c>
      <c r="C573" s="29">
        <v>33</v>
      </c>
      <c r="D573" s="5" t="s">
        <v>339</v>
      </c>
      <c r="E573" s="14" t="s">
        <v>133</v>
      </c>
      <c r="F573" s="2" t="s">
        <v>340</v>
      </c>
      <c r="G573" s="2" t="s">
        <v>341</v>
      </c>
      <c r="H573" s="927">
        <v>5.0000000000000001E-3</v>
      </c>
      <c r="I573" s="879">
        <v>46082</v>
      </c>
      <c r="J573" s="921"/>
      <c r="K573" s="884"/>
      <c r="L573" s="884"/>
      <c r="M573" s="884"/>
      <c r="N573" s="884"/>
      <c r="O573" s="884"/>
      <c r="P573" s="884"/>
      <c r="Q573" s="884"/>
      <c r="R573" s="884"/>
      <c r="S573" s="1417"/>
      <c r="T573" s="883"/>
      <c r="U573" s="884"/>
      <c r="V573" s="884"/>
      <c r="W573" s="884"/>
      <c r="X573" s="884"/>
      <c r="Y573" s="884"/>
      <c r="Z573" s="884"/>
      <c r="AA573" s="884"/>
      <c r="AB573" s="1417"/>
      <c r="AC573" s="1457" t="s">
        <v>465</v>
      </c>
    </row>
    <row r="574" spans="1:29" ht="34.35" customHeight="1">
      <c r="A574" s="59" t="s">
        <v>309</v>
      </c>
      <c r="B574" s="61" t="s">
        <v>325</v>
      </c>
      <c r="C574" s="29">
        <v>34</v>
      </c>
      <c r="D574" s="5" t="s">
        <v>339</v>
      </c>
      <c r="E574" s="14" t="s">
        <v>136</v>
      </c>
      <c r="F574" s="2" t="s">
        <v>340</v>
      </c>
      <c r="G574" s="2" t="s">
        <v>341</v>
      </c>
      <c r="H574" s="928" t="s">
        <v>41</v>
      </c>
      <c r="I574" s="879">
        <v>46082</v>
      </c>
      <c r="J574" s="921"/>
      <c r="K574" s="884"/>
      <c r="L574" s="884"/>
      <c r="M574" s="884"/>
      <c r="N574" s="884"/>
      <c r="O574" s="884"/>
      <c r="P574" s="884"/>
      <c r="Q574" s="884"/>
      <c r="R574" s="884"/>
      <c r="S574" s="1417"/>
      <c r="T574" s="883"/>
      <c r="U574" s="884"/>
      <c r="V574" s="884"/>
      <c r="W574" s="884"/>
      <c r="X574" s="884"/>
      <c r="Y574" s="884"/>
      <c r="Z574" s="884"/>
      <c r="AA574" s="884"/>
      <c r="AB574" s="1417"/>
      <c r="AC574" s="1454"/>
    </row>
    <row r="575" spans="1:29" ht="34.35" customHeight="1">
      <c r="A575" s="59" t="s">
        <v>309</v>
      </c>
      <c r="B575" s="61" t="s">
        <v>325</v>
      </c>
      <c r="C575" s="29">
        <v>35</v>
      </c>
      <c r="D575" s="5" t="s">
        <v>342</v>
      </c>
      <c r="E575" s="14" t="s">
        <v>133</v>
      </c>
      <c r="F575" s="2" t="s">
        <v>106</v>
      </c>
      <c r="G575" s="2" t="s">
        <v>285</v>
      </c>
      <c r="H575" s="933"/>
      <c r="I575" s="879">
        <v>46082</v>
      </c>
      <c r="J575" s="921"/>
      <c r="K575" s="884"/>
      <c r="L575" s="884"/>
      <c r="M575" s="884"/>
      <c r="N575" s="884"/>
      <c r="O575" s="884"/>
      <c r="P575" s="884"/>
      <c r="Q575" s="884"/>
      <c r="R575" s="884"/>
      <c r="S575" s="1417"/>
      <c r="T575" s="883"/>
      <c r="U575" s="884"/>
      <c r="V575" s="884"/>
      <c r="W575" s="884"/>
      <c r="X575" s="884"/>
      <c r="Y575" s="884"/>
      <c r="Z575" s="884"/>
      <c r="AA575" s="884"/>
      <c r="AB575" s="1417"/>
      <c r="AC575" s="1454"/>
    </row>
    <row r="576" spans="1:29" ht="34.35" customHeight="1">
      <c r="A576" s="59" t="s">
        <v>309</v>
      </c>
      <c r="B576" s="61" t="s">
        <v>325</v>
      </c>
      <c r="C576" s="29">
        <v>36</v>
      </c>
      <c r="D576" s="5" t="s">
        <v>342</v>
      </c>
      <c r="E576" s="14" t="s">
        <v>136</v>
      </c>
      <c r="F576" s="2" t="s">
        <v>106</v>
      </c>
      <c r="G576" s="2" t="s">
        <v>285</v>
      </c>
      <c r="H576" s="924"/>
      <c r="I576" s="879">
        <v>46082</v>
      </c>
      <c r="J576" s="921"/>
      <c r="K576" s="884"/>
      <c r="L576" s="884"/>
      <c r="M576" s="884"/>
      <c r="N576" s="884"/>
      <c r="O576" s="884"/>
      <c r="P576" s="884"/>
      <c r="Q576" s="884"/>
      <c r="R576" s="884"/>
      <c r="S576" s="1417"/>
      <c r="T576" s="883"/>
      <c r="U576" s="884"/>
      <c r="V576" s="884"/>
      <c r="W576" s="884"/>
      <c r="X576" s="884"/>
      <c r="Y576" s="884"/>
      <c r="Z576" s="884"/>
      <c r="AA576" s="884"/>
      <c r="AB576" s="1417"/>
      <c r="AC576" s="1454"/>
    </row>
    <row r="577" spans="1:29" ht="34.35" customHeight="1">
      <c r="A577" s="59" t="s">
        <v>309</v>
      </c>
      <c r="B577" s="61" t="s">
        <v>325</v>
      </c>
      <c r="C577" s="29">
        <v>37</v>
      </c>
      <c r="D577" s="6" t="s">
        <v>343</v>
      </c>
      <c r="E577" s="14" t="s">
        <v>38</v>
      </c>
      <c r="F577" s="2" t="s">
        <v>105</v>
      </c>
      <c r="G577" s="2"/>
      <c r="H577" s="925" t="s">
        <v>41</v>
      </c>
      <c r="I577" s="879">
        <v>46082</v>
      </c>
      <c r="J577" s="921"/>
      <c r="K577" s="884"/>
      <c r="L577" s="884"/>
      <c r="M577" s="884"/>
      <c r="N577" s="884"/>
      <c r="O577" s="884"/>
      <c r="P577" s="884"/>
      <c r="Q577" s="884"/>
      <c r="R577" s="884"/>
      <c r="S577" s="1417"/>
      <c r="T577" s="883"/>
      <c r="U577" s="884"/>
      <c r="V577" s="884"/>
      <c r="W577" s="884"/>
      <c r="X577" s="884"/>
      <c r="Y577" s="884"/>
      <c r="Z577" s="884"/>
      <c r="AA577" s="884"/>
      <c r="AB577" s="1417"/>
      <c r="AC577" s="1455"/>
    </row>
    <row r="578" spans="1:29" ht="34.35" customHeight="1">
      <c r="A578" s="59" t="s">
        <v>309</v>
      </c>
      <c r="B578" s="61" t="s">
        <v>325</v>
      </c>
      <c r="C578" s="29">
        <v>38</v>
      </c>
      <c r="D578" s="6" t="s">
        <v>343</v>
      </c>
      <c r="E578" s="14" t="s">
        <v>136</v>
      </c>
      <c r="F578" s="2" t="s">
        <v>105</v>
      </c>
      <c r="G578" s="2"/>
      <c r="H578" s="929">
        <f>84578725.86/10^6</f>
        <v>84.578725860000006</v>
      </c>
      <c r="I578" s="879">
        <v>46082</v>
      </c>
      <c r="J578" s="921"/>
      <c r="K578" s="884"/>
      <c r="L578" s="884"/>
      <c r="M578" s="884"/>
      <c r="N578" s="884"/>
      <c r="O578" s="884"/>
      <c r="P578" s="884"/>
      <c r="Q578" s="884"/>
      <c r="R578" s="884"/>
      <c r="S578" s="1417"/>
      <c r="T578" s="883"/>
      <c r="U578" s="884"/>
      <c r="V578" s="884"/>
      <c r="W578" s="884"/>
      <c r="X578" s="884"/>
      <c r="Y578" s="884"/>
      <c r="Z578" s="884"/>
      <c r="AA578" s="884"/>
      <c r="AB578" s="1417"/>
      <c r="AC578" s="1455"/>
    </row>
    <row r="579" spans="1:29" ht="34.35" customHeight="1">
      <c r="A579" s="59" t="s">
        <v>309</v>
      </c>
      <c r="B579" s="61" t="s">
        <v>325</v>
      </c>
      <c r="C579" s="29">
        <v>39</v>
      </c>
      <c r="D579" s="5" t="s">
        <v>344</v>
      </c>
      <c r="E579" s="14" t="s">
        <v>136</v>
      </c>
      <c r="F579" s="2" t="s">
        <v>110</v>
      </c>
      <c r="G579" s="2" t="s">
        <v>345</v>
      </c>
      <c r="H579" s="920">
        <v>3.17</v>
      </c>
      <c r="I579" s="879">
        <v>46082</v>
      </c>
      <c r="J579" s="921"/>
      <c r="K579" s="884"/>
      <c r="L579" s="884"/>
      <c r="M579" s="884"/>
      <c r="N579" s="884"/>
      <c r="O579" s="884"/>
      <c r="P579" s="884"/>
      <c r="Q579" s="884"/>
      <c r="R579" s="884"/>
      <c r="S579" s="1417"/>
      <c r="T579" s="883"/>
      <c r="U579" s="884"/>
      <c r="V579" s="884"/>
      <c r="W579" s="884"/>
      <c r="X579" s="884"/>
      <c r="Y579" s="884"/>
      <c r="Z579" s="884"/>
      <c r="AA579" s="884"/>
      <c r="AB579" s="1417"/>
      <c r="AC579" s="1454"/>
    </row>
    <row r="580" spans="1:29" ht="34.35" customHeight="1">
      <c r="A580" s="59" t="s">
        <v>309</v>
      </c>
      <c r="B580" s="61" t="s">
        <v>325</v>
      </c>
      <c r="C580" s="29">
        <v>40</v>
      </c>
      <c r="D580" s="5" t="s">
        <v>346</v>
      </c>
      <c r="E580" s="14" t="s">
        <v>136</v>
      </c>
      <c r="F580" s="2" t="s">
        <v>110</v>
      </c>
      <c r="G580" s="2" t="s">
        <v>345</v>
      </c>
      <c r="H580" s="920">
        <v>5.84</v>
      </c>
      <c r="I580" s="879">
        <v>46082</v>
      </c>
      <c r="J580" s="921"/>
      <c r="K580" s="884"/>
      <c r="L580" s="884"/>
      <c r="M580" s="884"/>
      <c r="N580" s="884"/>
      <c r="O580" s="884"/>
      <c r="P580" s="884"/>
      <c r="Q580" s="884"/>
      <c r="R580" s="884"/>
      <c r="S580" s="1417"/>
      <c r="T580" s="883"/>
      <c r="U580" s="884"/>
      <c r="V580" s="884"/>
      <c r="W580" s="884"/>
      <c r="X580" s="884"/>
      <c r="Y580" s="884"/>
      <c r="Z580" s="884"/>
      <c r="AA580" s="884"/>
      <c r="AB580" s="1417"/>
      <c r="AC580" s="1454"/>
    </row>
    <row r="581" spans="1:29" ht="34.35" customHeight="1">
      <c r="A581" s="59" t="s">
        <v>309</v>
      </c>
      <c r="B581" s="61" t="s">
        <v>325</v>
      </c>
      <c r="C581" s="29">
        <v>41</v>
      </c>
      <c r="D581" s="5" t="s">
        <v>347</v>
      </c>
      <c r="E581" s="14" t="s">
        <v>38</v>
      </c>
      <c r="F581" s="2" t="s">
        <v>106</v>
      </c>
      <c r="G581" s="2" t="s">
        <v>285</v>
      </c>
      <c r="H581" s="924"/>
      <c r="I581" s="879">
        <v>46082</v>
      </c>
      <c r="J581" s="921"/>
      <c r="K581" s="884"/>
      <c r="L581" s="884"/>
      <c r="M581" s="884"/>
      <c r="N581" s="884"/>
      <c r="O581" s="884"/>
      <c r="P581" s="884"/>
      <c r="Q581" s="884"/>
      <c r="R581" s="884"/>
      <c r="S581" s="1417"/>
      <c r="T581" s="883"/>
      <c r="U581" s="884"/>
      <c r="V581" s="884"/>
      <c r="W581" s="884"/>
      <c r="X581" s="884"/>
      <c r="Y581" s="884"/>
      <c r="Z581" s="884"/>
      <c r="AA581" s="884"/>
      <c r="AB581" s="1417"/>
      <c r="AC581" s="1454"/>
    </row>
    <row r="582" spans="1:29" ht="34.35" customHeight="1">
      <c r="A582" s="59" t="s">
        <v>309</v>
      </c>
      <c r="B582" s="61" t="s">
        <v>325</v>
      </c>
      <c r="C582" s="29">
        <v>42</v>
      </c>
      <c r="D582" s="5" t="s">
        <v>347</v>
      </c>
      <c r="E582" s="14" t="s">
        <v>136</v>
      </c>
      <c r="F582" s="2" t="s">
        <v>106</v>
      </c>
      <c r="G582" s="2" t="s">
        <v>285</v>
      </c>
      <c r="H582" s="924"/>
      <c r="I582" s="879">
        <v>46082</v>
      </c>
      <c r="J582" s="921"/>
      <c r="K582" s="884"/>
      <c r="L582" s="884"/>
      <c r="M582" s="884"/>
      <c r="N582" s="884"/>
      <c r="O582" s="884"/>
      <c r="P582" s="884"/>
      <c r="Q582" s="884"/>
      <c r="R582" s="884"/>
      <c r="S582" s="1417"/>
      <c r="T582" s="883"/>
      <c r="U582" s="884"/>
      <c r="V582" s="884"/>
      <c r="W582" s="884"/>
      <c r="X582" s="884"/>
      <c r="Y582" s="884"/>
      <c r="Z582" s="884"/>
      <c r="AA582" s="884"/>
      <c r="AB582" s="1417"/>
      <c r="AC582" s="1454"/>
    </row>
    <row r="583" spans="1:29" ht="34.35" customHeight="1">
      <c r="A583" s="59" t="s">
        <v>309</v>
      </c>
      <c r="B583" s="61" t="s">
        <v>325</v>
      </c>
      <c r="C583" s="29">
        <v>43</v>
      </c>
      <c r="D583" s="5" t="s">
        <v>349</v>
      </c>
      <c r="E583" s="14" t="s">
        <v>136</v>
      </c>
      <c r="F583" s="2" t="s">
        <v>340</v>
      </c>
      <c r="G583" s="2" t="s">
        <v>134</v>
      </c>
      <c r="H583" s="920">
        <v>5.4</v>
      </c>
      <c r="I583" s="879">
        <v>46082</v>
      </c>
      <c r="J583" s="921"/>
      <c r="K583" s="884"/>
      <c r="L583" s="884"/>
      <c r="M583" s="884"/>
      <c r="N583" s="884"/>
      <c r="O583" s="884"/>
      <c r="P583" s="884"/>
      <c r="Q583" s="884"/>
      <c r="R583" s="884"/>
      <c r="S583" s="1417"/>
      <c r="T583" s="883"/>
      <c r="U583" s="884"/>
      <c r="V583" s="884"/>
      <c r="W583" s="884"/>
      <c r="X583" s="884"/>
      <c r="Y583" s="884"/>
      <c r="Z583" s="884"/>
      <c r="AA583" s="884"/>
      <c r="AB583" s="1417"/>
      <c r="AC583" s="1454"/>
    </row>
    <row r="584" spans="1:29" ht="34.35" customHeight="1">
      <c r="A584" s="59" t="s">
        <v>309</v>
      </c>
      <c r="B584" s="61" t="s">
        <v>325</v>
      </c>
      <c r="C584" s="29">
        <v>44</v>
      </c>
      <c r="D584" s="5" t="s">
        <v>350</v>
      </c>
      <c r="E584" s="14" t="s">
        <v>38</v>
      </c>
      <c r="F584" s="2" t="s">
        <v>106</v>
      </c>
      <c r="G584" s="2" t="s">
        <v>134</v>
      </c>
      <c r="H584" s="924">
        <v>200</v>
      </c>
      <c r="I584" s="879">
        <v>46082</v>
      </c>
      <c r="J584" s="921"/>
      <c r="K584" s="884"/>
      <c r="L584" s="884"/>
      <c r="M584" s="884"/>
      <c r="N584" s="884"/>
      <c r="O584" s="884"/>
      <c r="P584" s="884"/>
      <c r="Q584" s="884"/>
      <c r="R584" s="884"/>
      <c r="S584" s="1417"/>
      <c r="T584" s="883"/>
      <c r="U584" s="884"/>
      <c r="V584" s="884"/>
      <c r="W584" s="884"/>
      <c r="X584" s="884"/>
      <c r="Y584" s="884"/>
      <c r="Z584" s="884"/>
      <c r="AA584" s="884"/>
      <c r="AB584" s="1417"/>
      <c r="AC584" s="1454"/>
    </row>
    <row r="585" spans="1:29" ht="34.35" customHeight="1">
      <c r="A585" s="59" t="s">
        <v>309</v>
      </c>
      <c r="B585" s="61" t="s">
        <v>325</v>
      </c>
      <c r="C585" s="29">
        <v>45</v>
      </c>
      <c r="D585" s="5" t="s">
        <v>350</v>
      </c>
      <c r="E585" s="14" t="s">
        <v>136</v>
      </c>
      <c r="F585" s="2" t="s">
        <v>106</v>
      </c>
      <c r="G585" s="2" t="s">
        <v>134</v>
      </c>
      <c r="H585" s="924">
        <v>90</v>
      </c>
      <c r="I585" s="879">
        <v>46082</v>
      </c>
      <c r="J585" s="921"/>
      <c r="K585" s="884"/>
      <c r="L585" s="884"/>
      <c r="M585" s="884"/>
      <c r="N585" s="884"/>
      <c r="O585" s="884"/>
      <c r="P585" s="884"/>
      <c r="Q585" s="884"/>
      <c r="R585" s="884"/>
      <c r="S585" s="1417"/>
      <c r="T585" s="883"/>
      <c r="U585" s="884"/>
      <c r="V585" s="884"/>
      <c r="W585" s="884"/>
      <c r="X585" s="884"/>
      <c r="Y585" s="884"/>
      <c r="Z585" s="884"/>
      <c r="AA585" s="884"/>
      <c r="AB585" s="1417"/>
      <c r="AC585" s="1454"/>
    </row>
    <row r="586" spans="1:29" ht="34.35" customHeight="1">
      <c r="A586" s="59" t="s">
        <v>309</v>
      </c>
      <c r="B586" s="62" t="s">
        <v>351</v>
      </c>
      <c r="C586" s="29">
        <v>46</v>
      </c>
      <c r="D586" s="63" t="s">
        <v>41</v>
      </c>
      <c r="E586" s="14" t="s">
        <v>353</v>
      </c>
      <c r="F586" s="2" t="s">
        <v>312</v>
      </c>
      <c r="G586" s="1" t="s">
        <v>40</v>
      </c>
      <c r="H586" s="920">
        <v>1.2</v>
      </c>
      <c r="I586" s="879">
        <v>46082</v>
      </c>
      <c r="J586" s="921"/>
      <c r="K586" s="884"/>
      <c r="L586" s="884"/>
      <c r="M586" s="884"/>
      <c r="N586" s="884"/>
      <c r="O586" s="884"/>
      <c r="P586" s="884"/>
      <c r="Q586" s="884"/>
      <c r="R586" s="884"/>
      <c r="S586" s="1417"/>
      <c r="T586" s="883"/>
      <c r="U586" s="884"/>
      <c r="V586" s="884"/>
      <c r="W586" s="884"/>
      <c r="X586" s="884"/>
      <c r="Y586" s="884"/>
      <c r="Z586" s="884"/>
      <c r="AA586" s="884"/>
      <c r="AB586" s="1417"/>
      <c r="AC586" s="1456" t="s">
        <v>352</v>
      </c>
    </row>
    <row r="587" spans="1:29" ht="34.35" customHeight="1">
      <c r="A587" s="59" t="s">
        <v>309</v>
      </c>
      <c r="B587" s="64" t="s">
        <v>354</v>
      </c>
      <c r="C587" s="29">
        <v>47</v>
      </c>
      <c r="D587" s="63" t="s">
        <v>41</v>
      </c>
      <c r="E587" s="14" t="s">
        <v>353</v>
      </c>
      <c r="F587" s="2" t="s">
        <v>327</v>
      </c>
      <c r="G587" s="1" t="s">
        <v>40</v>
      </c>
      <c r="H587" s="922">
        <v>0</v>
      </c>
      <c r="I587" s="879">
        <v>46082</v>
      </c>
      <c r="J587" s="921"/>
      <c r="K587" s="884"/>
      <c r="L587" s="884"/>
      <c r="M587" s="884"/>
      <c r="N587" s="884"/>
      <c r="O587" s="884"/>
      <c r="P587" s="884"/>
      <c r="Q587" s="884"/>
      <c r="R587" s="884"/>
      <c r="S587" s="1417"/>
      <c r="T587" s="883"/>
      <c r="U587" s="884"/>
      <c r="V587" s="884"/>
      <c r="W587" s="884"/>
      <c r="X587" s="884"/>
      <c r="Y587" s="884"/>
      <c r="Z587" s="884"/>
      <c r="AA587" s="884"/>
      <c r="AB587" s="1417"/>
      <c r="AC587" s="1457" t="s">
        <v>466</v>
      </c>
    </row>
    <row r="588" spans="1:29" ht="34.35" customHeight="1">
      <c r="A588" s="59" t="s">
        <v>309</v>
      </c>
      <c r="B588" s="64" t="s">
        <v>356</v>
      </c>
      <c r="C588" s="29">
        <v>48</v>
      </c>
      <c r="D588" s="63" t="s">
        <v>41</v>
      </c>
      <c r="E588" s="14" t="s">
        <v>353</v>
      </c>
      <c r="F588" s="2" t="s">
        <v>321</v>
      </c>
      <c r="G588" s="1" t="s">
        <v>40</v>
      </c>
      <c r="H588" s="922">
        <v>0</v>
      </c>
      <c r="I588" s="879">
        <v>46082</v>
      </c>
      <c r="J588" s="921"/>
      <c r="K588" s="884"/>
      <c r="L588" s="884"/>
      <c r="M588" s="884"/>
      <c r="N588" s="884"/>
      <c r="O588" s="884"/>
      <c r="P588" s="884"/>
      <c r="Q588" s="884"/>
      <c r="R588" s="884"/>
      <c r="S588" s="1417"/>
      <c r="T588" s="883"/>
      <c r="U588" s="884"/>
      <c r="V588" s="884"/>
      <c r="W588" s="884"/>
      <c r="X588" s="884"/>
      <c r="Y588" s="884"/>
      <c r="Z588" s="884"/>
      <c r="AA588" s="884"/>
      <c r="AB588" s="1417"/>
      <c r="AC588" s="1457" t="s">
        <v>466</v>
      </c>
    </row>
    <row r="589" spans="1:29" ht="34.35" customHeight="1">
      <c r="A589" s="69" t="s">
        <v>309</v>
      </c>
      <c r="B589" s="11" t="s">
        <v>357</v>
      </c>
      <c r="C589" s="73">
        <v>49</v>
      </c>
      <c r="D589" s="7" t="s">
        <v>41</v>
      </c>
      <c r="E589" s="71" t="s">
        <v>38</v>
      </c>
      <c r="F589" s="2" t="s">
        <v>312</v>
      </c>
      <c r="G589" s="1" t="s">
        <v>41</v>
      </c>
      <c r="H589" s="922"/>
      <c r="I589" s="879">
        <v>46082</v>
      </c>
      <c r="J589" s="931"/>
      <c r="K589" s="887"/>
      <c r="L589" s="887"/>
      <c r="M589" s="887"/>
      <c r="N589" s="887"/>
      <c r="O589" s="887"/>
      <c r="P589" s="887"/>
      <c r="Q589" s="887"/>
      <c r="R589" s="887"/>
      <c r="S589" s="887"/>
      <c r="T589" s="887"/>
      <c r="U589" s="887"/>
      <c r="V589" s="887"/>
      <c r="W589" s="887"/>
      <c r="X589" s="887"/>
      <c r="Y589" s="887"/>
      <c r="Z589" s="887"/>
      <c r="AA589" s="887"/>
      <c r="AC589" s="1459"/>
    </row>
  </sheetData>
  <sheetProtection algorithmName="SHA-512" hashValue="EpYVNXgEkIqeSIySNXnUspZ07RputnsJ/ZIWAvs5Nv9ZHfAFEdFHU+DQJQs9foWL1MUhn5gIKqn16YZXDlcwXA==" saltValue="3CZYxEHpuY8rRaK7t38k5w==" spinCount="100000" sheet="1" formatCells="0" formatColumns="0" formatRows="0" sort="0" autoFilter="0" pivotTables="0"/>
  <autoFilter ref="A1:AC589" xr:uid="{C6666C8C-505D-480A-B8D1-AB053D996A98}"/>
  <conditionalFormatting sqref="A2:AC589">
    <cfRule type="expression" dxfId="19" priority="167">
      <formula>MONTH($I2)=MONTH(TODAY()-29)</formula>
    </cfRule>
  </conditionalFormatting>
  <pageMargins left="0.7" right="0.7" top="0.75" bottom="0.75" header="0.3" footer="0.3"/>
  <headerFooter>
    <oddHeader>&amp;C&amp;"Calibri"&amp;10&amp;KFF0000 CONFIDENTIAL&amp;1#_x000D_</oddHead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A374E-E106-4CD0-8B62-A2EFCEE951C9}">
  <sheetPr codeName="Sheet10"/>
  <dimension ref="A1:S109"/>
  <sheetViews>
    <sheetView showGridLines="0" zoomScale="60" zoomScaleNormal="60" workbookViewId="0">
      <pane ySplit="1" topLeftCell="A82" activePane="bottomLeft" state="frozen"/>
      <selection activeCell="D69" sqref="D69"/>
      <selection pane="bottomLeft" activeCell="G100" sqref="G100"/>
    </sheetView>
  </sheetViews>
  <sheetFormatPr defaultColWidth="8.109375" defaultRowHeight="34.35" customHeight="1"/>
  <cols>
    <col min="1" max="1" width="10.44140625" style="1787" customWidth="1"/>
    <col min="2" max="2" width="27.109375" style="1787" customWidth="1"/>
    <col min="3" max="3" width="4.109375" style="1787" customWidth="1"/>
    <col min="4" max="4" width="24.109375" style="1789" customWidth="1"/>
    <col min="5" max="5" width="14" style="1790" customWidth="1"/>
    <col min="6" max="6" width="8.109375" style="1787" customWidth="1"/>
    <col min="7" max="7" width="11.109375" style="1787" customWidth="1"/>
    <col min="8" max="8" width="35" style="1792" customWidth="1"/>
    <col min="9" max="9" width="9.109375" style="1787" customWidth="1"/>
    <col min="10" max="11" width="16.6640625" style="1925" customWidth="1"/>
    <col min="12" max="13" width="14.6640625" style="1786" customWidth="1"/>
    <col min="14" max="14" width="16.6640625" style="1786" customWidth="1"/>
    <col min="15" max="15" width="21.109375" style="1786" customWidth="1"/>
    <col min="16" max="16" width="16.109375" style="1786" customWidth="1"/>
    <col min="17" max="17" width="10" style="1786" customWidth="1"/>
    <col min="18" max="19" width="8.109375" style="1786"/>
    <col min="20" max="16384" width="8.109375" style="1787"/>
  </cols>
  <sheetData>
    <row r="1" spans="1:19" s="1774" customFormat="1" ht="51" customHeight="1">
      <c r="A1" s="1926" t="s">
        <v>1</v>
      </c>
      <c r="B1" s="1961" t="s">
        <v>19</v>
      </c>
      <c r="C1" s="1979" t="s">
        <v>93</v>
      </c>
      <c r="D1" s="1971" t="s">
        <v>21</v>
      </c>
      <c r="E1" s="1927" t="s">
        <v>22</v>
      </c>
      <c r="F1" s="1928" t="s">
        <v>23</v>
      </c>
      <c r="G1" s="1929" t="s">
        <v>24</v>
      </c>
      <c r="H1" s="2076" t="s">
        <v>25</v>
      </c>
      <c r="I1" s="2103" t="s">
        <v>26</v>
      </c>
      <c r="J1" s="2087" t="s">
        <v>27</v>
      </c>
      <c r="K1" s="1987" t="s">
        <v>28</v>
      </c>
      <c r="L1" s="1998" t="s">
        <v>29</v>
      </c>
      <c r="M1" s="1999" t="s">
        <v>30</v>
      </c>
      <c r="N1" s="2030" t="s">
        <v>31</v>
      </c>
      <c r="O1" s="2049" t="s">
        <v>32</v>
      </c>
      <c r="P1" s="2050" t="s">
        <v>33</v>
      </c>
      <c r="Q1" s="2043" t="s">
        <v>34</v>
      </c>
      <c r="R1" s="1930" t="s">
        <v>35</v>
      </c>
      <c r="S1" s="1791"/>
    </row>
    <row r="2" spans="1:19" ht="34.35" customHeight="1">
      <c r="A2" s="1941" t="s">
        <v>12</v>
      </c>
      <c r="B2" s="1962" t="s">
        <v>467</v>
      </c>
      <c r="C2" s="1980">
        <v>1</v>
      </c>
      <c r="D2" s="1972" t="s">
        <v>468</v>
      </c>
      <c r="E2" s="1906" t="s">
        <v>469</v>
      </c>
      <c r="F2" s="1907" t="s">
        <v>470</v>
      </c>
      <c r="G2" s="1908" t="s">
        <v>40</v>
      </c>
      <c r="H2" s="2077" t="s">
        <v>471</v>
      </c>
      <c r="I2" s="2104">
        <v>45748</v>
      </c>
      <c r="J2" s="2088" t="s">
        <v>41</v>
      </c>
      <c r="K2" s="1988" t="s">
        <v>41</v>
      </c>
      <c r="L2" s="2000" t="s">
        <v>41</v>
      </c>
      <c r="M2" s="2001" t="s">
        <v>41</v>
      </c>
      <c r="N2" s="2031" t="s">
        <v>41</v>
      </c>
      <c r="O2" s="2051" t="s">
        <v>41</v>
      </c>
      <c r="P2" s="2052" t="s">
        <v>41</v>
      </c>
      <c r="Q2" s="1909" t="s">
        <v>41</v>
      </c>
      <c r="R2" s="1910" t="s">
        <v>41</v>
      </c>
    </row>
    <row r="3" spans="1:19" ht="34.35" customHeight="1">
      <c r="A3" s="1942" t="s">
        <v>12</v>
      </c>
      <c r="B3" s="1963" t="s">
        <v>467</v>
      </c>
      <c r="C3" s="1981">
        <v>2</v>
      </c>
      <c r="D3" s="1973" t="s">
        <v>472</v>
      </c>
      <c r="E3" s="1911" t="s">
        <v>473</v>
      </c>
      <c r="F3" s="1912" t="s">
        <v>470</v>
      </c>
      <c r="G3" s="1913" t="s">
        <v>40</v>
      </c>
      <c r="H3" s="2078" t="s">
        <v>474</v>
      </c>
      <c r="I3" s="2105">
        <v>45748</v>
      </c>
      <c r="J3" s="2089" t="s">
        <v>41</v>
      </c>
      <c r="K3" s="1989" t="s">
        <v>41</v>
      </c>
      <c r="L3" s="2002" t="s">
        <v>41</v>
      </c>
      <c r="M3" s="2003" t="s">
        <v>41</v>
      </c>
      <c r="N3" s="2032" t="s">
        <v>41</v>
      </c>
      <c r="O3" s="2053" t="s">
        <v>41</v>
      </c>
      <c r="P3" s="2054" t="s">
        <v>41</v>
      </c>
      <c r="Q3" s="1914" t="s">
        <v>41</v>
      </c>
      <c r="R3" s="1915" t="s">
        <v>41</v>
      </c>
    </row>
    <row r="4" spans="1:19" ht="67.2">
      <c r="A4" s="1942" t="s">
        <v>12</v>
      </c>
      <c r="B4" s="1963" t="s">
        <v>467</v>
      </c>
      <c r="C4" s="1981">
        <v>3</v>
      </c>
      <c r="D4" s="1973" t="s">
        <v>475</v>
      </c>
      <c r="E4" s="1916" t="s">
        <v>476</v>
      </c>
      <c r="F4" s="1912" t="s">
        <v>470</v>
      </c>
      <c r="G4" s="1913" t="s">
        <v>477</v>
      </c>
      <c r="H4" s="2080" t="s">
        <v>478</v>
      </c>
      <c r="I4" s="2105">
        <v>45748</v>
      </c>
      <c r="J4" s="2091" t="s">
        <v>479</v>
      </c>
      <c r="K4" s="1989" t="s">
        <v>480</v>
      </c>
      <c r="L4" s="2004"/>
      <c r="M4" s="2005"/>
      <c r="N4" s="2033"/>
      <c r="O4" s="2055"/>
      <c r="P4" s="2056"/>
      <c r="Q4" s="2044"/>
      <c r="R4" s="1917"/>
    </row>
    <row r="5" spans="1:19" ht="49.35" customHeight="1">
      <c r="A5" s="1942" t="s">
        <v>12</v>
      </c>
      <c r="B5" s="1963" t="s">
        <v>467</v>
      </c>
      <c r="C5" s="1981">
        <v>4</v>
      </c>
      <c r="D5" s="1973" t="s">
        <v>481</v>
      </c>
      <c r="E5" s="1911" t="s">
        <v>482</v>
      </c>
      <c r="F5" s="1912" t="s">
        <v>470</v>
      </c>
      <c r="G5" s="1913" t="s">
        <v>40</v>
      </c>
      <c r="H5" s="2078" t="s">
        <v>483</v>
      </c>
      <c r="I5" s="2105">
        <v>45748</v>
      </c>
      <c r="J5" s="2089" t="s">
        <v>41</v>
      </c>
      <c r="K5" s="1989" t="s">
        <v>41</v>
      </c>
      <c r="L5" s="2002" t="s">
        <v>41</v>
      </c>
      <c r="M5" s="2003" t="s">
        <v>41</v>
      </c>
      <c r="N5" s="2032" t="s">
        <v>41</v>
      </c>
      <c r="O5" s="2053" t="s">
        <v>41</v>
      </c>
      <c r="P5" s="2054" t="s">
        <v>41</v>
      </c>
      <c r="Q5" s="1914" t="s">
        <v>41</v>
      </c>
      <c r="R5" s="1915" t="s">
        <v>41</v>
      </c>
    </row>
    <row r="6" spans="1:19" ht="54.6" customHeight="1">
      <c r="A6" s="1942" t="s">
        <v>12</v>
      </c>
      <c r="B6" s="1964" t="s">
        <v>467</v>
      </c>
      <c r="C6" s="1981">
        <v>5</v>
      </c>
      <c r="D6" s="1973" t="s">
        <v>484</v>
      </c>
      <c r="E6" s="1911" t="s">
        <v>485</v>
      </c>
      <c r="F6" s="1912" t="s">
        <v>470</v>
      </c>
      <c r="G6" s="1913" t="s">
        <v>40</v>
      </c>
      <c r="H6" s="2078" t="s">
        <v>486</v>
      </c>
      <c r="I6" s="2105">
        <v>45748</v>
      </c>
      <c r="J6" s="2092" t="s">
        <v>41</v>
      </c>
      <c r="K6" s="1989" t="s">
        <v>41</v>
      </c>
      <c r="L6" s="2002" t="s">
        <v>41</v>
      </c>
      <c r="M6" s="2003" t="s">
        <v>41</v>
      </c>
      <c r="N6" s="2032" t="s">
        <v>41</v>
      </c>
      <c r="O6" s="2053" t="s">
        <v>41</v>
      </c>
      <c r="P6" s="2054" t="s">
        <v>41</v>
      </c>
      <c r="Q6" s="1914" t="s">
        <v>41</v>
      </c>
      <c r="R6" s="1915" t="s">
        <v>41</v>
      </c>
    </row>
    <row r="7" spans="1:19" ht="49.35" customHeight="1">
      <c r="A7" s="1942" t="s">
        <v>12</v>
      </c>
      <c r="B7" s="1965" t="s">
        <v>487</v>
      </c>
      <c r="C7" s="1981">
        <v>6</v>
      </c>
      <c r="D7" s="1973" t="s">
        <v>41</v>
      </c>
      <c r="E7" s="1911" t="s">
        <v>38</v>
      </c>
      <c r="F7" s="1912" t="s">
        <v>134</v>
      </c>
      <c r="G7" s="1913" t="s">
        <v>40</v>
      </c>
      <c r="H7" s="2081"/>
      <c r="I7" s="2105">
        <v>45748</v>
      </c>
      <c r="J7" s="2089" t="s">
        <v>41</v>
      </c>
      <c r="K7" s="1989" t="s">
        <v>41</v>
      </c>
      <c r="L7" s="2002" t="s">
        <v>41</v>
      </c>
      <c r="M7" s="2003" t="s">
        <v>41</v>
      </c>
      <c r="N7" s="2032" t="s">
        <v>41</v>
      </c>
      <c r="O7" s="2053" t="s">
        <v>41</v>
      </c>
      <c r="P7" s="2054" t="s">
        <v>41</v>
      </c>
      <c r="Q7" s="1914" t="s">
        <v>41</v>
      </c>
      <c r="R7" s="1915" t="s">
        <v>41</v>
      </c>
    </row>
    <row r="8" spans="1:19" ht="34.35" customHeight="1">
      <c r="A8" s="1942" t="s">
        <v>12</v>
      </c>
      <c r="B8" s="1966" t="s">
        <v>488</v>
      </c>
      <c r="C8" s="1982">
        <v>7</v>
      </c>
      <c r="D8" s="1974" t="s">
        <v>41</v>
      </c>
      <c r="E8" s="1944" t="s">
        <v>38</v>
      </c>
      <c r="F8" s="1945" t="s">
        <v>489</v>
      </c>
      <c r="G8" s="1946" t="s">
        <v>40</v>
      </c>
      <c r="H8" s="2082">
        <v>3.2</v>
      </c>
      <c r="I8" s="2106">
        <v>45748</v>
      </c>
      <c r="J8" s="2090" t="s">
        <v>41</v>
      </c>
      <c r="K8" s="1990" t="s">
        <v>41</v>
      </c>
      <c r="L8" s="2006" t="s">
        <v>41</v>
      </c>
      <c r="M8" s="2007" t="s">
        <v>41</v>
      </c>
      <c r="N8" s="2034" t="s">
        <v>41</v>
      </c>
      <c r="O8" s="2057" t="s">
        <v>41</v>
      </c>
      <c r="P8" s="2058" t="s">
        <v>41</v>
      </c>
      <c r="Q8" s="1949" t="s">
        <v>41</v>
      </c>
      <c r="R8" s="1950" t="s">
        <v>41</v>
      </c>
    </row>
    <row r="9" spans="1:19" ht="34.35" customHeight="1">
      <c r="A9" s="1953" t="s">
        <v>12</v>
      </c>
      <c r="B9" s="1967" t="s">
        <v>467</v>
      </c>
      <c r="C9" s="1983">
        <v>1</v>
      </c>
      <c r="D9" s="1975" t="s">
        <v>468</v>
      </c>
      <c r="E9" s="1954" t="s">
        <v>469</v>
      </c>
      <c r="F9" s="1955" t="s">
        <v>470</v>
      </c>
      <c r="G9" s="1956" t="s">
        <v>40</v>
      </c>
      <c r="H9" s="2083" t="s">
        <v>471</v>
      </c>
      <c r="I9" s="2107">
        <v>45778</v>
      </c>
      <c r="J9" s="2093" t="s">
        <v>41</v>
      </c>
      <c r="K9" s="1991" t="s">
        <v>41</v>
      </c>
      <c r="L9" s="2008" t="s">
        <v>41</v>
      </c>
      <c r="M9" s="2009" t="s">
        <v>41</v>
      </c>
      <c r="N9" s="2035" t="s">
        <v>41</v>
      </c>
      <c r="O9" s="2059" t="s">
        <v>41</v>
      </c>
      <c r="P9" s="2060" t="s">
        <v>41</v>
      </c>
      <c r="Q9" s="1957" t="s">
        <v>41</v>
      </c>
      <c r="R9" s="1958" t="s">
        <v>41</v>
      </c>
    </row>
    <row r="10" spans="1:19" ht="34.35" customHeight="1">
      <c r="A10" s="1942" t="s">
        <v>12</v>
      </c>
      <c r="B10" s="1963" t="s">
        <v>467</v>
      </c>
      <c r="C10" s="1981">
        <v>2</v>
      </c>
      <c r="D10" s="1973" t="s">
        <v>472</v>
      </c>
      <c r="E10" s="1911" t="s">
        <v>473</v>
      </c>
      <c r="F10" s="1912" t="s">
        <v>470</v>
      </c>
      <c r="G10" s="1913" t="s">
        <v>40</v>
      </c>
      <c r="H10" s="2078" t="s">
        <v>474</v>
      </c>
      <c r="I10" s="2105">
        <v>45778</v>
      </c>
      <c r="J10" s="2089" t="s">
        <v>41</v>
      </c>
      <c r="K10" s="1989" t="s">
        <v>41</v>
      </c>
      <c r="L10" s="2002" t="s">
        <v>41</v>
      </c>
      <c r="M10" s="2003" t="s">
        <v>41</v>
      </c>
      <c r="N10" s="2032" t="s">
        <v>41</v>
      </c>
      <c r="O10" s="2053" t="s">
        <v>41</v>
      </c>
      <c r="P10" s="2054" t="s">
        <v>41</v>
      </c>
      <c r="Q10" s="1914" t="s">
        <v>41</v>
      </c>
      <c r="R10" s="1915" t="s">
        <v>41</v>
      </c>
    </row>
    <row r="11" spans="1:19" ht="70.5" customHeight="1">
      <c r="A11" s="1942" t="s">
        <v>12</v>
      </c>
      <c r="B11" s="1963" t="s">
        <v>467</v>
      </c>
      <c r="C11" s="1981">
        <v>3</v>
      </c>
      <c r="D11" s="1973" t="s">
        <v>475</v>
      </c>
      <c r="E11" s="1916" t="s">
        <v>476</v>
      </c>
      <c r="F11" s="1912" t="s">
        <v>470</v>
      </c>
      <c r="G11" s="1913" t="s">
        <v>477</v>
      </c>
      <c r="H11" s="2080" t="s">
        <v>478</v>
      </c>
      <c r="I11" s="2105">
        <v>45778</v>
      </c>
      <c r="J11" s="2091" t="s">
        <v>490</v>
      </c>
      <c r="K11" s="1989" t="s">
        <v>491</v>
      </c>
      <c r="L11" s="2004"/>
      <c r="M11" s="2005"/>
      <c r="N11" s="2033" t="s">
        <v>492</v>
      </c>
      <c r="O11" s="2055"/>
      <c r="P11" s="2056"/>
      <c r="Q11" s="2044"/>
      <c r="R11" s="1917"/>
    </row>
    <row r="12" spans="1:19" ht="59.85" customHeight="1">
      <c r="A12" s="1942" t="s">
        <v>12</v>
      </c>
      <c r="B12" s="1963" t="s">
        <v>467</v>
      </c>
      <c r="C12" s="1981">
        <v>4</v>
      </c>
      <c r="D12" s="1973" t="s">
        <v>481</v>
      </c>
      <c r="E12" s="1911" t="s">
        <v>482</v>
      </c>
      <c r="F12" s="1912" t="s">
        <v>470</v>
      </c>
      <c r="G12" s="1913" t="s">
        <v>40</v>
      </c>
      <c r="H12" s="2078" t="s">
        <v>483</v>
      </c>
      <c r="I12" s="2105">
        <v>45778</v>
      </c>
      <c r="J12" s="2089" t="s">
        <v>41</v>
      </c>
      <c r="K12" s="1989" t="s">
        <v>41</v>
      </c>
      <c r="L12" s="2002" t="s">
        <v>41</v>
      </c>
      <c r="M12" s="2003" t="s">
        <v>41</v>
      </c>
      <c r="N12" s="2032" t="s">
        <v>41</v>
      </c>
      <c r="O12" s="2053" t="s">
        <v>41</v>
      </c>
      <c r="P12" s="2054" t="s">
        <v>41</v>
      </c>
      <c r="Q12" s="1914" t="s">
        <v>41</v>
      </c>
      <c r="R12" s="1915" t="s">
        <v>41</v>
      </c>
    </row>
    <row r="13" spans="1:19" ht="34.35" customHeight="1">
      <c r="A13" s="1942" t="s">
        <v>12</v>
      </c>
      <c r="B13" s="1964" t="s">
        <v>467</v>
      </c>
      <c r="C13" s="1981">
        <v>5</v>
      </c>
      <c r="D13" s="1973" t="s">
        <v>484</v>
      </c>
      <c r="E13" s="1911" t="s">
        <v>485</v>
      </c>
      <c r="F13" s="1912" t="s">
        <v>470</v>
      </c>
      <c r="G13" s="1913" t="s">
        <v>40</v>
      </c>
      <c r="H13" s="2078" t="s">
        <v>486</v>
      </c>
      <c r="I13" s="2105">
        <v>45778</v>
      </c>
      <c r="J13" s="2089" t="s">
        <v>41</v>
      </c>
      <c r="K13" s="1989" t="s">
        <v>41</v>
      </c>
      <c r="L13" s="2002" t="s">
        <v>41</v>
      </c>
      <c r="M13" s="2003" t="s">
        <v>41</v>
      </c>
      <c r="N13" s="2032" t="s">
        <v>41</v>
      </c>
      <c r="O13" s="2053" t="s">
        <v>41</v>
      </c>
      <c r="P13" s="2054" t="s">
        <v>41</v>
      </c>
      <c r="Q13" s="1914" t="s">
        <v>41</v>
      </c>
      <c r="R13" s="1915" t="s">
        <v>41</v>
      </c>
    </row>
    <row r="14" spans="1:19" ht="34.35" customHeight="1">
      <c r="A14" s="1942" t="s">
        <v>12</v>
      </c>
      <c r="B14" s="1965" t="s">
        <v>487</v>
      </c>
      <c r="C14" s="1981">
        <v>6</v>
      </c>
      <c r="D14" s="1973" t="s">
        <v>41</v>
      </c>
      <c r="E14" s="1911" t="s">
        <v>38</v>
      </c>
      <c r="F14" s="1912" t="s">
        <v>134</v>
      </c>
      <c r="G14" s="1913" t="s">
        <v>40</v>
      </c>
      <c r="H14" s="2081"/>
      <c r="I14" s="2105">
        <v>45778</v>
      </c>
      <c r="J14" s="2089" t="s">
        <v>41</v>
      </c>
      <c r="K14" s="1989" t="s">
        <v>41</v>
      </c>
      <c r="L14" s="2002" t="s">
        <v>41</v>
      </c>
      <c r="M14" s="2003" t="s">
        <v>41</v>
      </c>
      <c r="N14" s="2032" t="s">
        <v>41</v>
      </c>
      <c r="O14" s="2053" t="s">
        <v>41</v>
      </c>
      <c r="P14" s="2054" t="s">
        <v>41</v>
      </c>
      <c r="Q14" s="1914" t="s">
        <v>41</v>
      </c>
      <c r="R14" s="1915" t="s">
        <v>41</v>
      </c>
    </row>
    <row r="15" spans="1:19" ht="34.35" customHeight="1">
      <c r="A15" s="1943" t="s">
        <v>12</v>
      </c>
      <c r="B15" s="1968" t="s">
        <v>488</v>
      </c>
      <c r="C15" s="1984">
        <v>7</v>
      </c>
      <c r="D15" s="1976" t="s">
        <v>41</v>
      </c>
      <c r="E15" s="1936" t="s">
        <v>38</v>
      </c>
      <c r="F15" s="1937" t="s">
        <v>489</v>
      </c>
      <c r="G15" s="1938" t="s">
        <v>40</v>
      </c>
      <c r="H15" s="2084">
        <v>3.2</v>
      </c>
      <c r="I15" s="2108">
        <v>45778</v>
      </c>
      <c r="J15" s="2094" t="s">
        <v>41</v>
      </c>
      <c r="K15" s="1992" t="s">
        <v>41</v>
      </c>
      <c r="L15" s="2010" t="s">
        <v>41</v>
      </c>
      <c r="M15" s="2011" t="s">
        <v>41</v>
      </c>
      <c r="N15" s="2036" t="s">
        <v>41</v>
      </c>
      <c r="O15" s="2061" t="s">
        <v>41</v>
      </c>
      <c r="P15" s="2062" t="s">
        <v>41</v>
      </c>
      <c r="Q15" s="1939" t="s">
        <v>41</v>
      </c>
      <c r="R15" s="1940" t="s">
        <v>41</v>
      </c>
    </row>
    <row r="16" spans="1:19" ht="34.35" customHeight="1">
      <c r="A16" s="1951" t="s">
        <v>12</v>
      </c>
      <c r="B16" s="1969" t="s">
        <v>467</v>
      </c>
      <c r="C16" s="1985">
        <v>1</v>
      </c>
      <c r="D16" s="1977" t="s">
        <v>468</v>
      </c>
      <c r="E16" s="1931" t="s">
        <v>469</v>
      </c>
      <c r="F16" s="1932" t="s">
        <v>470</v>
      </c>
      <c r="G16" s="1933" t="s">
        <v>40</v>
      </c>
      <c r="H16" s="2085" t="s">
        <v>471</v>
      </c>
      <c r="I16" s="2109">
        <v>45809</v>
      </c>
      <c r="J16" s="2095" t="s">
        <v>41</v>
      </c>
      <c r="K16" s="1993" t="s">
        <v>41</v>
      </c>
      <c r="L16" s="2012" t="s">
        <v>41</v>
      </c>
      <c r="M16" s="2013" t="s">
        <v>41</v>
      </c>
      <c r="N16" s="2037" t="s">
        <v>41</v>
      </c>
      <c r="O16" s="2063" t="s">
        <v>41</v>
      </c>
      <c r="P16" s="2064" t="s">
        <v>41</v>
      </c>
      <c r="Q16" s="1934" t="s">
        <v>41</v>
      </c>
      <c r="R16" s="1935" t="s">
        <v>41</v>
      </c>
    </row>
    <row r="17" spans="1:18" ht="34.35" customHeight="1">
      <c r="A17" s="1942" t="s">
        <v>12</v>
      </c>
      <c r="B17" s="1963" t="s">
        <v>467</v>
      </c>
      <c r="C17" s="1981">
        <v>2</v>
      </c>
      <c r="D17" s="1973" t="s">
        <v>472</v>
      </c>
      <c r="E17" s="1911" t="s">
        <v>473</v>
      </c>
      <c r="F17" s="1912" t="s">
        <v>470</v>
      </c>
      <c r="G17" s="1913" t="s">
        <v>40</v>
      </c>
      <c r="H17" s="2078" t="s">
        <v>474</v>
      </c>
      <c r="I17" s="2105">
        <v>45809</v>
      </c>
      <c r="J17" s="2089" t="s">
        <v>41</v>
      </c>
      <c r="K17" s="1989" t="s">
        <v>41</v>
      </c>
      <c r="L17" s="2002" t="s">
        <v>41</v>
      </c>
      <c r="M17" s="2003" t="s">
        <v>41</v>
      </c>
      <c r="N17" s="2032" t="s">
        <v>41</v>
      </c>
      <c r="O17" s="2053" t="s">
        <v>41</v>
      </c>
      <c r="P17" s="2054" t="s">
        <v>41</v>
      </c>
      <c r="Q17" s="1914" t="s">
        <v>41</v>
      </c>
      <c r="R17" s="1915" t="s">
        <v>41</v>
      </c>
    </row>
    <row r="18" spans="1:18" ht="59.85" customHeight="1">
      <c r="A18" s="1942" t="s">
        <v>12</v>
      </c>
      <c r="B18" s="1963" t="s">
        <v>467</v>
      </c>
      <c r="C18" s="1981">
        <v>3</v>
      </c>
      <c r="D18" s="1973" t="s">
        <v>475</v>
      </c>
      <c r="E18" s="1916" t="s">
        <v>476</v>
      </c>
      <c r="F18" s="1912" t="s">
        <v>470</v>
      </c>
      <c r="G18" s="1913" t="s">
        <v>477</v>
      </c>
      <c r="H18" s="2080" t="s">
        <v>478</v>
      </c>
      <c r="I18" s="2105">
        <v>45809</v>
      </c>
      <c r="J18" s="2091" t="s">
        <v>493</v>
      </c>
      <c r="K18" s="1989" t="s">
        <v>494</v>
      </c>
      <c r="L18" s="2004"/>
      <c r="M18" s="2005"/>
      <c r="N18" s="2033"/>
      <c r="O18" s="2055"/>
      <c r="P18" s="2056"/>
      <c r="Q18" s="2044"/>
      <c r="R18" s="1917"/>
    </row>
    <row r="19" spans="1:18" ht="34.35" customHeight="1">
      <c r="A19" s="1942" t="s">
        <v>12</v>
      </c>
      <c r="B19" s="1963" t="s">
        <v>467</v>
      </c>
      <c r="C19" s="1981">
        <v>4</v>
      </c>
      <c r="D19" s="1973" t="s">
        <v>481</v>
      </c>
      <c r="E19" s="1911" t="s">
        <v>482</v>
      </c>
      <c r="F19" s="1912" t="s">
        <v>470</v>
      </c>
      <c r="G19" s="1913" t="s">
        <v>40</v>
      </c>
      <c r="H19" s="2078" t="s">
        <v>483</v>
      </c>
      <c r="I19" s="2105">
        <v>45809</v>
      </c>
      <c r="J19" s="2089" t="s">
        <v>41</v>
      </c>
      <c r="K19" s="1989" t="s">
        <v>41</v>
      </c>
      <c r="L19" s="2002" t="s">
        <v>41</v>
      </c>
      <c r="M19" s="2003" t="s">
        <v>41</v>
      </c>
      <c r="N19" s="2032" t="s">
        <v>41</v>
      </c>
      <c r="O19" s="2053" t="s">
        <v>41</v>
      </c>
      <c r="P19" s="2054" t="s">
        <v>41</v>
      </c>
      <c r="Q19" s="1914" t="s">
        <v>41</v>
      </c>
      <c r="R19" s="1915" t="s">
        <v>41</v>
      </c>
    </row>
    <row r="20" spans="1:18" ht="34.35" customHeight="1">
      <c r="A20" s="1942" t="s">
        <v>12</v>
      </c>
      <c r="B20" s="1964" t="s">
        <v>467</v>
      </c>
      <c r="C20" s="1981">
        <v>5</v>
      </c>
      <c r="D20" s="1973" t="s">
        <v>484</v>
      </c>
      <c r="E20" s="1911" t="s">
        <v>485</v>
      </c>
      <c r="F20" s="1912" t="s">
        <v>470</v>
      </c>
      <c r="G20" s="1913" t="s">
        <v>40</v>
      </c>
      <c r="H20" s="2078" t="s">
        <v>486</v>
      </c>
      <c r="I20" s="2105">
        <v>45809</v>
      </c>
      <c r="J20" s="2089" t="s">
        <v>41</v>
      </c>
      <c r="K20" s="1989" t="s">
        <v>41</v>
      </c>
      <c r="L20" s="2002" t="s">
        <v>41</v>
      </c>
      <c r="M20" s="2003" t="s">
        <v>41</v>
      </c>
      <c r="N20" s="2032" t="s">
        <v>41</v>
      </c>
      <c r="O20" s="2053" t="s">
        <v>41</v>
      </c>
      <c r="P20" s="2054" t="s">
        <v>41</v>
      </c>
      <c r="Q20" s="1914" t="s">
        <v>41</v>
      </c>
      <c r="R20" s="1915" t="s">
        <v>41</v>
      </c>
    </row>
    <row r="21" spans="1:18" ht="34.35" customHeight="1">
      <c r="A21" s="1942" t="s">
        <v>12</v>
      </c>
      <c r="B21" s="1965" t="s">
        <v>487</v>
      </c>
      <c r="C21" s="1981">
        <v>6</v>
      </c>
      <c r="D21" s="1973" t="s">
        <v>41</v>
      </c>
      <c r="E21" s="1911" t="s">
        <v>38</v>
      </c>
      <c r="F21" s="1912" t="s">
        <v>134</v>
      </c>
      <c r="G21" s="1913" t="s">
        <v>40</v>
      </c>
      <c r="H21" s="2081"/>
      <c r="I21" s="2105">
        <v>45809</v>
      </c>
      <c r="J21" s="2089" t="s">
        <v>41</v>
      </c>
      <c r="K21" s="1989" t="s">
        <v>41</v>
      </c>
      <c r="L21" s="2002" t="s">
        <v>41</v>
      </c>
      <c r="M21" s="2003" t="s">
        <v>41</v>
      </c>
      <c r="N21" s="2032" t="s">
        <v>41</v>
      </c>
      <c r="O21" s="2053" t="s">
        <v>41</v>
      </c>
      <c r="P21" s="2054" t="s">
        <v>41</v>
      </c>
      <c r="Q21" s="1914" t="s">
        <v>41</v>
      </c>
      <c r="R21" s="1915" t="s">
        <v>41</v>
      </c>
    </row>
    <row r="22" spans="1:18" ht="34.35" customHeight="1">
      <c r="A22" s="1942" t="s">
        <v>12</v>
      </c>
      <c r="B22" s="1966" t="s">
        <v>488</v>
      </c>
      <c r="C22" s="1982">
        <v>7</v>
      </c>
      <c r="D22" s="1974" t="s">
        <v>41</v>
      </c>
      <c r="E22" s="1944" t="s">
        <v>38</v>
      </c>
      <c r="F22" s="1945" t="s">
        <v>489</v>
      </c>
      <c r="G22" s="1946" t="s">
        <v>40</v>
      </c>
      <c r="H22" s="2082">
        <v>3.2</v>
      </c>
      <c r="I22" s="2106">
        <v>45809</v>
      </c>
      <c r="J22" s="2090" t="s">
        <v>41</v>
      </c>
      <c r="K22" s="1990" t="s">
        <v>41</v>
      </c>
      <c r="L22" s="2006" t="s">
        <v>41</v>
      </c>
      <c r="M22" s="2007" t="s">
        <v>41</v>
      </c>
      <c r="N22" s="2034" t="s">
        <v>41</v>
      </c>
      <c r="O22" s="2057" t="s">
        <v>41</v>
      </c>
      <c r="P22" s="2058" t="s">
        <v>41</v>
      </c>
      <c r="Q22" s="1949" t="s">
        <v>41</v>
      </c>
      <c r="R22" s="1950" t="s">
        <v>41</v>
      </c>
    </row>
    <row r="23" spans="1:18" ht="34.35" customHeight="1">
      <c r="A23" s="1953" t="s">
        <v>12</v>
      </c>
      <c r="B23" s="1967" t="s">
        <v>467</v>
      </c>
      <c r="C23" s="1983">
        <v>1</v>
      </c>
      <c r="D23" s="1975" t="s">
        <v>468</v>
      </c>
      <c r="E23" s="1954" t="s">
        <v>469</v>
      </c>
      <c r="F23" s="1955" t="s">
        <v>470</v>
      </c>
      <c r="G23" s="1956" t="s">
        <v>40</v>
      </c>
      <c r="H23" s="2083" t="s">
        <v>471</v>
      </c>
      <c r="I23" s="2107">
        <v>45839</v>
      </c>
      <c r="J23" s="2093" t="s">
        <v>41</v>
      </c>
      <c r="K23" s="1991" t="s">
        <v>41</v>
      </c>
      <c r="L23" s="2008" t="s">
        <v>41</v>
      </c>
      <c r="M23" s="2009" t="s">
        <v>41</v>
      </c>
      <c r="N23" s="2035" t="s">
        <v>41</v>
      </c>
      <c r="O23" s="2059" t="s">
        <v>41</v>
      </c>
      <c r="P23" s="2060" t="s">
        <v>41</v>
      </c>
      <c r="Q23" s="1957" t="s">
        <v>41</v>
      </c>
      <c r="R23" s="1958" t="s">
        <v>41</v>
      </c>
    </row>
    <row r="24" spans="1:18" ht="34.35" customHeight="1">
      <c r="A24" s="1942" t="s">
        <v>12</v>
      </c>
      <c r="B24" s="1963" t="s">
        <v>467</v>
      </c>
      <c r="C24" s="1981">
        <v>2</v>
      </c>
      <c r="D24" s="1973" t="s">
        <v>472</v>
      </c>
      <c r="E24" s="1911" t="s">
        <v>473</v>
      </c>
      <c r="F24" s="1912" t="s">
        <v>470</v>
      </c>
      <c r="G24" s="1913" t="s">
        <v>40</v>
      </c>
      <c r="H24" s="2078" t="s">
        <v>474</v>
      </c>
      <c r="I24" s="2105">
        <v>45839</v>
      </c>
      <c r="J24" s="2092" t="s">
        <v>41</v>
      </c>
      <c r="K24" s="1989" t="s">
        <v>41</v>
      </c>
      <c r="L24" s="2002" t="s">
        <v>41</v>
      </c>
      <c r="M24" s="2003" t="s">
        <v>41</v>
      </c>
      <c r="N24" s="2032" t="s">
        <v>41</v>
      </c>
      <c r="O24" s="2053" t="s">
        <v>41</v>
      </c>
      <c r="P24" s="2054" t="s">
        <v>41</v>
      </c>
      <c r="Q24" s="1914" t="s">
        <v>41</v>
      </c>
      <c r="R24" s="1915" t="s">
        <v>41</v>
      </c>
    </row>
    <row r="25" spans="1:18" ht="71.099999999999994" customHeight="1">
      <c r="A25" s="1942" t="s">
        <v>12</v>
      </c>
      <c r="B25" s="1963" t="s">
        <v>467</v>
      </c>
      <c r="C25" s="1981">
        <v>3</v>
      </c>
      <c r="D25" s="1973" t="s">
        <v>475</v>
      </c>
      <c r="E25" s="1916" t="s">
        <v>476</v>
      </c>
      <c r="F25" s="1912" t="s">
        <v>470</v>
      </c>
      <c r="G25" s="1913" t="s">
        <v>477</v>
      </c>
      <c r="H25" s="2080" t="s">
        <v>478</v>
      </c>
      <c r="I25" s="2105">
        <v>45839</v>
      </c>
      <c r="J25" s="2091" t="s">
        <v>495</v>
      </c>
      <c r="K25" s="1989" t="s">
        <v>496</v>
      </c>
      <c r="L25" s="2004"/>
      <c r="M25" s="2005"/>
      <c r="N25" s="2033"/>
      <c r="O25" s="2055"/>
      <c r="P25" s="2056"/>
      <c r="Q25" s="2044"/>
      <c r="R25" s="1917"/>
    </row>
    <row r="26" spans="1:18" ht="34.35" customHeight="1">
      <c r="A26" s="1942" t="s">
        <v>12</v>
      </c>
      <c r="B26" s="1963" t="s">
        <v>467</v>
      </c>
      <c r="C26" s="1981">
        <v>4</v>
      </c>
      <c r="D26" s="1973" t="s">
        <v>481</v>
      </c>
      <c r="E26" s="1911" t="s">
        <v>482</v>
      </c>
      <c r="F26" s="1912" t="s">
        <v>470</v>
      </c>
      <c r="G26" s="1913" t="s">
        <v>40</v>
      </c>
      <c r="H26" s="2078" t="s">
        <v>483</v>
      </c>
      <c r="I26" s="2105">
        <v>45839</v>
      </c>
      <c r="J26" s="2089" t="s">
        <v>41</v>
      </c>
      <c r="K26" s="1989" t="s">
        <v>41</v>
      </c>
      <c r="L26" s="2002" t="s">
        <v>41</v>
      </c>
      <c r="M26" s="2003" t="s">
        <v>41</v>
      </c>
      <c r="N26" s="2032" t="s">
        <v>41</v>
      </c>
      <c r="O26" s="2053" t="s">
        <v>41</v>
      </c>
      <c r="P26" s="2054" t="s">
        <v>41</v>
      </c>
      <c r="Q26" s="1914" t="s">
        <v>41</v>
      </c>
      <c r="R26" s="1915" t="s">
        <v>41</v>
      </c>
    </row>
    <row r="27" spans="1:18" ht="34.35" customHeight="1">
      <c r="A27" s="1942" t="s">
        <v>12</v>
      </c>
      <c r="B27" s="1964" t="s">
        <v>467</v>
      </c>
      <c r="C27" s="1981">
        <v>5</v>
      </c>
      <c r="D27" s="1973" t="s">
        <v>484</v>
      </c>
      <c r="E27" s="1911" t="s">
        <v>485</v>
      </c>
      <c r="F27" s="1912" t="s">
        <v>470</v>
      </c>
      <c r="G27" s="1913" t="s">
        <v>40</v>
      </c>
      <c r="H27" s="2078" t="s">
        <v>486</v>
      </c>
      <c r="I27" s="2105">
        <v>45839</v>
      </c>
      <c r="J27" s="2089" t="s">
        <v>41</v>
      </c>
      <c r="K27" s="1989" t="s">
        <v>41</v>
      </c>
      <c r="L27" s="2002" t="s">
        <v>41</v>
      </c>
      <c r="M27" s="2003" t="s">
        <v>41</v>
      </c>
      <c r="N27" s="2032" t="s">
        <v>41</v>
      </c>
      <c r="O27" s="2053" t="s">
        <v>41</v>
      </c>
      <c r="P27" s="2054" t="s">
        <v>41</v>
      </c>
      <c r="Q27" s="1914" t="s">
        <v>41</v>
      </c>
      <c r="R27" s="1915" t="s">
        <v>41</v>
      </c>
    </row>
    <row r="28" spans="1:18" ht="34.35" customHeight="1">
      <c r="A28" s="1942" t="s">
        <v>12</v>
      </c>
      <c r="B28" s="1965" t="s">
        <v>487</v>
      </c>
      <c r="C28" s="1981">
        <v>6</v>
      </c>
      <c r="D28" s="1973" t="s">
        <v>41</v>
      </c>
      <c r="E28" s="1911" t="s">
        <v>38</v>
      </c>
      <c r="F28" s="1912" t="s">
        <v>134</v>
      </c>
      <c r="G28" s="1913" t="s">
        <v>40</v>
      </c>
      <c r="H28" s="2081"/>
      <c r="I28" s="2105">
        <v>45839</v>
      </c>
      <c r="J28" s="2089" t="s">
        <v>41</v>
      </c>
      <c r="K28" s="1989" t="s">
        <v>41</v>
      </c>
      <c r="L28" s="2002" t="s">
        <v>41</v>
      </c>
      <c r="M28" s="2003" t="s">
        <v>41</v>
      </c>
      <c r="N28" s="2032" t="s">
        <v>41</v>
      </c>
      <c r="O28" s="2053" t="s">
        <v>41</v>
      </c>
      <c r="P28" s="2054" t="s">
        <v>41</v>
      </c>
      <c r="Q28" s="1914" t="s">
        <v>41</v>
      </c>
      <c r="R28" s="1915" t="s">
        <v>41</v>
      </c>
    </row>
    <row r="29" spans="1:18" ht="34.35" customHeight="1">
      <c r="A29" s="1943" t="s">
        <v>12</v>
      </c>
      <c r="B29" s="1968" t="s">
        <v>488</v>
      </c>
      <c r="C29" s="1984">
        <v>7</v>
      </c>
      <c r="D29" s="1976" t="s">
        <v>41</v>
      </c>
      <c r="E29" s="1936" t="s">
        <v>38</v>
      </c>
      <c r="F29" s="1937" t="s">
        <v>489</v>
      </c>
      <c r="G29" s="1938" t="s">
        <v>40</v>
      </c>
      <c r="H29" s="2084">
        <v>3.2</v>
      </c>
      <c r="I29" s="2108">
        <v>45839</v>
      </c>
      <c r="J29" s="2096" t="s">
        <v>41</v>
      </c>
      <c r="K29" s="1992" t="s">
        <v>41</v>
      </c>
      <c r="L29" s="2010" t="s">
        <v>41</v>
      </c>
      <c r="M29" s="2011" t="s">
        <v>41</v>
      </c>
      <c r="N29" s="2036" t="s">
        <v>41</v>
      </c>
      <c r="O29" s="2061" t="s">
        <v>41</v>
      </c>
      <c r="P29" s="2062" t="s">
        <v>41</v>
      </c>
      <c r="Q29" s="1939" t="s">
        <v>41</v>
      </c>
      <c r="R29" s="1940" t="s">
        <v>41</v>
      </c>
    </row>
    <row r="30" spans="1:18" ht="34.35" customHeight="1">
      <c r="A30" s="1951" t="s">
        <v>12</v>
      </c>
      <c r="B30" s="1969" t="s">
        <v>467</v>
      </c>
      <c r="C30" s="1985">
        <v>1</v>
      </c>
      <c r="D30" s="1977" t="s">
        <v>468</v>
      </c>
      <c r="E30" s="1931" t="s">
        <v>469</v>
      </c>
      <c r="F30" s="1932" t="s">
        <v>470</v>
      </c>
      <c r="G30" s="1933" t="s">
        <v>40</v>
      </c>
      <c r="H30" s="2085" t="s">
        <v>471</v>
      </c>
      <c r="I30" s="2109">
        <v>45870</v>
      </c>
      <c r="J30" s="2095" t="s">
        <v>41</v>
      </c>
      <c r="K30" s="1993" t="s">
        <v>41</v>
      </c>
      <c r="L30" s="2012" t="s">
        <v>41</v>
      </c>
      <c r="M30" s="2013" t="s">
        <v>41</v>
      </c>
      <c r="N30" s="2037" t="s">
        <v>41</v>
      </c>
      <c r="O30" s="2063" t="s">
        <v>41</v>
      </c>
      <c r="P30" s="2064" t="s">
        <v>41</v>
      </c>
      <c r="Q30" s="1934" t="s">
        <v>41</v>
      </c>
      <c r="R30" s="1935" t="s">
        <v>41</v>
      </c>
    </row>
    <row r="31" spans="1:18" ht="34.35" customHeight="1">
      <c r="A31" s="1942" t="s">
        <v>12</v>
      </c>
      <c r="B31" s="1963" t="s">
        <v>467</v>
      </c>
      <c r="C31" s="1981">
        <v>2</v>
      </c>
      <c r="D31" s="1973" t="s">
        <v>472</v>
      </c>
      <c r="E31" s="1911" t="s">
        <v>473</v>
      </c>
      <c r="F31" s="1912" t="s">
        <v>470</v>
      </c>
      <c r="G31" s="1913" t="s">
        <v>40</v>
      </c>
      <c r="H31" s="2078" t="s">
        <v>474</v>
      </c>
      <c r="I31" s="2105">
        <v>45870</v>
      </c>
      <c r="J31" s="2089" t="s">
        <v>41</v>
      </c>
      <c r="K31" s="1989" t="s">
        <v>41</v>
      </c>
      <c r="L31" s="2002" t="s">
        <v>41</v>
      </c>
      <c r="M31" s="2003" t="s">
        <v>41</v>
      </c>
      <c r="N31" s="2032" t="s">
        <v>41</v>
      </c>
      <c r="O31" s="2053" t="s">
        <v>41</v>
      </c>
      <c r="P31" s="2054" t="s">
        <v>41</v>
      </c>
      <c r="Q31" s="1914" t="s">
        <v>41</v>
      </c>
      <c r="R31" s="1915" t="s">
        <v>41</v>
      </c>
    </row>
    <row r="32" spans="1:18" ht="52.35" customHeight="1">
      <c r="A32" s="1942" t="s">
        <v>12</v>
      </c>
      <c r="B32" s="1963" t="s">
        <v>467</v>
      </c>
      <c r="C32" s="1981">
        <v>3</v>
      </c>
      <c r="D32" s="1973" t="s">
        <v>475</v>
      </c>
      <c r="E32" s="1916" t="s">
        <v>476</v>
      </c>
      <c r="F32" s="1912" t="s">
        <v>470</v>
      </c>
      <c r="G32" s="1913" t="s">
        <v>477</v>
      </c>
      <c r="H32" s="2080" t="s">
        <v>478</v>
      </c>
      <c r="I32" s="2105">
        <v>45870</v>
      </c>
      <c r="J32" s="2091" t="s">
        <v>495</v>
      </c>
      <c r="K32" s="1989" t="s">
        <v>495</v>
      </c>
      <c r="L32" s="2004"/>
      <c r="M32" s="2005"/>
      <c r="N32" s="2033"/>
      <c r="O32" s="2055"/>
      <c r="P32" s="2056"/>
      <c r="Q32" s="2044"/>
      <c r="R32" s="1917"/>
    </row>
    <row r="33" spans="1:18" ht="34.35" customHeight="1">
      <c r="A33" s="1942" t="s">
        <v>12</v>
      </c>
      <c r="B33" s="1963" t="s">
        <v>467</v>
      </c>
      <c r="C33" s="1981">
        <v>4</v>
      </c>
      <c r="D33" s="1973" t="s">
        <v>481</v>
      </c>
      <c r="E33" s="1911" t="s">
        <v>482</v>
      </c>
      <c r="F33" s="1912" t="s">
        <v>470</v>
      </c>
      <c r="G33" s="1913" t="s">
        <v>40</v>
      </c>
      <c r="H33" s="2078" t="s">
        <v>483</v>
      </c>
      <c r="I33" s="2105">
        <v>45870</v>
      </c>
      <c r="J33" s="2092" t="s">
        <v>41</v>
      </c>
      <c r="K33" s="1989" t="s">
        <v>41</v>
      </c>
      <c r="L33" s="2002" t="s">
        <v>41</v>
      </c>
      <c r="M33" s="2003" t="s">
        <v>41</v>
      </c>
      <c r="N33" s="2032" t="s">
        <v>41</v>
      </c>
      <c r="O33" s="2053" t="s">
        <v>41</v>
      </c>
      <c r="P33" s="2054" t="s">
        <v>41</v>
      </c>
      <c r="Q33" s="1914" t="s">
        <v>41</v>
      </c>
      <c r="R33" s="1915" t="s">
        <v>41</v>
      </c>
    </row>
    <row r="34" spans="1:18" ht="34.35" customHeight="1">
      <c r="A34" s="1942" t="s">
        <v>12</v>
      </c>
      <c r="B34" s="1964" t="s">
        <v>467</v>
      </c>
      <c r="C34" s="1981">
        <v>5</v>
      </c>
      <c r="D34" s="1973" t="s">
        <v>484</v>
      </c>
      <c r="E34" s="1911" t="s">
        <v>485</v>
      </c>
      <c r="F34" s="1912" t="s">
        <v>470</v>
      </c>
      <c r="G34" s="1913" t="s">
        <v>40</v>
      </c>
      <c r="H34" s="2078" t="s">
        <v>486</v>
      </c>
      <c r="I34" s="2105">
        <v>45870</v>
      </c>
      <c r="J34" s="2089" t="s">
        <v>41</v>
      </c>
      <c r="K34" s="1989" t="s">
        <v>41</v>
      </c>
      <c r="L34" s="2002" t="s">
        <v>41</v>
      </c>
      <c r="M34" s="2003" t="s">
        <v>41</v>
      </c>
      <c r="N34" s="2032" t="s">
        <v>41</v>
      </c>
      <c r="O34" s="2053" t="s">
        <v>41</v>
      </c>
      <c r="P34" s="2054" t="s">
        <v>41</v>
      </c>
      <c r="Q34" s="1914" t="s">
        <v>41</v>
      </c>
      <c r="R34" s="1915" t="s">
        <v>41</v>
      </c>
    </row>
    <row r="35" spans="1:18" ht="34.35" customHeight="1">
      <c r="A35" s="1942" t="s">
        <v>12</v>
      </c>
      <c r="B35" s="1965" t="s">
        <v>487</v>
      </c>
      <c r="C35" s="1981">
        <v>6</v>
      </c>
      <c r="D35" s="1973" t="s">
        <v>41</v>
      </c>
      <c r="E35" s="1911" t="s">
        <v>38</v>
      </c>
      <c r="F35" s="1912" t="s">
        <v>134</v>
      </c>
      <c r="G35" s="1913" t="s">
        <v>40</v>
      </c>
      <c r="H35" s="2081"/>
      <c r="I35" s="2105">
        <v>45870</v>
      </c>
      <c r="J35" s="2089" t="s">
        <v>41</v>
      </c>
      <c r="K35" s="1989" t="s">
        <v>41</v>
      </c>
      <c r="L35" s="2002" t="s">
        <v>41</v>
      </c>
      <c r="M35" s="2003" t="s">
        <v>41</v>
      </c>
      <c r="N35" s="2032" t="s">
        <v>41</v>
      </c>
      <c r="O35" s="2053" t="s">
        <v>41</v>
      </c>
      <c r="P35" s="2054" t="s">
        <v>41</v>
      </c>
      <c r="Q35" s="1914" t="s">
        <v>41</v>
      </c>
      <c r="R35" s="1915" t="s">
        <v>41</v>
      </c>
    </row>
    <row r="36" spans="1:18" ht="34.35" customHeight="1">
      <c r="A36" s="1942" t="s">
        <v>12</v>
      </c>
      <c r="B36" s="1966" t="s">
        <v>488</v>
      </c>
      <c r="C36" s="1982">
        <v>7</v>
      </c>
      <c r="D36" s="1974" t="s">
        <v>41</v>
      </c>
      <c r="E36" s="1944" t="s">
        <v>38</v>
      </c>
      <c r="F36" s="1945" t="s">
        <v>489</v>
      </c>
      <c r="G36" s="1946" t="s">
        <v>40</v>
      </c>
      <c r="H36" s="2082">
        <v>3.2</v>
      </c>
      <c r="I36" s="2106">
        <v>45870</v>
      </c>
      <c r="J36" s="2090" t="s">
        <v>41</v>
      </c>
      <c r="K36" s="1990" t="s">
        <v>41</v>
      </c>
      <c r="L36" s="2006" t="s">
        <v>41</v>
      </c>
      <c r="M36" s="2007" t="s">
        <v>41</v>
      </c>
      <c r="N36" s="2034" t="s">
        <v>41</v>
      </c>
      <c r="O36" s="2057" t="s">
        <v>41</v>
      </c>
      <c r="P36" s="2058" t="s">
        <v>41</v>
      </c>
      <c r="Q36" s="1949" t="s">
        <v>41</v>
      </c>
      <c r="R36" s="1950" t="s">
        <v>41</v>
      </c>
    </row>
    <row r="37" spans="1:18" ht="34.35" customHeight="1">
      <c r="A37" s="1953" t="s">
        <v>12</v>
      </c>
      <c r="B37" s="1967" t="s">
        <v>467</v>
      </c>
      <c r="C37" s="1983">
        <v>1</v>
      </c>
      <c r="D37" s="1975" t="s">
        <v>468</v>
      </c>
      <c r="E37" s="1954" t="s">
        <v>469</v>
      </c>
      <c r="F37" s="1955" t="s">
        <v>470</v>
      </c>
      <c r="G37" s="1956" t="s">
        <v>40</v>
      </c>
      <c r="H37" s="2083" t="s">
        <v>471</v>
      </c>
      <c r="I37" s="2107">
        <v>45901</v>
      </c>
      <c r="J37" s="2093" t="s">
        <v>41</v>
      </c>
      <c r="K37" s="1991" t="s">
        <v>41</v>
      </c>
      <c r="L37" s="2014">
        <v>1</v>
      </c>
      <c r="M37" s="2015">
        <v>1</v>
      </c>
      <c r="N37" s="2038"/>
      <c r="O37" s="2065"/>
      <c r="P37" s="2066"/>
      <c r="Q37" s="2045"/>
      <c r="R37" s="1959"/>
    </row>
    <row r="38" spans="1:18" ht="34.35" customHeight="1">
      <c r="A38" s="1942" t="s">
        <v>12</v>
      </c>
      <c r="B38" s="1963" t="s">
        <v>467</v>
      </c>
      <c r="C38" s="1981">
        <v>2</v>
      </c>
      <c r="D38" s="1973" t="s">
        <v>472</v>
      </c>
      <c r="E38" s="1911" t="s">
        <v>473</v>
      </c>
      <c r="F38" s="1912" t="s">
        <v>470</v>
      </c>
      <c r="G38" s="1913" t="s">
        <v>40</v>
      </c>
      <c r="H38" s="2078" t="s">
        <v>474</v>
      </c>
      <c r="I38" s="2105">
        <v>45901</v>
      </c>
      <c r="J38" s="2089" t="s">
        <v>41</v>
      </c>
      <c r="K38" s="1989" t="s">
        <v>41</v>
      </c>
      <c r="L38" s="2016">
        <v>1</v>
      </c>
      <c r="M38" s="2017">
        <v>1</v>
      </c>
      <c r="N38" s="2033"/>
      <c r="O38" s="2055"/>
      <c r="P38" s="2056"/>
      <c r="Q38" s="2044"/>
      <c r="R38" s="1917"/>
    </row>
    <row r="39" spans="1:18" ht="64.5" customHeight="1">
      <c r="A39" s="1942" t="s">
        <v>12</v>
      </c>
      <c r="B39" s="1963" t="s">
        <v>467</v>
      </c>
      <c r="C39" s="1981">
        <v>3</v>
      </c>
      <c r="D39" s="1973" t="s">
        <v>475</v>
      </c>
      <c r="E39" s="1916" t="s">
        <v>476</v>
      </c>
      <c r="F39" s="1912" t="s">
        <v>470</v>
      </c>
      <c r="G39" s="1913" t="s">
        <v>477</v>
      </c>
      <c r="H39" s="2080" t="s">
        <v>478</v>
      </c>
      <c r="I39" s="2105">
        <v>45901</v>
      </c>
      <c r="J39" s="2089" t="s">
        <v>41</v>
      </c>
      <c r="K39" s="1989" t="s">
        <v>41</v>
      </c>
      <c r="L39" s="2018">
        <v>12</v>
      </c>
      <c r="M39" s="2019">
        <v>12</v>
      </c>
      <c r="N39" s="2033"/>
      <c r="O39" s="2055" t="s">
        <v>497</v>
      </c>
      <c r="P39" s="2056"/>
      <c r="Q39" s="2044"/>
      <c r="R39" s="1917"/>
    </row>
    <row r="40" spans="1:18" ht="53.1" customHeight="1">
      <c r="A40" s="1942" t="s">
        <v>12</v>
      </c>
      <c r="B40" s="1963" t="s">
        <v>467</v>
      </c>
      <c r="C40" s="1981">
        <v>4</v>
      </c>
      <c r="D40" s="1973" t="s">
        <v>481</v>
      </c>
      <c r="E40" s="1911" t="s">
        <v>133</v>
      </c>
      <c r="F40" s="1912" t="s">
        <v>470</v>
      </c>
      <c r="G40" s="1913" t="s">
        <v>40</v>
      </c>
      <c r="H40" s="2078" t="s">
        <v>483</v>
      </c>
      <c r="I40" s="2105">
        <v>45901</v>
      </c>
      <c r="J40" s="2089" t="s">
        <v>41</v>
      </c>
      <c r="K40" s="1989" t="s">
        <v>41</v>
      </c>
      <c r="L40" s="2016">
        <v>0.4</v>
      </c>
      <c r="M40" s="2017">
        <v>0.4</v>
      </c>
      <c r="N40" s="2033"/>
      <c r="O40" s="2067" t="s">
        <v>498</v>
      </c>
      <c r="P40" s="2056"/>
      <c r="Q40" s="2044"/>
      <c r="R40" s="1917"/>
    </row>
    <row r="41" spans="1:18" ht="34.35" customHeight="1">
      <c r="A41" s="1942" t="s">
        <v>12</v>
      </c>
      <c r="B41" s="1964" t="s">
        <v>467</v>
      </c>
      <c r="C41" s="1981">
        <v>5</v>
      </c>
      <c r="D41" s="1973" t="s">
        <v>484</v>
      </c>
      <c r="E41" s="1911" t="s">
        <v>133</v>
      </c>
      <c r="F41" s="1912" t="s">
        <v>470</v>
      </c>
      <c r="G41" s="1913" t="s">
        <v>40</v>
      </c>
      <c r="H41" s="2078" t="s">
        <v>486</v>
      </c>
      <c r="I41" s="2105">
        <v>45901</v>
      </c>
      <c r="J41" s="2089" t="s">
        <v>41</v>
      </c>
      <c r="K41" s="1989" t="s">
        <v>41</v>
      </c>
      <c r="L41" s="2016">
        <v>0.4</v>
      </c>
      <c r="M41" s="2017">
        <v>0.4</v>
      </c>
      <c r="N41" s="2033"/>
      <c r="O41" s="2055" t="s">
        <v>499</v>
      </c>
      <c r="P41" s="2056"/>
      <c r="Q41" s="2044"/>
      <c r="R41" s="1917"/>
    </row>
    <row r="42" spans="1:18" ht="34.35" customHeight="1">
      <c r="A42" s="1942" t="s">
        <v>12</v>
      </c>
      <c r="B42" s="1965" t="s">
        <v>487</v>
      </c>
      <c r="C42" s="1981">
        <v>6</v>
      </c>
      <c r="D42" s="1973" t="s">
        <v>41</v>
      </c>
      <c r="E42" s="1911" t="s">
        <v>38</v>
      </c>
      <c r="F42" s="1912" t="s">
        <v>134</v>
      </c>
      <c r="G42" s="1913" t="s">
        <v>40</v>
      </c>
      <c r="H42" s="2081"/>
      <c r="I42" s="2105">
        <v>45901</v>
      </c>
      <c r="J42" s="2092" t="s">
        <v>41</v>
      </c>
      <c r="K42" s="1989" t="s">
        <v>41</v>
      </c>
      <c r="L42" s="2004" t="s">
        <v>41</v>
      </c>
      <c r="M42" s="2005" t="s">
        <v>41</v>
      </c>
      <c r="N42" s="2033"/>
      <c r="O42" s="2055"/>
      <c r="P42" s="2056"/>
      <c r="Q42" s="2044"/>
      <c r="R42" s="1917"/>
    </row>
    <row r="43" spans="1:18" ht="34.35" customHeight="1">
      <c r="A43" s="1943" t="s">
        <v>12</v>
      </c>
      <c r="B43" s="1968" t="s">
        <v>488</v>
      </c>
      <c r="C43" s="1984">
        <v>7</v>
      </c>
      <c r="D43" s="1976" t="s">
        <v>41</v>
      </c>
      <c r="E43" s="1936" t="s">
        <v>38</v>
      </c>
      <c r="F43" s="1937" t="s">
        <v>489</v>
      </c>
      <c r="G43" s="1938" t="s">
        <v>40</v>
      </c>
      <c r="H43" s="2084">
        <v>3.2</v>
      </c>
      <c r="I43" s="2108">
        <v>45901</v>
      </c>
      <c r="J43" s="2096" t="s">
        <v>41</v>
      </c>
      <c r="K43" s="1992" t="s">
        <v>41</v>
      </c>
      <c r="L43" s="2020" t="s">
        <v>41</v>
      </c>
      <c r="M43" s="2021" t="s">
        <v>41</v>
      </c>
      <c r="N43" s="2039"/>
      <c r="O43" s="2068"/>
      <c r="P43" s="2069"/>
      <c r="Q43" s="2046"/>
      <c r="R43" s="1960"/>
    </row>
    <row r="44" spans="1:18" ht="34.35" customHeight="1">
      <c r="A44" s="1951" t="s">
        <v>12</v>
      </c>
      <c r="B44" s="1969" t="s">
        <v>467</v>
      </c>
      <c r="C44" s="1985">
        <v>1</v>
      </c>
      <c r="D44" s="1977" t="s">
        <v>468</v>
      </c>
      <c r="E44" s="1931" t="s">
        <v>469</v>
      </c>
      <c r="F44" s="1932" t="s">
        <v>470</v>
      </c>
      <c r="G44" s="1933" t="s">
        <v>40</v>
      </c>
      <c r="H44" s="2085" t="s">
        <v>471</v>
      </c>
      <c r="I44" s="2109">
        <v>45931</v>
      </c>
      <c r="J44" s="2097" t="s">
        <v>41</v>
      </c>
      <c r="K44" s="1994" t="s">
        <v>41</v>
      </c>
      <c r="L44" s="2022">
        <v>1</v>
      </c>
      <c r="M44" s="2023">
        <v>1</v>
      </c>
      <c r="N44" s="2040"/>
      <c r="O44" s="2070"/>
      <c r="P44" s="2071"/>
      <c r="Q44" s="2047"/>
      <c r="R44" s="1952"/>
    </row>
    <row r="45" spans="1:18" ht="34.35" customHeight="1">
      <c r="A45" s="1942" t="s">
        <v>12</v>
      </c>
      <c r="B45" s="1963" t="s">
        <v>467</v>
      </c>
      <c r="C45" s="1981">
        <v>2</v>
      </c>
      <c r="D45" s="1973" t="s">
        <v>472</v>
      </c>
      <c r="E45" s="1911" t="s">
        <v>473</v>
      </c>
      <c r="F45" s="1912" t="s">
        <v>470</v>
      </c>
      <c r="G45" s="1913" t="s">
        <v>40</v>
      </c>
      <c r="H45" s="2078" t="s">
        <v>474</v>
      </c>
      <c r="I45" s="2105">
        <v>45931</v>
      </c>
      <c r="J45" s="2098" t="s">
        <v>41</v>
      </c>
      <c r="K45" s="1995" t="s">
        <v>41</v>
      </c>
      <c r="L45" s="2016">
        <v>1</v>
      </c>
      <c r="M45" s="2017">
        <v>1</v>
      </c>
      <c r="N45" s="2033"/>
      <c r="O45" s="2055"/>
      <c r="P45" s="2056"/>
      <c r="Q45" s="2044"/>
      <c r="R45" s="1917"/>
    </row>
    <row r="46" spans="1:18" ht="34.35" customHeight="1">
      <c r="A46" s="1942" t="s">
        <v>12</v>
      </c>
      <c r="B46" s="1963" t="s">
        <v>467</v>
      </c>
      <c r="C46" s="1981">
        <v>3</v>
      </c>
      <c r="D46" s="1973" t="s">
        <v>475</v>
      </c>
      <c r="E46" s="1916" t="s">
        <v>476</v>
      </c>
      <c r="F46" s="1912" t="s">
        <v>470</v>
      </c>
      <c r="G46" s="1913" t="s">
        <v>477</v>
      </c>
      <c r="H46" s="2080" t="s">
        <v>478</v>
      </c>
      <c r="I46" s="2105">
        <v>45931</v>
      </c>
      <c r="J46" s="2098" t="s">
        <v>41</v>
      </c>
      <c r="K46" s="1995" t="s">
        <v>41</v>
      </c>
      <c r="L46" s="2018">
        <v>12</v>
      </c>
      <c r="M46" s="2019">
        <v>12</v>
      </c>
      <c r="N46" s="2033"/>
      <c r="O46" s="2055" t="s">
        <v>497</v>
      </c>
      <c r="P46" s="2056"/>
      <c r="Q46" s="2044"/>
      <c r="R46" s="1917"/>
    </row>
    <row r="47" spans="1:18" ht="34.35" customHeight="1">
      <c r="A47" s="1942" t="s">
        <v>12</v>
      </c>
      <c r="B47" s="1963" t="s">
        <v>467</v>
      </c>
      <c r="C47" s="1981">
        <v>4</v>
      </c>
      <c r="D47" s="1973" t="s">
        <v>481</v>
      </c>
      <c r="E47" s="1911" t="s">
        <v>133</v>
      </c>
      <c r="F47" s="1912" t="s">
        <v>470</v>
      </c>
      <c r="G47" s="1913" t="s">
        <v>40</v>
      </c>
      <c r="H47" s="2078" t="s">
        <v>483</v>
      </c>
      <c r="I47" s="2105">
        <v>45931</v>
      </c>
      <c r="J47" s="2098" t="s">
        <v>41</v>
      </c>
      <c r="K47" s="1995" t="s">
        <v>41</v>
      </c>
      <c r="L47" s="2016">
        <v>0.4</v>
      </c>
      <c r="M47" s="2017">
        <v>0.4</v>
      </c>
      <c r="N47" s="2033"/>
      <c r="O47" s="2067" t="s">
        <v>498</v>
      </c>
      <c r="P47" s="2056"/>
      <c r="Q47" s="2044"/>
      <c r="R47" s="1917"/>
    </row>
    <row r="48" spans="1:18" ht="34.35" customHeight="1">
      <c r="A48" s="1942" t="s">
        <v>12</v>
      </c>
      <c r="B48" s="1964" t="s">
        <v>467</v>
      </c>
      <c r="C48" s="1981">
        <v>5</v>
      </c>
      <c r="D48" s="1973" t="s">
        <v>484</v>
      </c>
      <c r="E48" s="1911" t="s">
        <v>133</v>
      </c>
      <c r="F48" s="1912" t="s">
        <v>470</v>
      </c>
      <c r="G48" s="1913" t="s">
        <v>40</v>
      </c>
      <c r="H48" s="2078" t="s">
        <v>486</v>
      </c>
      <c r="I48" s="2105">
        <v>45931</v>
      </c>
      <c r="J48" s="2098" t="s">
        <v>41</v>
      </c>
      <c r="K48" s="1995" t="s">
        <v>41</v>
      </c>
      <c r="L48" s="2016">
        <v>0.4</v>
      </c>
      <c r="M48" s="2017">
        <v>0.4</v>
      </c>
      <c r="N48" s="2033"/>
      <c r="O48" s="2055" t="s">
        <v>499</v>
      </c>
      <c r="P48" s="2056"/>
      <c r="Q48" s="2044"/>
      <c r="R48" s="1917"/>
    </row>
    <row r="49" spans="1:18" ht="34.35" customHeight="1">
      <c r="A49" s="1942" t="s">
        <v>12</v>
      </c>
      <c r="B49" s="1965" t="s">
        <v>487</v>
      </c>
      <c r="C49" s="1981">
        <v>6</v>
      </c>
      <c r="D49" s="1973" t="s">
        <v>41</v>
      </c>
      <c r="E49" s="1911" t="s">
        <v>38</v>
      </c>
      <c r="F49" s="1912" t="s">
        <v>134</v>
      </c>
      <c r="G49" s="1913" t="s">
        <v>40</v>
      </c>
      <c r="H49" s="2081"/>
      <c r="I49" s="2105">
        <v>45931</v>
      </c>
      <c r="J49" s="2098" t="s">
        <v>41</v>
      </c>
      <c r="K49" s="1995" t="s">
        <v>41</v>
      </c>
      <c r="L49" s="2004" t="s">
        <v>41</v>
      </c>
      <c r="M49" s="2005" t="s">
        <v>41</v>
      </c>
      <c r="N49" s="2033"/>
      <c r="O49" s="2055"/>
      <c r="P49" s="2056"/>
      <c r="Q49" s="2044"/>
      <c r="R49" s="1917"/>
    </row>
    <row r="50" spans="1:18" ht="34.35" customHeight="1">
      <c r="A50" s="1942" t="s">
        <v>12</v>
      </c>
      <c r="B50" s="1966" t="s">
        <v>488</v>
      </c>
      <c r="C50" s="1982">
        <v>7</v>
      </c>
      <c r="D50" s="1974" t="s">
        <v>41</v>
      </c>
      <c r="E50" s="1944" t="s">
        <v>38</v>
      </c>
      <c r="F50" s="1945" t="s">
        <v>489</v>
      </c>
      <c r="G50" s="1946" t="s">
        <v>40</v>
      </c>
      <c r="H50" s="2082">
        <v>3.2</v>
      </c>
      <c r="I50" s="2106">
        <v>45931</v>
      </c>
      <c r="J50" s="2099" t="s">
        <v>41</v>
      </c>
      <c r="K50" s="1996" t="s">
        <v>41</v>
      </c>
      <c r="L50" s="2024" t="s">
        <v>41</v>
      </c>
      <c r="M50" s="2025" t="s">
        <v>41</v>
      </c>
      <c r="N50" s="2041"/>
      <c r="O50" s="2072"/>
      <c r="P50" s="2073"/>
      <c r="Q50" s="2048"/>
      <c r="R50" s="1947"/>
    </row>
    <row r="51" spans="1:18" ht="34.35" customHeight="1">
      <c r="A51" s="1953" t="s">
        <v>12</v>
      </c>
      <c r="B51" s="1967" t="s">
        <v>467</v>
      </c>
      <c r="C51" s="1983">
        <v>1</v>
      </c>
      <c r="D51" s="1975" t="s">
        <v>468</v>
      </c>
      <c r="E51" s="1954" t="s">
        <v>469</v>
      </c>
      <c r="F51" s="1955" t="s">
        <v>470</v>
      </c>
      <c r="G51" s="1956" t="s">
        <v>40</v>
      </c>
      <c r="H51" s="2083" t="s">
        <v>471</v>
      </c>
      <c r="I51" s="2107">
        <v>45962</v>
      </c>
      <c r="J51" s="2100" t="s">
        <v>41</v>
      </c>
      <c r="K51" s="1991" t="s">
        <v>41</v>
      </c>
      <c r="L51" s="2014">
        <v>1</v>
      </c>
      <c r="M51" s="2015">
        <v>1</v>
      </c>
      <c r="N51" s="2035" t="s">
        <v>41</v>
      </c>
      <c r="O51" s="2059" t="s">
        <v>41</v>
      </c>
      <c r="P51" s="2060" t="s">
        <v>41</v>
      </c>
      <c r="Q51" s="1957" t="s">
        <v>41</v>
      </c>
      <c r="R51" s="1958" t="s">
        <v>41</v>
      </c>
    </row>
    <row r="52" spans="1:18" ht="34.35" customHeight="1">
      <c r="A52" s="1942" t="s">
        <v>12</v>
      </c>
      <c r="B52" s="1963" t="s">
        <v>467</v>
      </c>
      <c r="C52" s="1981">
        <v>2</v>
      </c>
      <c r="D52" s="1973" t="s">
        <v>472</v>
      </c>
      <c r="E52" s="1911" t="s">
        <v>473</v>
      </c>
      <c r="F52" s="1912" t="s">
        <v>470</v>
      </c>
      <c r="G52" s="1913" t="s">
        <v>40</v>
      </c>
      <c r="H52" s="2078" t="s">
        <v>474</v>
      </c>
      <c r="I52" s="2105">
        <v>45962</v>
      </c>
      <c r="J52" s="2089" t="s">
        <v>41</v>
      </c>
      <c r="K52" s="1989" t="s">
        <v>41</v>
      </c>
      <c r="L52" s="2016">
        <v>1</v>
      </c>
      <c r="M52" s="2017">
        <v>1</v>
      </c>
      <c r="N52" s="2032" t="s">
        <v>41</v>
      </c>
      <c r="O52" s="2053" t="s">
        <v>41</v>
      </c>
      <c r="P52" s="2054" t="s">
        <v>41</v>
      </c>
      <c r="Q52" s="1914" t="s">
        <v>41</v>
      </c>
      <c r="R52" s="1915" t="s">
        <v>41</v>
      </c>
    </row>
    <row r="53" spans="1:18" ht="61.5" customHeight="1">
      <c r="A53" s="1942" t="s">
        <v>12</v>
      </c>
      <c r="B53" s="1963" t="s">
        <v>467</v>
      </c>
      <c r="C53" s="1981">
        <v>3</v>
      </c>
      <c r="D53" s="1973" t="s">
        <v>475</v>
      </c>
      <c r="E53" s="1916" t="s">
        <v>476</v>
      </c>
      <c r="F53" s="1912" t="s">
        <v>470</v>
      </c>
      <c r="G53" s="1913" t="s">
        <v>477</v>
      </c>
      <c r="H53" s="2080" t="s">
        <v>478</v>
      </c>
      <c r="I53" s="2105">
        <v>45962</v>
      </c>
      <c r="J53" s="2089" t="s">
        <v>41</v>
      </c>
      <c r="K53" s="1989" t="s">
        <v>41</v>
      </c>
      <c r="L53" s="2018">
        <v>12</v>
      </c>
      <c r="M53" s="2019">
        <v>12</v>
      </c>
      <c r="N53" s="2032" t="s">
        <v>41</v>
      </c>
      <c r="O53" s="2053" t="s">
        <v>41</v>
      </c>
      <c r="P53" s="2054" t="s">
        <v>41</v>
      </c>
      <c r="Q53" s="1914" t="s">
        <v>41</v>
      </c>
      <c r="R53" s="1915" t="s">
        <v>41</v>
      </c>
    </row>
    <row r="54" spans="1:18" ht="34.35" customHeight="1">
      <c r="A54" s="1942" t="s">
        <v>12</v>
      </c>
      <c r="B54" s="1963" t="s">
        <v>467</v>
      </c>
      <c r="C54" s="1981">
        <v>4</v>
      </c>
      <c r="D54" s="1973" t="s">
        <v>481</v>
      </c>
      <c r="E54" s="1911" t="s">
        <v>482</v>
      </c>
      <c r="F54" s="1912" t="s">
        <v>470</v>
      </c>
      <c r="G54" s="1913" t="s">
        <v>40</v>
      </c>
      <c r="H54" s="2078" t="s">
        <v>483</v>
      </c>
      <c r="I54" s="2105">
        <v>45962</v>
      </c>
      <c r="J54" s="2089" t="s">
        <v>41</v>
      </c>
      <c r="K54" s="1989" t="s">
        <v>41</v>
      </c>
      <c r="L54" s="2016">
        <v>0.4</v>
      </c>
      <c r="M54" s="2017">
        <v>0.4</v>
      </c>
      <c r="N54" s="2032" t="s">
        <v>41</v>
      </c>
      <c r="O54" s="2053" t="s">
        <v>41</v>
      </c>
      <c r="P54" s="2054" t="s">
        <v>41</v>
      </c>
      <c r="Q54" s="1914" t="s">
        <v>41</v>
      </c>
      <c r="R54" s="1915" t="s">
        <v>41</v>
      </c>
    </row>
    <row r="55" spans="1:18" ht="34.35" customHeight="1">
      <c r="A55" s="1942" t="s">
        <v>12</v>
      </c>
      <c r="B55" s="1964" t="s">
        <v>467</v>
      </c>
      <c r="C55" s="1981">
        <v>5</v>
      </c>
      <c r="D55" s="1973" t="s">
        <v>484</v>
      </c>
      <c r="E55" s="1911" t="s">
        <v>485</v>
      </c>
      <c r="F55" s="1912" t="s">
        <v>470</v>
      </c>
      <c r="G55" s="1913" t="s">
        <v>40</v>
      </c>
      <c r="H55" s="2078" t="s">
        <v>486</v>
      </c>
      <c r="I55" s="2105">
        <v>45962</v>
      </c>
      <c r="J55" s="2089" t="s">
        <v>41</v>
      </c>
      <c r="K55" s="1989" t="s">
        <v>41</v>
      </c>
      <c r="L55" s="2016">
        <v>0.4</v>
      </c>
      <c r="M55" s="2017">
        <v>0.4</v>
      </c>
      <c r="N55" s="2032" t="s">
        <v>41</v>
      </c>
      <c r="O55" s="2053" t="s">
        <v>41</v>
      </c>
      <c r="P55" s="2054" t="s">
        <v>41</v>
      </c>
      <c r="Q55" s="1914" t="s">
        <v>41</v>
      </c>
      <c r="R55" s="1915" t="s">
        <v>41</v>
      </c>
    </row>
    <row r="56" spans="1:18" ht="34.35" customHeight="1">
      <c r="A56" s="1942" t="s">
        <v>12</v>
      </c>
      <c r="B56" s="1965" t="s">
        <v>487</v>
      </c>
      <c r="C56" s="1981">
        <v>6</v>
      </c>
      <c r="D56" s="1973" t="s">
        <v>41</v>
      </c>
      <c r="E56" s="1911" t="s">
        <v>38</v>
      </c>
      <c r="F56" s="1912" t="s">
        <v>134</v>
      </c>
      <c r="G56" s="1913" t="s">
        <v>40</v>
      </c>
      <c r="H56" s="2081"/>
      <c r="I56" s="2105">
        <v>45962</v>
      </c>
      <c r="J56" s="2089" t="s">
        <v>41</v>
      </c>
      <c r="K56" s="1989" t="s">
        <v>41</v>
      </c>
      <c r="L56" s="2004" t="s">
        <v>41</v>
      </c>
      <c r="M56" s="2005" t="s">
        <v>41</v>
      </c>
      <c r="N56" s="2032" t="s">
        <v>41</v>
      </c>
      <c r="O56" s="2053" t="s">
        <v>41</v>
      </c>
      <c r="P56" s="2054" t="s">
        <v>41</v>
      </c>
      <c r="Q56" s="1914" t="s">
        <v>41</v>
      </c>
      <c r="R56" s="1915" t="s">
        <v>41</v>
      </c>
    </row>
    <row r="57" spans="1:18" ht="34.35" customHeight="1">
      <c r="A57" s="1943" t="s">
        <v>12</v>
      </c>
      <c r="B57" s="1968" t="s">
        <v>488</v>
      </c>
      <c r="C57" s="1984">
        <v>7</v>
      </c>
      <c r="D57" s="1976" t="s">
        <v>41</v>
      </c>
      <c r="E57" s="1936" t="s">
        <v>38</v>
      </c>
      <c r="F57" s="1937" t="s">
        <v>489</v>
      </c>
      <c r="G57" s="1938" t="s">
        <v>40</v>
      </c>
      <c r="H57" s="2084">
        <v>3.2</v>
      </c>
      <c r="I57" s="2108">
        <v>45962</v>
      </c>
      <c r="J57" s="2096" t="s">
        <v>41</v>
      </c>
      <c r="K57" s="1992" t="s">
        <v>41</v>
      </c>
      <c r="L57" s="2020" t="s">
        <v>41</v>
      </c>
      <c r="M57" s="2021" t="s">
        <v>41</v>
      </c>
      <c r="N57" s="2036" t="s">
        <v>41</v>
      </c>
      <c r="O57" s="2061" t="s">
        <v>41</v>
      </c>
      <c r="P57" s="2062" t="s">
        <v>41</v>
      </c>
      <c r="Q57" s="1939" t="s">
        <v>41</v>
      </c>
      <c r="R57" s="1940" t="s">
        <v>41</v>
      </c>
    </row>
    <row r="58" spans="1:18" ht="34.35" customHeight="1">
      <c r="A58" s="1951" t="s">
        <v>12</v>
      </c>
      <c r="B58" s="1969" t="s">
        <v>467</v>
      </c>
      <c r="C58" s="1985">
        <v>1</v>
      </c>
      <c r="D58" s="1977" t="s">
        <v>468</v>
      </c>
      <c r="E58" s="1931" t="s">
        <v>469</v>
      </c>
      <c r="F58" s="1932" t="s">
        <v>470</v>
      </c>
      <c r="G58" s="1933" t="s">
        <v>40</v>
      </c>
      <c r="H58" s="2085" t="s">
        <v>471</v>
      </c>
      <c r="I58" s="2109">
        <v>45992</v>
      </c>
      <c r="J58" s="2095" t="s">
        <v>41</v>
      </c>
      <c r="K58" s="1993" t="s">
        <v>41</v>
      </c>
      <c r="L58" s="2022">
        <v>1</v>
      </c>
      <c r="M58" s="2023">
        <v>1</v>
      </c>
      <c r="N58" s="2037" t="s">
        <v>41</v>
      </c>
      <c r="O58" s="2063" t="s">
        <v>41</v>
      </c>
      <c r="P58" s="2064" t="s">
        <v>41</v>
      </c>
      <c r="Q58" s="1934" t="s">
        <v>41</v>
      </c>
      <c r="R58" s="1935" t="s">
        <v>41</v>
      </c>
    </row>
    <row r="59" spans="1:18" ht="34.35" customHeight="1">
      <c r="A59" s="1942" t="s">
        <v>12</v>
      </c>
      <c r="B59" s="1963" t="s">
        <v>467</v>
      </c>
      <c r="C59" s="1981">
        <v>2</v>
      </c>
      <c r="D59" s="1973" t="s">
        <v>472</v>
      </c>
      <c r="E59" s="1911" t="s">
        <v>473</v>
      </c>
      <c r="F59" s="1912" t="s">
        <v>470</v>
      </c>
      <c r="G59" s="1913" t="s">
        <v>40</v>
      </c>
      <c r="H59" s="2078" t="s">
        <v>474</v>
      </c>
      <c r="I59" s="2105">
        <v>45992</v>
      </c>
      <c r="J59" s="2089" t="s">
        <v>41</v>
      </c>
      <c r="K59" s="1989" t="s">
        <v>41</v>
      </c>
      <c r="L59" s="2016">
        <v>1</v>
      </c>
      <c r="M59" s="2017">
        <v>1</v>
      </c>
      <c r="N59" s="2032" t="s">
        <v>41</v>
      </c>
      <c r="O59" s="2053" t="s">
        <v>41</v>
      </c>
      <c r="P59" s="2054" t="s">
        <v>41</v>
      </c>
      <c r="Q59" s="1914" t="s">
        <v>41</v>
      </c>
      <c r="R59" s="1915" t="s">
        <v>41</v>
      </c>
    </row>
    <row r="60" spans="1:18" ht="34.35" customHeight="1">
      <c r="A60" s="1942" t="s">
        <v>12</v>
      </c>
      <c r="B60" s="1963" t="s">
        <v>467</v>
      </c>
      <c r="C60" s="1981">
        <v>3</v>
      </c>
      <c r="D60" s="1973" t="s">
        <v>475</v>
      </c>
      <c r="E60" s="1916" t="s">
        <v>476</v>
      </c>
      <c r="F60" s="1912" t="s">
        <v>470</v>
      </c>
      <c r="G60" s="1913" t="s">
        <v>477</v>
      </c>
      <c r="H60" s="2080" t="s">
        <v>478</v>
      </c>
      <c r="I60" s="2105">
        <v>45992</v>
      </c>
      <c r="J60" s="2092" t="s">
        <v>41</v>
      </c>
      <c r="K60" s="1989" t="s">
        <v>41</v>
      </c>
      <c r="L60" s="2018">
        <v>12</v>
      </c>
      <c r="M60" s="2019">
        <v>12</v>
      </c>
      <c r="N60" s="2032" t="s">
        <v>41</v>
      </c>
      <c r="O60" s="2053" t="s">
        <v>41</v>
      </c>
      <c r="P60" s="2054" t="s">
        <v>41</v>
      </c>
      <c r="Q60" s="1914" t="s">
        <v>41</v>
      </c>
      <c r="R60" s="1915" t="s">
        <v>41</v>
      </c>
    </row>
    <row r="61" spans="1:18" ht="34.35" customHeight="1">
      <c r="A61" s="1942" t="s">
        <v>12</v>
      </c>
      <c r="B61" s="1963" t="s">
        <v>467</v>
      </c>
      <c r="C61" s="1981">
        <v>4</v>
      </c>
      <c r="D61" s="1973" t="s">
        <v>481</v>
      </c>
      <c r="E61" s="1911" t="s">
        <v>482</v>
      </c>
      <c r="F61" s="1912" t="s">
        <v>470</v>
      </c>
      <c r="G61" s="1913" t="s">
        <v>40</v>
      </c>
      <c r="H61" s="2078" t="s">
        <v>483</v>
      </c>
      <c r="I61" s="2105">
        <v>45992</v>
      </c>
      <c r="J61" s="2089" t="s">
        <v>41</v>
      </c>
      <c r="K61" s="1989" t="s">
        <v>41</v>
      </c>
      <c r="L61" s="2016">
        <v>0.4</v>
      </c>
      <c r="M61" s="2017">
        <v>0.4</v>
      </c>
      <c r="N61" s="2032" t="s">
        <v>41</v>
      </c>
      <c r="O61" s="2053" t="s">
        <v>41</v>
      </c>
      <c r="P61" s="2054" t="s">
        <v>41</v>
      </c>
      <c r="Q61" s="1914" t="s">
        <v>41</v>
      </c>
      <c r="R61" s="1915" t="s">
        <v>41</v>
      </c>
    </row>
    <row r="62" spans="1:18" ht="34.35" customHeight="1">
      <c r="A62" s="1942" t="s">
        <v>12</v>
      </c>
      <c r="B62" s="1964" t="s">
        <v>467</v>
      </c>
      <c r="C62" s="1981">
        <v>5</v>
      </c>
      <c r="D62" s="1973" t="s">
        <v>484</v>
      </c>
      <c r="E62" s="1911" t="s">
        <v>485</v>
      </c>
      <c r="F62" s="1912" t="s">
        <v>470</v>
      </c>
      <c r="G62" s="1913" t="s">
        <v>40</v>
      </c>
      <c r="H62" s="2078" t="s">
        <v>486</v>
      </c>
      <c r="I62" s="2105">
        <v>45992</v>
      </c>
      <c r="J62" s="2089" t="s">
        <v>41</v>
      </c>
      <c r="K62" s="1989" t="s">
        <v>41</v>
      </c>
      <c r="L62" s="2016">
        <v>0.4</v>
      </c>
      <c r="M62" s="2017">
        <v>0.4</v>
      </c>
      <c r="N62" s="2032" t="s">
        <v>41</v>
      </c>
      <c r="O62" s="2053" t="s">
        <v>41</v>
      </c>
      <c r="P62" s="2054" t="s">
        <v>41</v>
      </c>
      <c r="Q62" s="1914" t="s">
        <v>41</v>
      </c>
      <c r="R62" s="1915" t="s">
        <v>41</v>
      </c>
    </row>
    <row r="63" spans="1:18" ht="34.35" customHeight="1">
      <c r="A63" s="1942" t="s">
        <v>12</v>
      </c>
      <c r="B63" s="1965" t="s">
        <v>487</v>
      </c>
      <c r="C63" s="1981">
        <v>6</v>
      </c>
      <c r="D63" s="1973" t="s">
        <v>41</v>
      </c>
      <c r="E63" s="1911" t="s">
        <v>38</v>
      </c>
      <c r="F63" s="1912" t="s">
        <v>134</v>
      </c>
      <c r="G63" s="1913" t="s">
        <v>40</v>
      </c>
      <c r="H63" s="2081"/>
      <c r="I63" s="2105">
        <v>45992</v>
      </c>
      <c r="J63" s="2089" t="s">
        <v>41</v>
      </c>
      <c r="K63" s="1989" t="s">
        <v>41</v>
      </c>
      <c r="L63" s="2004" t="s">
        <v>41</v>
      </c>
      <c r="M63" s="2005" t="s">
        <v>41</v>
      </c>
      <c r="N63" s="2032" t="s">
        <v>41</v>
      </c>
      <c r="O63" s="2053" t="s">
        <v>41</v>
      </c>
      <c r="P63" s="2054" t="s">
        <v>41</v>
      </c>
      <c r="Q63" s="1914" t="s">
        <v>41</v>
      </c>
      <c r="R63" s="1915" t="s">
        <v>41</v>
      </c>
    </row>
    <row r="64" spans="1:18" ht="34.35" customHeight="1">
      <c r="A64" s="1942" t="s">
        <v>12</v>
      </c>
      <c r="B64" s="1966" t="s">
        <v>488</v>
      </c>
      <c r="C64" s="1982">
        <v>7</v>
      </c>
      <c r="D64" s="1974" t="s">
        <v>41</v>
      </c>
      <c r="E64" s="1944" t="s">
        <v>38</v>
      </c>
      <c r="F64" s="1945" t="s">
        <v>489</v>
      </c>
      <c r="G64" s="1946" t="s">
        <v>40</v>
      </c>
      <c r="H64" s="2082">
        <v>3.2</v>
      </c>
      <c r="I64" s="2106">
        <v>45992</v>
      </c>
      <c r="J64" s="2090" t="s">
        <v>41</v>
      </c>
      <c r="K64" s="1990" t="s">
        <v>41</v>
      </c>
      <c r="L64" s="2024" t="s">
        <v>41</v>
      </c>
      <c r="M64" s="2025" t="s">
        <v>41</v>
      </c>
      <c r="N64" s="2034" t="s">
        <v>41</v>
      </c>
      <c r="O64" s="2057" t="s">
        <v>41</v>
      </c>
      <c r="P64" s="2058" t="s">
        <v>41</v>
      </c>
      <c r="Q64" s="1949" t="s">
        <v>41</v>
      </c>
      <c r="R64" s="1950" t="s">
        <v>41</v>
      </c>
    </row>
    <row r="65" spans="1:18" ht="34.35" customHeight="1">
      <c r="A65" s="1953" t="s">
        <v>12</v>
      </c>
      <c r="B65" s="1967" t="s">
        <v>467</v>
      </c>
      <c r="C65" s="1983">
        <v>1</v>
      </c>
      <c r="D65" s="1975" t="s">
        <v>468</v>
      </c>
      <c r="E65" s="1954" t="s">
        <v>469</v>
      </c>
      <c r="F65" s="1955" t="s">
        <v>470</v>
      </c>
      <c r="G65" s="1956" t="s">
        <v>40</v>
      </c>
      <c r="H65" s="2083" t="s">
        <v>471</v>
      </c>
      <c r="I65" s="2107">
        <v>46023</v>
      </c>
      <c r="J65" s="2093" t="s">
        <v>41</v>
      </c>
      <c r="K65" s="1991" t="s">
        <v>41</v>
      </c>
      <c r="L65" s="2014">
        <v>1</v>
      </c>
      <c r="M65" s="2015">
        <v>1</v>
      </c>
      <c r="N65" s="2035" t="s">
        <v>41</v>
      </c>
      <c r="O65" s="2059" t="s">
        <v>41</v>
      </c>
      <c r="P65" s="2060" t="s">
        <v>41</v>
      </c>
      <c r="Q65" s="1957" t="s">
        <v>41</v>
      </c>
      <c r="R65" s="1958" t="s">
        <v>41</v>
      </c>
    </row>
    <row r="66" spans="1:18" ht="34.35" customHeight="1">
      <c r="A66" s="1942" t="s">
        <v>12</v>
      </c>
      <c r="B66" s="1963" t="s">
        <v>467</v>
      </c>
      <c r="C66" s="1981">
        <v>2</v>
      </c>
      <c r="D66" s="1973" t="s">
        <v>472</v>
      </c>
      <c r="E66" s="1911" t="s">
        <v>473</v>
      </c>
      <c r="F66" s="1912" t="s">
        <v>470</v>
      </c>
      <c r="G66" s="1913" t="s">
        <v>40</v>
      </c>
      <c r="H66" s="2078" t="s">
        <v>474</v>
      </c>
      <c r="I66" s="2105">
        <v>46023</v>
      </c>
      <c r="J66" s="2089" t="s">
        <v>41</v>
      </c>
      <c r="K66" s="1989" t="s">
        <v>41</v>
      </c>
      <c r="L66" s="2016">
        <v>1</v>
      </c>
      <c r="M66" s="2017">
        <v>1</v>
      </c>
      <c r="N66" s="2032" t="s">
        <v>41</v>
      </c>
      <c r="O66" s="2053" t="s">
        <v>41</v>
      </c>
      <c r="P66" s="2054" t="s">
        <v>41</v>
      </c>
      <c r="Q66" s="1914" t="s">
        <v>41</v>
      </c>
      <c r="R66" s="1915" t="s">
        <v>41</v>
      </c>
    </row>
    <row r="67" spans="1:18" ht="34.35" customHeight="1">
      <c r="A67" s="1942" t="s">
        <v>12</v>
      </c>
      <c r="B67" s="1963" t="s">
        <v>467</v>
      </c>
      <c r="C67" s="1981">
        <v>3</v>
      </c>
      <c r="D67" s="1973" t="s">
        <v>475</v>
      </c>
      <c r="E67" s="1916" t="s">
        <v>476</v>
      </c>
      <c r="F67" s="1912" t="s">
        <v>470</v>
      </c>
      <c r="G67" s="1913" t="s">
        <v>477</v>
      </c>
      <c r="H67" s="2080" t="s">
        <v>478</v>
      </c>
      <c r="I67" s="2105">
        <v>46023</v>
      </c>
      <c r="J67" s="2089" t="s">
        <v>41</v>
      </c>
      <c r="K67" s="1989" t="s">
        <v>41</v>
      </c>
      <c r="L67" s="2018">
        <v>12</v>
      </c>
      <c r="M67" s="2019">
        <v>12</v>
      </c>
      <c r="N67" s="2032" t="s">
        <v>41</v>
      </c>
      <c r="O67" s="2053" t="s">
        <v>41</v>
      </c>
      <c r="P67" s="2054" t="s">
        <v>41</v>
      </c>
      <c r="Q67" s="1914" t="s">
        <v>41</v>
      </c>
      <c r="R67" s="1915" t="s">
        <v>41</v>
      </c>
    </row>
    <row r="68" spans="1:18" ht="34.35" customHeight="1">
      <c r="A68" s="1942" t="s">
        <v>12</v>
      </c>
      <c r="B68" s="1963" t="s">
        <v>467</v>
      </c>
      <c r="C68" s="1981">
        <v>4</v>
      </c>
      <c r="D68" s="1973" t="s">
        <v>481</v>
      </c>
      <c r="E68" s="1911" t="s">
        <v>482</v>
      </c>
      <c r="F68" s="1912" t="s">
        <v>470</v>
      </c>
      <c r="G68" s="1913" t="s">
        <v>40</v>
      </c>
      <c r="H68" s="2078" t="s">
        <v>483</v>
      </c>
      <c r="I68" s="2105">
        <v>46023</v>
      </c>
      <c r="J68" s="2089" t="s">
        <v>41</v>
      </c>
      <c r="K68" s="1989" t="s">
        <v>41</v>
      </c>
      <c r="L68" s="2016">
        <v>0.4</v>
      </c>
      <c r="M68" s="2017">
        <v>0.4</v>
      </c>
      <c r="N68" s="2032" t="s">
        <v>41</v>
      </c>
      <c r="O68" s="2053" t="s">
        <v>41</v>
      </c>
      <c r="P68" s="2054" t="s">
        <v>41</v>
      </c>
      <c r="Q68" s="1914" t="s">
        <v>41</v>
      </c>
      <c r="R68" s="1915" t="s">
        <v>41</v>
      </c>
    </row>
    <row r="69" spans="1:18" ht="34.35" customHeight="1">
      <c r="A69" s="1942" t="s">
        <v>12</v>
      </c>
      <c r="B69" s="1964" t="s">
        <v>467</v>
      </c>
      <c r="C69" s="1981">
        <v>5</v>
      </c>
      <c r="D69" s="1973" t="s">
        <v>484</v>
      </c>
      <c r="E69" s="1911" t="s">
        <v>485</v>
      </c>
      <c r="F69" s="1912" t="s">
        <v>470</v>
      </c>
      <c r="G69" s="1913" t="s">
        <v>40</v>
      </c>
      <c r="H69" s="2078" t="s">
        <v>486</v>
      </c>
      <c r="I69" s="2105">
        <v>46023</v>
      </c>
      <c r="J69" s="2092" t="s">
        <v>41</v>
      </c>
      <c r="K69" s="1989" t="s">
        <v>41</v>
      </c>
      <c r="L69" s="2016">
        <v>0.4</v>
      </c>
      <c r="M69" s="2017">
        <v>0.4</v>
      </c>
      <c r="N69" s="2032" t="s">
        <v>41</v>
      </c>
      <c r="O69" s="2053" t="s">
        <v>41</v>
      </c>
      <c r="P69" s="2054" t="s">
        <v>41</v>
      </c>
      <c r="Q69" s="1914" t="s">
        <v>41</v>
      </c>
      <c r="R69" s="1915" t="s">
        <v>41</v>
      </c>
    </row>
    <row r="70" spans="1:18" ht="34.35" customHeight="1">
      <c r="A70" s="1942" t="s">
        <v>12</v>
      </c>
      <c r="B70" s="1965" t="s">
        <v>487</v>
      </c>
      <c r="C70" s="1981">
        <v>6</v>
      </c>
      <c r="D70" s="1973" t="s">
        <v>41</v>
      </c>
      <c r="E70" s="1911" t="s">
        <v>38</v>
      </c>
      <c r="F70" s="1912" t="s">
        <v>134</v>
      </c>
      <c r="G70" s="1913" t="s">
        <v>40</v>
      </c>
      <c r="H70" s="2081"/>
      <c r="I70" s="2105">
        <v>46023</v>
      </c>
      <c r="J70" s="2089" t="s">
        <v>41</v>
      </c>
      <c r="K70" s="1989" t="s">
        <v>41</v>
      </c>
      <c r="L70" s="2004" t="s">
        <v>41</v>
      </c>
      <c r="M70" s="2005" t="s">
        <v>41</v>
      </c>
      <c r="N70" s="2032" t="s">
        <v>41</v>
      </c>
      <c r="O70" s="2053" t="s">
        <v>41</v>
      </c>
      <c r="P70" s="2054" t="s">
        <v>41</v>
      </c>
      <c r="Q70" s="1914" t="s">
        <v>41</v>
      </c>
      <c r="R70" s="1915" t="s">
        <v>41</v>
      </c>
    </row>
    <row r="71" spans="1:18" ht="34.35" customHeight="1">
      <c r="A71" s="1943" t="s">
        <v>12</v>
      </c>
      <c r="B71" s="1968" t="s">
        <v>488</v>
      </c>
      <c r="C71" s="1984">
        <v>7</v>
      </c>
      <c r="D71" s="1976" t="s">
        <v>41</v>
      </c>
      <c r="E71" s="1936" t="s">
        <v>38</v>
      </c>
      <c r="F71" s="1937" t="s">
        <v>489</v>
      </c>
      <c r="G71" s="1938" t="s">
        <v>40</v>
      </c>
      <c r="H71" s="2084">
        <v>3.2</v>
      </c>
      <c r="I71" s="2108">
        <v>46023</v>
      </c>
      <c r="J71" s="2096" t="s">
        <v>41</v>
      </c>
      <c r="K71" s="1992" t="s">
        <v>41</v>
      </c>
      <c r="L71" s="2020" t="s">
        <v>41</v>
      </c>
      <c r="M71" s="2021" t="s">
        <v>41</v>
      </c>
      <c r="N71" s="2036" t="s">
        <v>41</v>
      </c>
      <c r="O71" s="2061" t="s">
        <v>41</v>
      </c>
      <c r="P71" s="2062" t="s">
        <v>41</v>
      </c>
      <c r="Q71" s="1939" t="s">
        <v>41</v>
      </c>
      <c r="R71" s="1940" t="s">
        <v>41</v>
      </c>
    </row>
    <row r="72" spans="1:18" ht="34.35" customHeight="1">
      <c r="A72" s="1951" t="s">
        <v>12</v>
      </c>
      <c r="B72" s="1969" t="s">
        <v>467</v>
      </c>
      <c r="C72" s="1985">
        <v>1</v>
      </c>
      <c r="D72" s="1977" t="s">
        <v>468</v>
      </c>
      <c r="E72" s="1931" t="s">
        <v>469</v>
      </c>
      <c r="F72" s="1932" t="s">
        <v>470</v>
      </c>
      <c r="G72" s="1933" t="s">
        <v>40</v>
      </c>
      <c r="H72" s="2085" t="s">
        <v>471</v>
      </c>
      <c r="I72" s="2109">
        <v>46054</v>
      </c>
      <c r="J72" s="2095" t="s">
        <v>41</v>
      </c>
      <c r="K72" s="1993" t="s">
        <v>41</v>
      </c>
      <c r="L72" s="2022">
        <v>1</v>
      </c>
      <c r="M72" s="2023">
        <v>1</v>
      </c>
      <c r="N72" s="2037" t="s">
        <v>41</v>
      </c>
      <c r="O72" s="2063" t="s">
        <v>41</v>
      </c>
      <c r="P72" s="2064" t="s">
        <v>41</v>
      </c>
      <c r="Q72" s="1934" t="s">
        <v>41</v>
      </c>
      <c r="R72" s="1935" t="s">
        <v>41</v>
      </c>
    </row>
    <row r="73" spans="1:18" ht="34.35" customHeight="1">
      <c r="A73" s="1942" t="s">
        <v>12</v>
      </c>
      <c r="B73" s="1963" t="s">
        <v>467</v>
      </c>
      <c r="C73" s="1981">
        <v>2</v>
      </c>
      <c r="D73" s="1973" t="s">
        <v>472</v>
      </c>
      <c r="E73" s="1911" t="s">
        <v>473</v>
      </c>
      <c r="F73" s="1912" t="s">
        <v>470</v>
      </c>
      <c r="G73" s="1913" t="s">
        <v>40</v>
      </c>
      <c r="H73" s="2078" t="s">
        <v>474</v>
      </c>
      <c r="I73" s="2105">
        <v>46054</v>
      </c>
      <c r="J73" s="2089" t="s">
        <v>41</v>
      </c>
      <c r="K73" s="1989" t="s">
        <v>41</v>
      </c>
      <c r="L73" s="2016">
        <v>1</v>
      </c>
      <c r="M73" s="2017">
        <v>1</v>
      </c>
      <c r="N73" s="2032" t="s">
        <v>41</v>
      </c>
      <c r="O73" s="2053" t="s">
        <v>41</v>
      </c>
      <c r="P73" s="2054" t="s">
        <v>41</v>
      </c>
      <c r="Q73" s="1914" t="s">
        <v>41</v>
      </c>
      <c r="R73" s="1915" t="s">
        <v>41</v>
      </c>
    </row>
    <row r="74" spans="1:18" ht="34.35" customHeight="1">
      <c r="A74" s="1942" t="s">
        <v>12</v>
      </c>
      <c r="B74" s="1963" t="s">
        <v>467</v>
      </c>
      <c r="C74" s="1981">
        <v>3</v>
      </c>
      <c r="D74" s="1973" t="s">
        <v>475</v>
      </c>
      <c r="E74" s="1916" t="s">
        <v>476</v>
      </c>
      <c r="F74" s="1912" t="s">
        <v>470</v>
      </c>
      <c r="G74" s="1913" t="s">
        <v>477</v>
      </c>
      <c r="H74" s="2080" t="s">
        <v>478</v>
      </c>
      <c r="I74" s="2105">
        <v>46054</v>
      </c>
      <c r="J74" s="2089" t="s">
        <v>41</v>
      </c>
      <c r="K74" s="1989" t="s">
        <v>41</v>
      </c>
      <c r="L74" s="2018">
        <v>12</v>
      </c>
      <c r="M74" s="2019">
        <v>12</v>
      </c>
      <c r="N74" s="2032" t="s">
        <v>41</v>
      </c>
      <c r="O74" s="2053" t="s">
        <v>41</v>
      </c>
      <c r="P74" s="2054" t="s">
        <v>41</v>
      </c>
      <c r="Q74" s="1914" t="s">
        <v>41</v>
      </c>
      <c r="R74" s="1915" t="s">
        <v>41</v>
      </c>
    </row>
    <row r="75" spans="1:18" ht="34.35" customHeight="1">
      <c r="A75" s="1942" t="s">
        <v>12</v>
      </c>
      <c r="B75" s="1963" t="s">
        <v>467</v>
      </c>
      <c r="C75" s="1981">
        <v>4</v>
      </c>
      <c r="D75" s="1973" t="s">
        <v>481</v>
      </c>
      <c r="E75" s="1911" t="s">
        <v>482</v>
      </c>
      <c r="F75" s="1912" t="s">
        <v>470</v>
      </c>
      <c r="G75" s="1913" t="s">
        <v>40</v>
      </c>
      <c r="H75" s="2078" t="s">
        <v>483</v>
      </c>
      <c r="I75" s="2105">
        <v>46054</v>
      </c>
      <c r="J75" s="2089" t="s">
        <v>41</v>
      </c>
      <c r="K75" s="1989" t="s">
        <v>41</v>
      </c>
      <c r="L75" s="2016">
        <v>0.4</v>
      </c>
      <c r="M75" s="2017">
        <v>0.4</v>
      </c>
      <c r="N75" s="2032" t="s">
        <v>41</v>
      </c>
      <c r="O75" s="2053" t="s">
        <v>41</v>
      </c>
      <c r="P75" s="2054" t="s">
        <v>41</v>
      </c>
      <c r="Q75" s="1914" t="s">
        <v>41</v>
      </c>
      <c r="R75" s="1915" t="s">
        <v>41</v>
      </c>
    </row>
    <row r="76" spans="1:18" ht="34.35" customHeight="1">
      <c r="A76" s="1942" t="s">
        <v>12</v>
      </c>
      <c r="B76" s="1964" t="s">
        <v>467</v>
      </c>
      <c r="C76" s="1981">
        <v>5</v>
      </c>
      <c r="D76" s="1973" t="s">
        <v>484</v>
      </c>
      <c r="E76" s="1911" t="s">
        <v>485</v>
      </c>
      <c r="F76" s="1912" t="s">
        <v>470</v>
      </c>
      <c r="G76" s="1913" t="s">
        <v>40</v>
      </c>
      <c r="H76" s="2078" t="s">
        <v>486</v>
      </c>
      <c r="I76" s="2105">
        <v>46054</v>
      </c>
      <c r="J76" s="2089" t="s">
        <v>41</v>
      </c>
      <c r="K76" s="1989" t="s">
        <v>41</v>
      </c>
      <c r="L76" s="2016">
        <v>0.4</v>
      </c>
      <c r="M76" s="2017">
        <v>0.4</v>
      </c>
      <c r="N76" s="2032" t="s">
        <v>41</v>
      </c>
      <c r="O76" s="2053" t="s">
        <v>41</v>
      </c>
      <c r="P76" s="2054" t="s">
        <v>41</v>
      </c>
      <c r="Q76" s="1914" t="s">
        <v>41</v>
      </c>
      <c r="R76" s="1915" t="s">
        <v>41</v>
      </c>
    </row>
    <row r="77" spans="1:18" ht="34.35" customHeight="1">
      <c r="A77" s="1942" t="s">
        <v>12</v>
      </c>
      <c r="B77" s="1965" t="s">
        <v>487</v>
      </c>
      <c r="C77" s="1981">
        <v>6</v>
      </c>
      <c r="D77" s="1973" t="s">
        <v>41</v>
      </c>
      <c r="E77" s="1911" t="s">
        <v>38</v>
      </c>
      <c r="F77" s="1912" t="s">
        <v>134</v>
      </c>
      <c r="G77" s="1913" t="s">
        <v>40</v>
      </c>
      <c r="H77" s="2081"/>
      <c r="I77" s="2105">
        <v>46054</v>
      </c>
      <c r="J77" s="2089" t="s">
        <v>41</v>
      </c>
      <c r="K77" s="1989" t="s">
        <v>41</v>
      </c>
      <c r="L77" s="2004" t="s">
        <v>41</v>
      </c>
      <c r="M77" s="2005" t="s">
        <v>41</v>
      </c>
      <c r="N77" s="2032" t="s">
        <v>41</v>
      </c>
      <c r="O77" s="2053" t="s">
        <v>41</v>
      </c>
      <c r="P77" s="2054" t="s">
        <v>41</v>
      </c>
      <c r="Q77" s="1914" t="s">
        <v>41</v>
      </c>
      <c r="R77" s="1915" t="s">
        <v>41</v>
      </c>
    </row>
    <row r="78" spans="1:18" ht="34.35" customHeight="1">
      <c r="A78" s="1942" t="s">
        <v>12</v>
      </c>
      <c r="B78" s="1966" t="s">
        <v>488</v>
      </c>
      <c r="C78" s="1982">
        <v>7</v>
      </c>
      <c r="D78" s="1974" t="s">
        <v>41</v>
      </c>
      <c r="E78" s="1944" t="s">
        <v>38</v>
      </c>
      <c r="F78" s="1945" t="s">
        <v>489</v>
      </c>
      <c r="G78" s="1946" t="s">
        <v>40</v>
      </c>
      <c r="H78" s="2082">
        <v>3.2</v>
      </c>
      <c r="I78" s="2106">
        <v>46054</v>
      </c>
      <c r="J78" s="2101" t="s">
        <v>41</v>
      </c>
      <c r="K78" s="1990" t="s">
        <v>41</v>
      </c>
      <c r="L78" s="2024" t="s">
        <v>41</v>
      </c>
      <c r="M78" s="2025" t="s">
        <v>41</v>
      </c>
      <c r="N78" s="2034" t="s">
        <v>41</v>
      </c>
      <c r="O78" s="2057" t="s">
        <v>41</v>
      </c>
      <c r="P78" s="2058" t="s">
        <v>41</v>
      </c>
      <c r="Q78" s="1949" t="s">
        <v>41</v>
      </c>
      <c r="R78" s="1950" t="s">
        <v>41</v>
      </c>
    </row>
    <row r="79" spans="1:18" ht="34.35" customHeight="1">
      <c r="A79" s="1953" t="s">
        <v>12</v>
      </c>
      <c r="B79" s="1967" t="s">
        <v>467</v>
      </c>
      <c r="C79" s="1983">
        <v>1</v>
      </c>
      <c r="D79" s="1975" t="s">
        <v>468</v>
      </c>
      <c r="E79" s="1954" t="s">
        <v>469</v>
      </c>
      <c r="F79" s="1955" t="s">
        <v>470</v>
      </c>
      <c r="G79" s="1956" t="s">
        <v>40</v>
      </c>
      <c r="H79" s="2083" t="s">
        <v>471</v>
      </c>
      <c r="I79" s="2107">
        <v>46082</v>
      </c>
      <c r="J79" s="2093" t="s">
        <v>41</v>
      </c>
      <c r="K79" s="1991" t="s">
        <v>41</v>
      </c>
      <c r="L79" s="2008" t="s">
        <v>41</v>
      </c>
      <c r="M79" s="2009" t="s">
        <v>41</v>
      </c>
      <c r="N79" s="2035" t="s">
        <v>41</v>
      </c>
      <c r="O79" s="2059" t="s">
        <v>41</v>
      </c>
      <c r="P79" s="2060" t="s">
        <v>41</v>
      </c>
      <c r="Q79" s="1957" t="s">
        <v>41</v>
      </c>
      <c r="R79" s="1958" t="s">
        <v>41</v>
      </c>
    </row>
    <row r="80" spans="1:18" ht="34.35" customHeight="1">
      <c r="A80" s="1942" t="s">
        <v>12</v>
      </c>
      <c r="B80" s="1963" t="s">
        <v>467</v>
      </c>
      <c r="C80" s="1981">
        <v>2</v>
      </c>
      <c r="D80" s="1973" t="s">
        <v>472</v>
      </c>
      <c r="E80" s="1911" t="s">
        <v>473</v>
      </c>
      <c r="F80" s="1912" t="s">
        <v>470</v>
      </c>
      <c r="G80" s="1913" t="s">
        <v>40</v>
      </c>
      <c r="H80" s="2078" t="s">
        <v>474</v>
      </c>
      <c r="I80" s="2105">
        <v>46082</v>
      </c>
      <c r="J80" s="2089" t="s">
        <v>41</v>
      </c>
      <c r="K80" s="1989" t="s">
        <v>41</v>
      </c>
      <c r="L80" s="2002" t="s">
        <v>41</v>
      </c>
      <c r="M80" s="2003" t="s">
        <v>41</v>
      </c>
      <c r="N80" s="2032" t="s">
        <v>41</v>
      </c>
      <c r="O80" s="2053" t="s">
        <v>41</v>
      </c>
      <c r="P80" s="2054" t="s">
        <v>41</v>
      </c>
      <c r="Q80" s="1914" t="s">
        <v>41</v>
      </c>
      <c r="R80" s="1915" t="s">
        <v>41</v>
      </c>
    </row>
    <row r="81" spans="1:18" ht="52.35" customHeight="1">
      <c r="A81" s="1942" t="s">
        <v>12</v>
      </c>
      <c r="B81" s="1963" t="s">
        <v>467</v>
      </c>
      <c r="C81" s="1981">
        <v>3</v>
      </c>
      <c r="D81" s="1973" t="s">
        <v>475</v>
      </c>
      <c r="E81" s="1916" t="s">
        <v>476</v>
      </c>
      <c r="F81" s="1912" t="s">
        <v>470</v>
      </c>
      <c r="G81" s="1913" t="s">
        <v>477</v>
      </c>
      <c r="H81" s="2080" t="s">
        <v>478</v>
      </c>
      <c r="I81" s="2105">
        <v>46082</v>
      </c>
      <c r="J81" s="2089" t="s">
        <v>41</v>
      </c>
      <c r="K81" s="1989" t="s">
        <v>41</v>
      </c>
      <c r="L81" s="2002" t="s">
        <v>41</v>
      </c>
      <c r="M81" s="2003" t="s">
        <v>41</v>
      </c>
      <c r="N81" s="2032" t="s">
        <v>41</v>
      </c>
      <c r="O81" s="2053" t="s">
        <v>41</v>
      </c>
      <c r="P81" s="2054" t="s">
        <v>41</v>
      </c>
      <c r="Q81" s="1914" t="s">
        <v>41</v>
      </c>
      <c r="R81" s="1915" t="s">
        <v>41</v>
      </c>
    </row>
    <row r="82" spans="1:18" ht="34.35" customHeight="1">
      <c r="A82" s="1942" t="s">
        <v>12</v>
      </c>
      <c r="B82" s="1963" t="s">
        <v>467</v>
      </c>
      <c r="C82" s="1981">
        <v>4</v>
      </c>
      <c r="D82" s="1973" t="s">
        <v>481</v>
      </c>
      <c r="E82" s="1911" t="s">
        <v>482</v>
      </c>
      <c r="F82" s="1912" t="s">
        <v>470</v>
      </c>
      <c r="G82" s="1913" t="s">
        <v>40</v>
      </c>
      <c r="H82" s="2078" t="s">
        <v>483</v>
      </c>
      <c r="I82" s="2105">
        <v>46082</v>
      </c>
      <c r="J82" s="2089" t="s">
        <v>41</v>
      </c>
      <c r="K82" s="1989" t="s">
        <v>41</v>
      </c>
      <c r="L82" s="2002" t="s">
        <v>41</v>
      </c>
      <c r="M82" s="2003" t="s">
        <v>41</v>
      </c>
      <c r="N82" s="2032" t="s">
        <v>41</v>
      </c>
      <c r="O82" s="2053" t="s">
        <v>41</v>
      </c>
      <c r="P82" s="2054" t="s">
        <v>41</v>
      </c>
      <c r="Q82" s="1914" t="s">
        <v>41</v>
      </c>
      <c r="R82" s="1915" t="s">
        <v>41</v>
      </c>
    </row>
    <row r="83" spans="1:18" ht="34.35" customHeight="1">
      <c r="A83" s="1942" t="s">
        <v>12</v>
      </c>
      <c r="B83" s="1964" t="s">
        <v>467</v>
      </c>
      <c r="C83" s="1981">
        <v>5</v>
      </c>
      <c r="D83" s="1973" t="s">
        <v>484</v>
      </c>
      <c r="E83" s="1911" t="s">
        <v>485</v>
      </c>
      <c r="F83" s="1912" t="s">
        <v>470</v>
      </c>
      <c r="G83" s="1913" t="s">
        <v>40</v>
      </c>
      <c r="H83" s="2078" t="s">
        <v>486</v>
      </c>
      <c r="I83" s="2105">
        <v>46082</v>
      </c>
      <c r="J83" s="2089" t="s">
        <v>41</v>
      </c>
      <c r="K83" s="1989" t="s">
        <v>41</v>
      </c>
      <c r="L83" s="2002" t="s">
        <v>41</v>
      </c>
      <c r="M83" s="2003" t="s">
        <v>41</v>
      </c>
      <c r="N83" s="2032" t="s">
        <v>41</v>
      </c>
      <c r="O83" s="2053" t="s">
        <v>41</v>
      </c>
      <c r="P83" s="2054" t="s">
        <v>41</v>
      </c>
      <c r="Q83" s="1914" t="s">
        <v>41</v>
      </c>
      <c r="R83" s="1915" t="s">
        <v>41</v>
      </c>
    </row>
    <row r="84" spans="1:18" ht="34.35" customHeight="1">
      <c r="A84" s="1942" t="s">
        <v>12</v>
      </c>
      <c r="B84" s="1965" t="s">
        <v>487</v>
      </c>
      <c r="C84" s="1981">
        <v>6</v>
      </c>
      <c r="D84" s="1973" t="s">
        <v>41</v>
      </c>
      <c r="E84" s="1911" t="s">
        <v>38</v>
      </c>
      <c r="F84" s="1912" t="s">
        <v>134</v>
      </c>
      <c r="G84" s="1913" t="s">
        <v>40</v>
      </c>
      <c r="H84" s="2081"/>
      <c r="I84" s="2105">
        <v>46082</v>
      </c>
      <c r="J84" s="2089" t="s">
        <v>41</v>
      </c>
      <c r="K84" s="1989" t="s">
        <v>41</v>
      </c>
      <c r="L84" s="2002" t="s">
        <v>41</v>
      </c>
      <c r="M84" s="2003" t="s">
        <v>41</v>
      </c>
      <c r="N84" s="2032" t="s">
        <v>41</v>
      </c>
      <c r="O84" s="2053" t="s">
        <v>41</v>
      </c>
      <c r="P84" s="2054" t="s">
        <v>41</v>
      </c>
      <c r="Q84" s="1914" t="s">
        <v>41</v>
      </c>
      <c r="R84" s="1915" t="s">
        <v>41</v>
      </c>
    </row>
    <row r="85" spans="1:18" ht="34.35" customHeight="1">
      <c r="A85" s="1943" t="s">
        <v>12</v>
      </c>
      <c r="B85" s="1968" t="s">
        <v>488</v>
      </c>
      <c r="C85" s="1984">
        <v>7</v>
      </c>
      <c r="D85" s="1976" t="s">
        <v>41</v>
      </c>
      <c r="E85" s="1936" t="s">
        <v>38</v>
      </c>
      <c r="F85" s="1937" t="s">
        <v>489</v>
      </c>
      <c r="G85" s="1938" t="s">
        <v>40</v>
      </c>
      <c r="H85" s="2084">
        <v>3.2</v>
      </c>
      <c r="I85" s="2108">
        <v>46082</v>
      </c>
      <c r="J85" s="2096" t="s">
        <v>41</v>
      </c>
      <c r="K85" s="1992" t="s">
        <v>41</v>
      </c>
      <c r="L85" s="2010" t="s">
        <v>41</v>
      </c>
      <c r="M85" s="2011" t="s">
        <v>41</v>
      </c>
      <c r="N85" s="2036" t="s">
        <v>41</v>
      </c>
      <c r="O85" s="2061" t="s">
        <v>41</v>
      </c>
      <c r="P85" s="2062" t="s">
        <v>41</v>
      </c>
      <c r="Q85" s="1939" t="s">
        <v>41</v>
      </c>
      <c r="R85" s="1940" t="s">
        <v>41</v>
      </c>
    </row>
    <row r="86" spans="1:18" ht="34.35" customHeight="1">
      <c r="A86" s="1951" t="s">
        <v>12</v>
      </c>
      <c r="B86" s="1969" t="s">
        <v>467</v>
      </c>
      <c r="C86" s="1985">
        <v>1</v>
      </c>
      <c r="D86" s="1977" t="s">
        <v>468</v>
      </c>
      <c r="E86" s="1931" t="s">
        <v>469</v>
      </c>
      <c r="F86" s="1932" t="s">
        <v>470</v>
      </c>
      <c r="G86" s="1933" t="s">
        <v>40</v>
      </c>
      <c r="H86" s="2085" t="s">
        <v>471</v>
      </c>
      <c r="I86" s="2109">
        <v>46082</v>
      </c>
      <c r="J86" s="2095">
        <v>1</v>
      </c>
      <c r="K86" s="1993"/>
      <c r="L86" s="2026"/>
      <c r="M86" s="2027"/>
      <c r="N86" s="2040"/>
      <c r="O86" s="2070"/>
      <c r="P86" s="2071"/>
      <c r="Q86" s="2047"/>
      <c r="R86" s="1952"/>
    </row>
    <row r="87" spans="1:18" ht="34.35" customHeight="1">
      <c r="A87" s="1942" t="s">
        <v>12</v>
      </c>
      <c r="B87" s="1963" t="s">
        <v>467</v>
      </c>
      <c r="C87" s="1981">
        <v>2</v>
      </c>
      <c r="D87" s="1973" t="s">
        <v>472</v>
      </c>
      <c r="E87" s="1911" t="s">
        <v>473</v>
      </c>
      <c r="F87" s="1912" t="s">
        <v>470</v>
      </c>
      <c r="G87" s="1913" t="s">
        <v>40</v>
      </c>
      <c r="H87" s="2078" t="s">
        <v>474</v>
      </c>
      <c r="I87" s="2105">
        <v>46082</v>
      </c>
      <c r="J87" s="2092">
        <v>1</v>
      </c>
      <c r="K87" s="1989"/>
      <c r="L87" s="2004"/>
      <c r="M87" s="2005"/>
      <c r="N87" s="2033"/>
      <c r="O87" s="2055"/>
      <c r="P87" s="2056"/>
      <c r="Q87" s="2044"/>
      <c r="R87" s="1917"/>
    </row>
    <row r="88" spans="1:18" ht="64.349999999999994" customHeight="1">
      <c r="A88" s="1942" t="s">
        <v>12</v>
      </c>
      <c r="B88" s="1963" t="s">
        <v>467</v>
      </c>
      <c r="C88" s="1981">
        <v>3</v>
      </c>
      <c r="D88" s="1973" t="s">
        <v>475</v>
      </c>
      <c r="E88" s="1916" t="s">
        <v>476</v>
      </c>
      <c r="F88" s="1912" t="s">
        <v>470</v>
      </c>
      <c r="G88" s="1913" t="s">
        <v>477</v>
      </c>
      <c r="H88" s="2080" t="s">
        <v>478</v>
      </c>
      <c r="I88" s="2105">
        <v>46082</v>
      </c>
      <c r="J88" s="1918" t="s">
        <v>500</v>
      </c>
      <c r="K88" s="1989"/>
      <c r="L88" s="2004"/>
      <c r="M88" s="2005"/>
      <c r="N88" s="2033"/>
      <c r="O88" s="2055"/>
      <c r="P88" s="2056"/>
      <c r="Q88" s="2044"/>
      <c r="R88" s="1917"/>
    </row>
    <row r="89" spans="1:18" ht="34.35" customHeight="1">
      <c r="A89" s="1942" t="s">
        <v>12</v>
      </c>
      <c r="B89" s="1963" t="s">
        <v>467</v>
      </c>
      <c r="C89" s="1981">
        <v>4</v>
      </c>
      <c r="D89" s="1973" t="s">
        <v>481</v>
      </c>
      <c r="E89" s="1911" t="s">
        <v>482</v>
      </c>
      <c r="F89" s="1912" t="s">
        <v>470</v>
      </c>
      <c r="G89" s="1913" t="s">
        <v>40</v>
      </c>
      <c r="H89" s="2078" t="s">
        <v>483</v>
      </c>
      <c r="I89" s="2105">
        <v>46082</v>
      </c>
      <c r="J89" s="2089">
        <v>0.6</v>
      </c>
      <c r="K89" s="1989"/>
      <c r="L89" s="2004"/>
      <c r="M89" s="2005"/>
      <c r="N89" s="2033"/>
      <c r="O89" s="2055"/>
      <c r="P89" s="2056"/>
      <c r="Q89" s="2044"/>
      <c r="R89" s="1917"/>
    </row>
    <row r="90" spans="1:18" ht="34.35" customHeight="1">
      <c r="A90" s="1942" t="s">
        <v>12</v>
      </c>
      <c r="B90" s="1963" t="s">
        <v>467</v>
      </c>
      <c r="C90" s="1982">
        <v>5</v>
      </c>
      <c r="D90" s="1974" t="s">
        <v>484</v>
      </c>
      <c r="E90" s="1944" t="s">
        <v>485</v>
      </c>
      <c r="F90" s="1945" t="s">
        <v>470</v>
      </c>
      <c r="G90" s="1946" t="s">
        <v>40</v>
      </c>
      <c r="H90" s="2079" t="s">
        <v>486</v>
      </c>
      <c r="I90" s="2106">
        <v>46082</v>
      </c>
      <c r="J90" s="2090">
        <v>0.6</v>
      </c>
      <c r="K90" s="1990"/>
      <c r="L90" s="2024"/>
      <c r="M90" s="2025"/>
      <c r="N90" s="2041"/>
      <c r="O90" s="2072"/>
      <c r="P90" s="2073"/>
      <c r="Q90" s="2048"/>
      <c r="R90" s="1947"/>
    </row>
    <row r="91" spans="1:18" ht="34.35" customHeight="1">
      <c r="A91" s="1942" t="s">
        <v>12</v>
      </c>
      <c r="B91" s="1965" t="s">
        <v>487</v>
      </c>
      <c r="C91" s="1981">
        <v>6</v>
      </c>
      <c r="D91" s="1973" t="s">
        <v>41</v>
      </c>
      <c r="E91" s="1911" t="s">
        <v>38</v>
      </c>
      <c r="F91" s="1912" t="s">
        <v>134</v>
      </c>
      <c r="G91" s="1913" t="s">
        <v>40</v>
      </c>
      <c r="H91" s="2081"/>
      <c r="I91" s="2105">
        <v>46082</v>
      </c>
      <c r="J91" s="2089" t="s">
        <v>41</v>
      </c>
      <c r="K91" s="1989" t="s">
        <v>41</v>
      </c>
      <c r="L91" s="2002" t="s">
        <v>41</v>
      </c>
      <c r="M91" s="2003" t="s">
        <v>41</v>
      </c>
      <c r="N91" s="2032" t="s">
        <v>41</v>
      </c>
      <c r="O91" s="2053" t="s">
        <v>41</v>
      </c>
      <c r="P91" s="2054" t="s">
        <v>41</v>
      </c>
      <c r="Q91" s="1914" t="s">
        <v>41</v>
      </c>
      <c r="R91" s="1915" t="s">
        <v>41</v>
      </c>
    </row>
    <row r="92" spans="1:18" ht="34.35" customHeight="1">
      <c r="A92" s="1948" t="s">
        <v>12</v>
      </c>
      <c r="B92" s="1970" t="s">
        <v>488</v>
      </c>
      <c r="C92" s="1986">
        <v>7</v>
      </c>
      <c r="D92" s="1978" t="s">
        <v>41</v>
      </c>
      <c r="E92" s="1919" t="s">
        <v>38</v>
      </c>
      <c r="F92" s="1920" t="s">
        <v>489</v>
      </c>
      <c r="G92" s="1921" t="s">
        <v>40</v>
      </c>
      <c r="H92" s="2086">
        <v>3.2</v>
      </c>
      <c r="I92" s="2110">
        <v>46082</v>
      </c>
      <c r="J92" s="2102" t="s">
        <v>41</v>
      </c>
      <c r="K92" s="1997" t="s">
        <v>41</v>
      </c>
      <c r="L92" s="2028" t="s">
        <v>41</v>
      </c>
      <c r="M92" s="2029" t="s">
        <v>41</v>
      </c>
      <c r="N92" s="2042" t="s">
        <v>41</v>
      </c>
      <c r="O92" s="2074" t="s">
        <v>41</v>
      </c>
      <c r="P92" s="2075" t="s">
        <v>41</v>
      </c>
      <c r="Q92" s="1922" t="s">
        <v>41</v>
      </c>
      <c r="R92" s="1923" t="s">
        <v>41</v>
      </c>
    </row>
    <row r="93" spans="1:18" ht="34.35" customHeight="1">
      <c r="J93" s="1924"/>
    </row>
    <row r="94" spans="1:18" ht="34.35" customHeight="1">
      <c r="J94" s="1924"/>
    </row>
    <row r="95" spans="1:18" ht="34.35" customHeight="1">
      <c r="J95" s="1924"/>
    </row>
    <row r="97" spans="10:10" ht="34.35" customHeight="1">
      <c r="J97" s="1924"/>
    </row>
    <row r="98" spans="10:10" ht="34.35" customHeight="1">
      <c r="J98" s="1924"/>
    </row>
    <row r="99" spans="10:10" ht="34.35" customHeight="1">
      <c r="J99" s="1924"/>
    </row>
    <row r="100" spans="10:10" ht="34.35" customHeight="1">
      <c r="J100" s="1924"/>
    </row>
    <row r="101" spans="10:10" ht="34.35" customHeight="1">
      <c r="J101" s="1924"/>
    </row>
    <row r="102" spans="10:10" ht="34.35" customHeight="1">
      <c r="J102" s="1924"/>
    </row>
    <row r="103" spans="10:10" ht="34.35" customHeight="1">
      <c r="J103" s="1924"/>
    </row>
    <row r="104" spans="10:10" ht="34.35" customHeight="1">
      <c r="J104" s="1924"/>
    </row>
    <row r="106" spans="10:10" ht="34.35" customHeight="1">
      <c r="J106" s="1924"/>
    </row>
    <row r="107" spans="10:10" ht="34.35" customHeight="1">
      <c r="J107" s="1924"/>
    </row>
    <row r="108" spans="10:10" ht="34.35" customHeight="1">
      <c r="J108" s="1924"/>
    </row>
    <row r="109" spans="10:10" ht="34.35" customHeight="1">
      <c r="J109" s="1924"/>
    </row>
  </sheetData>
  <sheetProtection algorithmName="SHA-512" hashValue="58esZfsctXZdYt3qlWV67rtXaw9D1SJO6EhG2cm7Q6pNWdE6j8jVpdKO/heppfWO0Mq3N1NpfZlzgChxrR66Wg==" saltValue="/a+WuQWLKpBXLOFZtyReUg==" spinCount="100000" sheet="1" formatCells="0" formatColumns="0" formatRows="0" sort="0" autoFilter="0" pivotTables="0"/>
  <autoFilter ref="A1:M92" xr:uid="{C175ED8F-DA9F-46F6-9A5B-2EC514B6EAF7}"/>
  <conditionalFormatting sqref="B2:R8 C9:R36 B9:B92 C37:I50 L37:R50 C51:R92">
    <cfRule type="expression" dxfId="18" priority="3">
      <formula>MONTH($I2)=MONTH(TODAY()-29)</formula>
    </cfRule>
  </conditionalFormatting>
  <conditionalFormatting sqref="J37:K43">
    <cfRule type="expression" dxfId="17" priority="1">
      <formula>MONTH($I37)=MONTH(TODAY()-29)</formula>
    </cfRule>
    <cfRule type="expression" dxfId="16" priority="2">
      <formula>MONTH(#REF!)=MONTH(TODAY()-29)</formula>
    </cfRule>
  </conditionalFormatting>
  <conditionalFormatting sqref="J23:R24 C16:H24">
    <cfRule type="expression" dxfId="15" priority="13">
      <formula>MONTH(#REF!)=MONTH(TODAY()-29)</formula>
    </cfRule>
  </conditionalFormatting>
  <conditionalFormatting sqref="J25:R31">
    <cfRule type="expression" dxfId="14" priority="12">
      <formula>MONTH($I16)=MONTH(TODAY()-29)</formula>
    </cfRule>
  </conditionalFormatting>
  <conditionalFormatting sqref="J32:R36">
    <cfRule type="expression" dxfId="13" priority="22">
      <formula>MONTH(#REF!)=MONTH(TODAY()-29)</formula>
    </cfRule>
  </conditionalFormatting>
  <conditionalFormatting sqref="N1:N92">
    <cfRule type="expression" dxfId="12" priority="5">
      <formula>MONTH(I1)&lt;&gt;MONTH(TODAY())</formula>
    </cfRule>
  </conditionalFormatting>
  <pageMargins left="0.7" right="0.7" top="0.75" bottom="0.75" header="0.3" footer="0.3"/>
  <headerFooter>
    <oddHeader>&amp;C&amp;"Calibri"&amp;10&amp;KFF0000 CONFIDENTIAL&amp;1#_x000D_</oddHead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BED51-DDA8-4DB8-A2E7-87875F320D22}">
  <sheetPr codeName="Sheet11" filterMode="1"/>
  <dimension ref="A1:AH85"/>
  <sheetViews>
    <sheetView zoomScale="55" zoomScaleNormal="55" workbookViewId="0">
      <pane ySplit="1" topLeftCell="A2" activePane="bottomLeft" state="frozen"/>
      <selection activeCell="D69" sqref="D69"/>
      <selection pane="bottomLeft" activeCell="K5" sqref="K5"/>
    </sheetView>
  </sheetViews>
  <sheetFormatPr defaultColWidth="8.109375" defaultRowHeight="34.35" customHeight="1"/>
  <cols>
    <col min="1" max="1" width="14.109375" customWidth="1"/>
    <col min="2" max="2" width="33.109375" style="48" customWidth="1"/>
    <col min="3" max="3" width="3.109375" bestFit="1" customWidth="1"/>
    <col min="4" max="4" width="31.109375" style="49" customWidth="1"/>
    <col min="5" max="5" width="11.109375" style="50" customWidth="1"/>
    <col min="6" max="6" width="8.109375" customWidth="1"/>
    <col min="7" max="7" width="22.109375" customWidth="1"/>
    <col min="8" max="8" width="18.109375" style="51" customWidth="1"/>
    <col min="9" max="9" width="9.109375" customWidth="1"/>
    <col min="10" max="10" width="10.109375" style="875" customWidth="1"/>
    <col min="11" max="11" width="10" style="875" customWidth="1"/>
    <col min="12" max="14" width="8.109375" style="743"/>
    <col min="15" max="15" width="8.109375" style="743" customWidth="1"/>
    <col min="16" max="34" width="8.109375" style="743"/>
  </cols>
  <sheetData>
    <row r="1" spans="1:34" ht="48.6" customHeight="1">
      <c r="A1" s="33" t="s">
        <v>1</v>
      </c>
      <c r="B1" s="33" t="s">
        <v>19</v>
      </c>
      <c r="C1" s="33" t="s">
        <v>93</v>
      </c>
      <c r="D1" s="33" t="s">
        <v>21</v>
      </c>
      <c r="E1" s="34" t="s">
        <v>22</v>
      </c>
      <c r="F1" s="35" t="s">
        <v>23</v>
      </c>
      <c r="G1" s="35" t="s">
        <v>24</v>
      </c>
      <c r="H1" s="35" t="s">
        <v>25</v>
      </c>
      <c r="I1" s="35" t="s">
        <v>26</v>
      </c>
      <c r="J1" s="898" t="s">
        <v>94</v>
      </c>
      <c r="K1" s="899" t="s">
        <v>95</v>
      </c>
      <c r="L1" s="899" t="s">
        <v>96</v>
      </c>
      <c r="M1" s="899" t="s">
        <v>97</v>
      </c>
      <c r="N1" s="899" t="s">
        <v>98</v>
      </c>
      <c r="O1" s="899" t="s">
        <v>99</v>
      </c>
      <c r="P1" s="899" t="s">
        <v>100</v>
      </c>
      <c r="Q1" s="899" t="s">
        <v>101</v>
      </c>
      <c r="R1" s="899" t="s">
        <v>102</v>
      </c>
      <c r="S1" s="1462" t="s">
        <v>103</v>
      </c>
      <c r="T1" s="1463" t="s">
        <v>104</v>
      </c>
      <c r="U1" s="1464" t="s">
        <v>105</v>
      </c>
      <c r="V1" s="1465" t="s">
        <v>106</v>
      </c>
      <c r="W1" s="1463" t="s">
        <v>107</v>
      </c>
      <c r="X1" s="1466" t="s">
        <v>108</v>
      </c>
      <c r="Y1" s="1467" t="s">
        <v>109</v>
      </c>
      <c r="Z1" s="1416" t="s">
        <v>110</v>
      </c>
      <c r="AA1" s="1416" t="s">
        <v>111</v>
      </c>
      <c r="AB1" s="1416" t="s">
        <v>110</v>
      </c>
    </row>
    <row r="2" spans="1:34" ht="34.35" customHeight="1">
      <c r="A2" s="32" t="s">
        <v>12</v>
      </c>
      <c r="B2" s="30" t="s">
        <v>467</v>
      </c>
      <c r="C2" s="29">
        <v>1</v>
      </c>
      <c r="D2" s="6" t="s">
        <v>468</v>
      </c>
      <c r="E2" s="14" t="s">
        <v>469</v>
      </c>
      <c r="F2" s="2" t="s">
        <v>470</v>
      </c>
      <c r="G2" s="2" t="s">
        <v>40</v>
      </c>
      <c r="H2" s="17"/>
      <c r="I2" s="57">
        <v>45748</v>
      </c>
      <c r="J2" s="896"/>
      <c r="K2" s="896"/>
      <c r="L2" s="873"/>
      <c r="M2" s="873"/>
      <c r="N2" s="873"/>
      <c r="O2" s="873"/>
      <c r="P2" s="873"/>
      <c r="Q2" s="873"/>
      <c r="R2" s="873"/>
      <c r="S2" s="873"/>
      <c r="T2" s="873"/>
      <c r="U2" s="873"/>
      <c r="V2" s="873"/>
      <c r="W2" s="873"/>
      <c r="X2" s="873"/>
      <c r="Y2" s="873"/>
      <c r="Z2" s="873"/>
      <c r="AA2" s="873"/>
      <c r="AB2" s="873"/>
    </row>
    <row r="3" spans="1:34" ht="34.35" customHeight="1">
      <c r="A3" s="32" t="s">
        <v>12</v>
      </c>
      <c r="B3" s="30" t="s">
        <v>467</v>
      </c>
      <c r="C3" s="29">
        <v>2</v>
      </c>
      <c r="D3" s="6" t="s">
        <v>472</v>
      </c>
      <c r="E3" s="14" t="s">
        <v>473</v>
      </c>
      <c r="F3" s="2" t="s">
        <v>470</v>
      </c>
      <c r="G3" s="2" t="s">
        <v>40</v>
      </c>
      <c r="H3" s="1"/>
      <c r="I3" s="57">
        <v>45748</v>
      </c>
      <c r="J3" s="896"/>
      <c r="K3" s="896"/>
      <c r="L3" s="873"/>
      <c r="M3" s="873"/>
      <c r="N3" s="873"/>
      <c r="O3" s="873"/>
      <c r="P3" s="873"/>
      <c r="Q3" s="873"/>
      <c r="R3" s="873"/>
      <c r="S3" s="873"/>
      <c r="T3" s="873"/>
      <c r="U3" s="873"/>
      <c r="V3" s="873"/>
      <c r="W3" s="873"/>
      <c r="X3" s="873"/>
      <c r="Y3" s="873"/>
      <c r="Z3" s="873"/>
      <c r="AA3" s="873"/>
      <c r="AB3" s="873"/>
    </row>
    <row r="4" spans="1:34" ht="34.35" customHeight="1">
      <c r="A4" s="32" t="s">
        <v>12</v>
      </c>
      <c r="B4" s="30" t="s">
        <v>467</v>
      </c>
      <c r="C4" s="29">
        <v>3</v>
      </c>
      <c r="D4" s="6" t="s">
        <v>475</v>
      </c>
      <c r="E4" s="22" t="s">
        <v>133</v>
      </c>
      <c r="F4" s="2" t="s">
        <v>470</v>
      </c>
      <c r="G4" s="2" t="s">
        <v>477</v>
      </c>
      <c r="H4" s="17">
        <v>1</v>
      </c>
      <c r="I4" s="57">
        <v>45748</v>
      </c>
      <c r="J4" s="896"/>
      <c r="K4" s="896"/>
      <c r="L4" s="873"/>
      <c r="M4" s="873"/>
      <c r="N4" s="873"/>
      <c r="O4" s="873"/>
      <c r="P4" s="873"/>
      <c r="Q4" s="873"/>
      <c r="R4" s="873"/>
      <c r="S4" s="873"/>
      <c r="T4" s="873"/>
      <c r="U4" s="873"/>
      <c r="V4" s="873"/>
      <c r="W4" s="873"/>
      <c r="X4" s="873"/>
      <c r="Y4" s="873"/>
      <c r="Z4" s="873"/>
      <c r="AA4" s="873"/>
      <c r="AB4" s="873"/>
    </row>
    <row r="5" spans="1:34" ht="34.35" customHeight="1">
      <c r="A5" s="32" t="s">
        <v>12</v>
      </c>
      <c r="B5" s="30" t="s">
        <v>467</v>
      </c>
      <c r="C5" s="29">
        <v>4</v>
      </c>
      <c r="D5" s="6" t="s">
        <v>481</v>
      </c>
      <c r="E5" s="14" t="s">
        <v>38</v>
      </c>
      <c r="F5" s="2" t="s">
        <v>470</v>
      </c>
      <c r="G5" s="2" t="s">
        <v>40</v>
      </c>
      <c r="H5" s="1"/>
      <c r="I5" s="57">
        <v>45748</v>
      </c>
      <c r="J5" s="896"/>
      <c r="K5" s="896"/>
      <c r="L5" s="873"/>
      <c r="M5" s="873"/>
      <c r="N5" s="873"/>
      <c r="O5" s="873"/>
      <c r="P5" s="873"/>
      <c r="Q5" s="873"/>
      <c r="R5" s="873"/>
      <c r="S5" s="873"/>
      <c r="T5" s="873"/>
      <c r="U5" s="873"/>
      <c r="V5" s="873"/>
      <c r="W5" s="873"/>
      <c r="X5" s="873"/>
      <c r="Y5" s="873"/>
      <c r="Z5" s="873"/>
      <c r="AA5" s="873"/>
      <c r="AB5" s="873"/>
    </row>
    <row r="6" spans="1:34" ht="34.35" customHeight="1">
      <c r="A6" s="32" t="s">
        <v>12</v>
      </c>
      <c r="B6" s="30" t="s">
        <v>467</v>
      </c>
      <c r="C6" s="29">
        <v>5</v>
      </c>
      <c r="D6" s="6" t="s">
        <v>484</v>
      </c>
      <c r="E6" s="14" t="s">
        <v>38</v>
      </c>
      <c r="F6" s="2" t="s">
        <v>470</v>
      </c>
      <c r="G6" s="2" t="s">
        <v>40</v>
      </c>
      <c r="H6" s="17"/>
      <c r="I6" s="57">
        <v>45748</v>
      </c>
      <c r="J6" s="896"/>
      <c r="K6" s="896"/>
      <c r="L6" s="873"/>
      <c r="M6" s="873"/>
      <c r="N6" s="873"/>
      <c r="O6" s="873"/>
      <c r="P6" s="873"/>
      <c r="Q6" s="873"/>
      <c r="R6" s="873"/>
      <c r="S6" s="873"/>
      <c r="T6" s="873"/>
      <c r="U6" s="873"/>
      <c r="V6" s="873"/>
      <c r="W6" s="873"/>
      <c r="X6" s="873"/>
      <c r="Y6" s="873"/>
      <c r="Z6" s="873"/>
      <c r="AA6" s="873"/>
      <c r="AB6" s="873"/>
    </row>
    <row r="7" spans="1:34" ht="34.35" customHeight="1">
      <c r="A7" s="32" t="s">
        <v>12</v>
      </c>
      <c r="B7" s="12" t="s">
        <v>487</v>
      </c>
      <c r="C7" s="29">
        <v>6</v>
      </c>
      <c r="D7" s="6" t="s">
        <v>41</v>
      </c>
      <c r="E7" s="14" t="s">
        <v>38</v>
      </c>
      <c r="F7" s="2" t="s">
        <v>134</v>
      </c>
      <c r="G7" s="2" t="s">
        <v>40</v>
      </c>
      <c r="H7" s="17"/>
      <c r="I7" s="57">
        <v>45748</v>
      </c>
      <c r="J7" s="53"/>
      <c r="K7" s="53"/>
      <c r="L7" s="54"/>
      <c r="M7" s="54"/>
      <c r="N7" s="54"/>
      <c r="O7" s="54"/>
      <c r="P7" s="54"/>
      <c r="Q7" s="54"/>
      <c r="R7" s="54"/>
      <c r="S7" s="54"/>
      <c r="T7" s="54"/>
      <c r="U7" s="54"/>
      <c r="V7" s="54"/>
      <c r="W7" s="54"/>
      <c r="X7" s="54"/>
      <c r="Y7" s="54"/>
      <c r="Z7" s="54"/>
      <c r="AA7" s="54"/>
      <c r="AB7" s="54"/>
      <c r="AC7"/>
      <c r="AD7"/>
      <c r="AE7"/>
      <c r="AF7"/>
      <c r="AG7"/>
      <c r="AH7"/>
    </row>
    <row r="8" spans="1:34" ht="34.35" customHeight="1">
      <c r="A8" s="32" t="s">
        <v>12</v>
      </c>
      <c r="B8" s="11" t="s">
        <v>488</v>
      </c>
      <c r="C8" s="29">
        <v>7</v>
      </c>
      <c r="D8" s="6" t="s">
        <v>41</v>
      </c>
      <c r="E8" s="14" t="s">
        <v>38</v>
      </c>
      <c r="F8" s="2" t="s">
        <v>489</v>
      </c>
      <c r="G8" s="2" t="s">
        <v>40</v>
      </c>
      <c r="H8" s="45">
        <v>3.2</v>
      </c>
      <c r="I8" s="57">
        <v>45748</v>
      </c>
      <c r="J8" s="53"/>
      <c r="K8" s="53"/>
      <c r="L8" s="54"/>
      <c r="M8" s="54"/>
      <c r="N8" s="54"/>
      <c r="O8" s="54"/>
      <c r="P8" s="54"/>
      <c r="Q8" s="54"/>
      <c r="R8" s="54"/>
      <c r="S8" s="54"/>
      <c r="T8" s="54"/>
      <c r="U8" s="54"/>
      <c r="V8" s="54"/>
      <c r="W8" s="54"/>
      <c r="X8" s="54"/>
      <c r="Y8" s="54"/>
      <c r="Z8" s="54"/>
      <c r="AA8" s="54"/>
      <c r="AB8" s="54"/>
      <c r="AC8"/>
      <c r="AD8"/>
      <c r="AE8"/>
      <c r="AF8"/>
      <c r="AG8"/>
      <c r="AH8"/>
    </row>
    <row r="9" spans="1:34" ht="34.35" customHeight="1">
      <c r="A9" s="32" t="s">
        <v>12</v>
      </c>
      <c r="B9" s="30" t="s">
        <v>467</v>
      </c>
      <c r="C9" s="29">
        <v>1</v>
      </c>
      <c r="D9" s="6" t="s">
        <v>468</v>
      </c>
      <c r="E9" s="14" t="s">
        <v>469</v>
      </c>
      <c r="F9" s="2" t="s">
        <v>470</v>
      </c>
      <c r="G9" s="2" t="s">
        <v>40</v>
      </c>
      <c r="H9" s="17"/>
      <c r="I9" s="57">
        <v>45778</v>
      </c>
      <c r="J9" s="896"/>
      <c r="K9" s="896"/>
      <c r="L9" s="873"/>
      <c r="M9" s="873"/>
      <c r="N9" s="873"/>
      <c r="O9" s="873"/>
      <c r="P9" s="873"/>
      <c r="Q9" s="873"/>
      <c r="R9" s="873"/>
      <c r="S9" s="873"/>
      <c r="T9" s="873"/>
      <c r="U9" s="873"/>
      <c r="V9" s="873"/>
      <c r="W9" s="873"/>
      <c r="X9" s="873"/>
      <c r="Y9" s="873"/>
      <c r="Z9" s="873"/>
      <c r="AA9" s="873"/>
      <c r="AB9" s="873"/>
    </row>
    <row r="10" spans="1:34" ht="34.35" customHeight="1">
      <c r="A10" s="32" t="s">
        <v>12</v>
      </c>
      <c r="B10" s="30" t="s">
        <v>467</v>
      </c>
      <c r="C10" s="29">
        <v>2</v>
      </c>
      <c r="D10" s="6" t="s">
        <v>472</v>
      </c>
      <c r="E10" s="14" t="s">
        <v>473</v>
      </c>
      <c r="F10" s="2" t="s">
        <v>470</v>
      </c>
      <c r="G10" s="2" t="s">
        <v>40</v>
      </c>
      <c r="H10" s="1"/>
      <c r="I10" s="57">
        <v>45778</v>
      </c>
      <c r="J10" s="896"/>
      <c r="K10" s="896"/>
      <c r="L10" s="873"/>
      <c r="M10" s="873"/>
      <c r="N10" s="873"/>
      <c r="O10" s="873"/>
      <c r="P10" s="873"/>
      <c r="Q10" s="873"/>
      <c r="R10" s="873"/>
      <c r="S10" s="873"/>
      <c r="T10" s="873"/>
      <c r="U10" s="873"/>
      <c r="V10" s="873"/>
      <c r="W10" s="873"/>
      <c r="X10" s="873"/>
      <c r="Y10" s="873"/>
      <c r="Z10" s="873"/>
      <c r="AA10" s="873"/>
      <c r="AB10" s="873"/>
    </row>
    <row r="11" spans="1:34" ht="34.35" customHeight="1">
      <c r="A11" s="32" t="s">
        <v>12</v>
      </c>
      <c r="B11" s="30" t="s">
        <v>467</v>
      </c>
      <c r="C11" s="29">
        <v>3</v>
      </c>
      <c r="D11" s="6" t="s">
        <v>475</v>
      </c>
      <c r="E11" s="22" t="s">
        <v>133</v>
      </c>
      <c r="F11" s="2" t="s">
        <v>470</v>
      </c>
      <c r="G11" s="2" t="s">
        <v>477</v>
      </c>
      <c r="H11" s="17">
        <v>1</v>
      </c>
      <c r="I11" s="57">
        <v>45778</v>
      </c>
      <c r="J11" s="896"/>
      <c r="K11" s="896"/>
      <c r="L11" s="873"/>
      <c r="M11" s="873"/>
      <c r="N11" s="873"/>
      <c r="O11" s="873"/>
      <c r="P11" s="873"/>
      <c r="Q11" s="873"/>
      <c r="R11" s="873"/>
      <c r="S11" s="873"/>
      <c r="T11" s="873"/>
      <c r="U11" s="873"/>
      <c r="V11" s="873"/>
      <c r="W11" s="873"/>
      <c r="X11" s="873"/>
      <c r="Y11" s="873"/>
      <c r="Z11" s="873"/>
      <c r="AA11" s="873"/>
      <c r="AB11" s="873"/>
    </row>
    <row r="12" spans="1:34" ht="34.35" customHeight="1">
      <c r="A12" s="32" t="s">
        <v>12</v>
      </c>
      <c r="B12" s="30" t="s">
        <v>467</v>
      </c>
      <c r="C12" s="29">
        <v>4</v>
      </c>
      <c r="D12" s="6" t="s">
        <v>481</v>
      </c>
      <c r="E12" s="14" t="s">
        <v>38</v>
      </c>
      <c r="F12" s="2" t="s">
        <v>470</v>
      </c>
      <c r="G12" s="2" t="s">
        <v>40</v>
      </c>
      <c r="H12" s="1"/>
      <c r="I12" s="57">
        <v>45778</v>
      </c>
      <c r="J12" s="896"/>
      <c r="K12" s="896"/>
      <c r="L12" s="873"/>
      <c r="M12" s="873"/>
      <c r="N12" s="873"/>
      <c r="O12" s="873"/>
      <c r="P12" s="873"/>
      <c r="Q12" s="873"/>
      <c r="R12" s="873"/>
      <c r="S12" s="873"/>
      <c r="T12" s="873"/>
      <c r="U12" s="873"/>
      <c r="V12" s="873"/>
      <c r="W12" s="873"/>
      <c r="X12" s="873"/>
      <c r="Y12" s="873"/>
      <c r="Z12" s="873"/>
      <c r="AA12" s="873"/>
      <c r="AB12" s="873"/>
    </row>
    <row r="13" spans="1:34" ht="34.35" customHeight="1">
      <c r="A13" s="32" t="s">
        <v>12</v>
      </c>
      <c r="B13" s="30" t="s">
        <v>467</v>
      </c>
      <c r="C13" s="29">
        <v>5</v>
      </c>
      <c r="D13" s="6" t="s">
        <v>484</v>
      </c>
      <c r="E13" s="14" t="s">
        <v>38</v>
      </c>
      <c r="F13" s="2" t="s">
        <v>470</v>
      </c>
      <c r="G13" s="2" t="s">
        <v>40</v>
      </c>
      <c r="H13" s="17"/>
      <c r="I13" s="57">
        <v>45778</v>
      </c>
      <c r="J13" s="896"/>
      <c r="K13" s="896"/>
      <c r="L13" s="873"/>
      <c r="M13" s="873"/>
      <c r="N13" s="873"/>
      <c r="O13" s="873"/>
      <c r="P13" s="873"/>
      <c r="Q13" s="873"/>
      <c r="R13" s="873"/>
      <c r="S13" s="873"/>
      <c r="T13" s="873"/>
      <c r="U13" s="873"/>
      <c r="V13" s="873"/>
      <c r="W13" s="873"/>
      <c r="X13" s="873"/>
      <c r="Y13" s="873"/>
      <c r="Z13" s="873"/>
      <c r="AA13" s="873"/>
      <c r="AB13" s="873"/>
    </row>
    <row r="14" spans="1:34" ht="34.35" customHeight="1">
      <c r="A14" s="32" t="s">
        <v>12</v>
      </c>
      <c r="B14" s="12" t="s">
        <v>487</v>
      </c>
      <c r="C14" s="29">
        <v>6</v>
      </c>
      <c r="D14" s="6" t="s">
        <v>41</v>
      </c>
      <c r="E14" s="14" t="s">
        <v>38</v>
      </c>
      <c r="F14" s="2" t="s">
        <v>134</v>
      </c>
      <c r="G14" s="2" t="s">
        <v>40</v>
      </c>
      <c r="H14" s="17"/>
      <c r="I14" s="57">
        <v>45778</v>
      </c>
      <c r="J14" s="53"/>
      <c r="K14" s="53"/>
      <c r="L14" s="54"/>
      <c r="M14" s="54"/>
      <c r="N14" s="54"/>
      <c r="O14" s="54"/>
      <c r="P14" s="54"/>
      <c r="Q14" s="54"/>
      <c r="R14" s="54"/>
      <c r="S14" s="54"/>
      <c r="T14" s="54"/>
      <c r="U14" s="54"/>
      <c r="V14" s="54"/>
      <c r="W14" s="54"/>
      <c r="X14" s="54"/>
      <c r="Y14" s="54"/>
      <c r="Z14" s="54"/>
      <c r="AA14" s="54"/>
      <c r="AB14" s="54"/>
      <c r="AC14"/>
      <c r="AD14"/>
      <c r="AE14"/>
      <c r="AF14"/>
      <c r="AG14"/>
      <c r="AH14"/>
    </row>
    <row r="15" spans="1:34" ht="34.35" customHeight="1">
      <c r="A15" s="32" t="s">
        <v>12</v>
      </c>
      <c r="B15" s="11" t="s">
        <v>488</v>
      </c>
      <c r="C15" s="29">
        <v>7</v>
      </c>
      <c r="D15" s="6" t="s">
        <v>41</v>
      </c>
      <c r="E15" s="14" t="s">
        <v>38</v>
      </c>
      <c r="F15" s="2" t="s">
        <v>489</v>
      </c>
      <c r="G15" s="2" t="s">
        <v>40</v>
      </c>
      <c r="H15" s="45">
        <v>3.2</v>
      </c>
      <c r="I15" s="57">
        <v>45778</v>
      </c>
      <c r="J15" s="896"/>
      <c r="K15" s="896"/>
      <c r="L15" s="873"/>
      <c r="M15" s="873"/>
      <c r="N15" s="873"/>
      <c r="O15" s="873"/>
      <c r="P15" s="873"/>
      <c r="Q15" s="873"/>
      <c r="R15" s="873"/>
      <c r="S15" s="54"/>
      <c r="T15" s="54"/>
      <c r="U15" s="54"/>
      <c r="V15" s="54"/>
      <c r="W15" s="54"/>
      <c r="X15" s="54"/>
      <c r="Y15" s="54"/>
      <c r="Z15" s="54"/>
      <c r="AA15" s="54"/>
      <c r="AB15" s="54"/>
      <c r="AC15"/>
      <c r="AD15"/>
      <c r="AE15"/>
      <c r="AF15"/>
      <c r="AG15"/>
      <c r="AH15"/>
    </row>
    <row r="16" spans="1:34" ht="34.35" customHeight="1">
      <c r="A16" s="32" t="s">
        <v>12</v>
      </c>
      <c r="B16" s="30" t="s">
        <v>467</v>
      </c>
      <c r="C16" s="29">
        <v>1</v>
      </c>
      <c r="D16" s="6" t="s">
        <v>468</v>
      </c>
      <c r="E16" s="14" t="s">
        <v>469</v>
      </c>
      <c r="F16" s="2" t="s">
        <v>470</v>
      </c>
      <c r="G16" s="2" t="s">
        <v>40</v>
      </c>
      <c r="H16" s="17"/>
      <c r="I16" s="57">
        <v>45809</v>
      </c>
      <c r="J16" s="896"/>
      <c r="K16" s="896"/>
      <c r="L16" s="873"/>
      <c r="M16" s="873"/>
      <c r="N16" s="873"/>
      <c r="O16" s="873"/>
      <c r="P16" s="873"/>
      <c r="Q16" s="873"/>
      <c r="R16" s="873"/>
      <c r="S16" s="873"/>
      <c r="T16" s="873"/>
      <c r="U16" s="873"/>
      <c r="V16" s="873"/>
      <c r="W16" s="873"/>
      <c r="X16" s="873"/>
      <c r="Y16" s="873"/>
      <c r="Z16" s="873"/>
      <c r="AA16" s="873"/>
      <c r="AB16" s="873"/>
    </row>
    <row r="17" spans="1:34" ht="34.35" customHeight="1">
      <c r="A17" s="32" t="s">
        <v>12</v>
      </c>
      <c r="B17" s="30" t="s">
        <v>467</v>
      </c>
      <c r="C17" s="29">
        <v>2</v>
      </c>
      <c r="D17" s="6" t="s">
        <v>472</v>
      </c>
      <c r="E17" s="14" t="s">
        <v>473</v>
      </c>
      <c r="F17" s="2" t="s">
        <v>470</v>
      </c>
      <c r="G17" s="2" t="s">
        <v>40</v>
      </c>
      <c r="H17" s="1"/>
      <c r="I17" s="57">
        <v>45809</v>
      </c>
      <c r="J17" s="896"/>
      <c r="K17" s="896"/>
      <c r="L17" s="873"/>
      <c r="M17" s="873"/>
      <c r="N17" s="873"/>
      <c r="O17" s="873"/>
      <c r="P17" s="873"/>
      <c r="Q17" s="873"/>
      <c r="R17" s="873"/>
      <c r="S17" s="873"/>
      <c r="T17" s="873"/>
      <c r="U17" s="873"/>
      <c r="V17" s="873"/>
      <c r="W17" s="873"/>
      <c r="X17" s="873"/>
      <c r="Y17" s="873"/>
      <c r="Z17" s="873"/>
      <c r="AA17" s="873"/>
      <c r="AB17" s="873"/>
    </row>
    <row r="18" spans="1:34" ht="34.35" customHeight="1">
      <c r="A18" s="32" t="s">
        <v>12</v>
      </c>
      <c r="B18" s="30" t="s">
        <v>467</v>
      </c>
      <c r="C18" s="29">
        <v>3</v>
      </c>
      <c r="D18" s="6" t="s">
        <v>475</v>
      </c>
      <c r="E18" s="22" t="s">
        <v>133</v>
      </c>
      <c r="F18" s="2" t="s">
        <v>470</v>
      </c>
      <c r="G18" s="2" t="s">
        <v>477</v>
      </c>
      <c r="H18" s="17">
        <v>1</v>
      </c>
      <c r="I18" s="57">
        <v>45809</v>
      </c>
      <c r="J18" s="896"/>
      <c r="K18" s="896"/>
      <c r="L18" s="873"/>
      <c r="M18" s="873"/>
      <c r="N18" s="873"/>
      <c r="O18" s="873"/>
      <c r="P18" s="873"/>
      <c r="Q18" s="873"/>
      <c r="R18" s="873"/>
      <c r="S18" s="873"/>
      <c r="T18" s="873"/>
      <c r="U18" s="873"/>
      <c r="V18" s="873"/>
      <c r="W18" s="873"/>
      <c r="X18" s="873"/>
      <c r="Y18" s="873"/>
      <c r="Z18" s="873"/>
      <c r="AA18" s="873"/>
      <c r="AB18" s="873"/>
    </row>
    <row r="19" spans="1:34" ht="34.35" customHeight="1">
      <c r="A19" s="32" t="s">
        <v>12</v>
      </c>
      <c r="B19" s="30" t="s">
        <v>467</v>
      </c>
      <c r="C19" s="29">
        <v>4</v>
      </c>
      <c r="D19" s="6" t="s">
        <v>481</v>
      </c>
      <c r="E19" s="14" t="s">
        <v>38</v>
      </c>
      <c r="F19" s="2" t="s">
        <v>470</v>
      </c>
      <c r="G19" s="2" t="s">
        <v>40</v>
      </c>
      <c r="H19" s="1"/>
      <c r="I19" s="57">
        <v>45809</v>
      </c>
      <c r="J19" s="896"/>
      <c r="K19" s="896"/>
      <c r="L19" s="873"/>
      <c r="M19" s="873"/>
      <c r="N19" s="873"/>
      <c r="O19" s="873"/>
      <c r="P19" s="873"/>
      <c r="Q19" s="873"/>
      <c r="R19" s="873"/>
      <c r="S19" s="873"/>
      <c r="T19" s="873"/>
      <c r="U19" s="873"/>
      <c r="V19" s="873"/>
      <c r="W19" s="873"/>
      <c r="X19" s="873"/>
      <c r="Y19" s="873"/>
      <c r="Z19" s="873"/>
      <c r="AA19" s="873"/>
      <c r="AB19" s="873"/>
    </row>
    <row r="20" spans="1:34" ht="34.35" customHeight="1">
      <c r="A20" s="32" t="s">
        <v>12</v>
      </c>
      <c r="B20" s="30" t="s">
        <v>467</v>
      </c>
      <c r="C20" s="29">
        <v>5</v>
      </c>
      <c r="D20" s="6" t="s">
        <v>484</v>
      </c>
      <c r="E20" s="14" t="s">
        <v>38</v>
      </c>
      <c r="F20" s="2" t="s">
        <v>470</v>
      </c>
      <c r="G20" s="2" t="s">
        <v>40</v>
      </c>
      <c r="H20" s="17"/>
      <c r="I20" s="57">
        <v>45809</v>
      </c>
      <c r="J20" s="896"/>
      <c r="K20" s="896"/>
      <c r="L20" s="873"/>
      <c r="M20" s="873"/>
      <c r="N20" s="873"/>
      <c r="O20" s="873"/>
      <c r="P20" s="873"/>
      <c r="Q20" s="873"/>
      <c r="R20" s="873"/>
      <c r="S20" s="873"/>
      <c r="T20" s="873"/>
      <c r="U20" s="873"/>
      <c r="V20" s="873"/>
      <c r="W20" s="873"/>
      <c r="X20" s="873"/>
      <c r="Y20" s="873"/>
      <c r="Z20" s="873"/>
      <c r="AA20" s="873"/>
      <c r="AB20" s="873"/>
    </row>
    <row r="21" spans="1:34" ht="34.35" customHeight="1">
      <c r="A21" s="32" t="s">
        <v>12</v>
      </c>
      <c r="B21" s="12" t="s">
        <v>487</v>
      </c>
      <c r="C21" s="29">
        <v>6</v>
      </c>
      <c r="D21" s="6" t="s">
        <v>41</v>
      </c>
      <c r="E21" s="14" t="s">
        <v>38</v>
      </c>
      <c r="F21" s="2" t="s">
        <v>134</v>
      </c>
      <c r="G21" s="2" t="s">
        <v>40</v>
      </c>
      <c r="H21" s="17"/>
      <c r="I21" s="57">
        <v>45809</v>
      </c>
      <c r="J21" s="53"/>
      <c r="K21" s="53"/>
      <c r="L21" s="54"/>
      <c r="M21" s="54"/>
      <c r="N21" s="54"/>
      <c r="O21" s="54"/>
      <c r="P21" s="54"/>
      <c r="Q21" s="54"/>
      <c r="R21" s="54"/>
      <c r="S21" s="54"/>
      <c r="T21" s="54"/>
      <c r="U21" s="54"/>
      <c r="V21" s="54"/>
      <c r="W21" s="54"/>
      <c r="X21" s="54"/>
      <c r="Y21" s="54"/>
      <c r="Z21" s="54"/>
      <c r="AA21" s="54"/>
      <c r="AB21" s="54"/>
      <c r="AC21"/>
      <c r="AD21"/>
      <c r="AE21"/>
      <c r="AF21"/>
      <c r="AG21"/>
      <c r="AH21"/>
    </row>
    <row r="22" spans="1:34" ht="34.35" customHeight="1">
      <c r="A22" s="32" t="s">
        <v>12</v>
      </c>
      <c r="B22" s="11" t="s">
        <v>488</v>
      </c>
      <c r="C22" s="29">
        <v>7</v>
      </c>
      <c r="D22" s="6" t="s">
        <v>41</v>
      </c>
      <c r="E22" s="14" t="s">
        <v>38</v>
      </c>
      <c r="F22" s="2" t="s">
        <v>489</v>
      </c>
      <c r="G22" s="2" t="s">
        <v>40</v>
      </c>
      <c r="H22" s="45">
        <v>3.2</v>
      </c>
      <c r="I22" s="57">
        <v>45809</v>
      </c>
      <c r="J22" s="53"/>
      <c r="K22" s="53"/>
      <c r="L22" s="54"/>
      <c r="M22" s="54"/>
      <c r="N22" s="54"/>
      <c r="O22" s="54"/>
      <c r="P22" s="54"/>
      <c r="Q22" s="54"/>
      <c r="R22" s="54"/>
      <c r="S22" s="54"/>
      <c r="T22" s="54"/>
      <c r="U22" s="54"/>
      <c r="V22" s="54"/>
      <c r="W22" s="54"/>
      <c r="X22" s="54"/>
      <c r="Y22" s="54"/>
      <c r="Z22" s="54"/>
      <c r="AA22" s="54"/>
      <c r="AB22" s="54"/>
      <c r="AC22"/>
      <c r="AD22"/>
      <c r="AE22"/>
      <c r="AF22"/>
      <c r="AG22"/>
      <c r="AH22"/>
    </row>
    <row r="23" spans="1:34" ht="34.35" customHeight="1">
      <c r="A23" s="32" t="s">
        <v>12</v>
      </c>
      <c r="B23" s="30" t="s">
        <v>467</v>
      </c>
      <c r="C23" s="29">
        <v>1</v>
      </c>
      <c r="D23" s="6" t="s">
        <v>468</v>
      </c>
      <c r="E23" s="14" t="s">
        <v>469</v>
      </c>
      <c r="F23" s="2" t="s">
        <v>470</v>
      </c>
      <c r="G23" s="2" t="s">
        <v>40</v>
      </c>
      <c r="H23" s="17"/>
      <c r="I23" s="57">
        <v>45839</v>
      </c>
      <c r="J23" s="896"/>
      <c r="K23" s="896"/>
      <c r="L23" s="873"/>
      <c r="M23" s="873"/>
      <c r="N23" s="873"/>
      <c r="O23" s="873"/>
      <c r="P23" s="873"/>
      <c r="Q23" s="873"/>
      <c r="R23" s="873"/>
      <c r="S23" s="873"/>
      <c r="T23" s="873"/>
      <c r="U23" s="873"/>
      <c r="V23" s="873"/>
      <c r="W23" s="873"/>
      <c r="X23" s="873"/>
      <c r="Y23" s="873"/>
      <c r="Z23" s="873"/>
      <c r="AA23" s="873"/>
      <c r="AB23" s="873"/>
    </row>
    <row r="24" spans="1:34" ht="34.35" customHeight="1">
      <c r="A24" s="32" t="s">
        <v>12</v>
      </c>
      <c r="B24" s="30" t="s">
        <v>467</v>
      </c>
      <c r="C24" s="29">
        <v>2</v>
      </c>
      <c r="D24" s="6" t="s">
        <v>472</v>
      </c>
      <c r="E24" s="14" t="s">
        <v>473</v>
      </c>
      <c r="F24" s="2" t="s">
        <v>470</v>
      </c>
      <c r="G24" s="2" t="s">
        <v>40</v>
      </c>
      <c r="H24" s="1"/>
      <c r="I24" s="57">
        <v>45839</v>
      </c>
      <c r="J24" s="896"/>
      <c r="K24" s="896"/>
      <c r="L24" s="873"/>
      <c r="M24" s="873"/>
      <c r="N24" s="873"/>
      <c r="O24" s="873"/>
      <c r="P24" s="873"/>
      <c r="Q24" s="873"/>
      <c r="R24" s="873"/>
      <c r="S24" s="873"/>
      <c r="T24" s="873"/>
      <c r="U24" s="873"/>
      <c r="V24" s="873"/>
      <c r="W24" s="873"/>
      <c r="X24" s="873"/>
      <c r="Y24" s="873"/>
      <c r="Z24" s="873"/>
      <c r="AA24" s="873"/>
      <c r="AB24" s="873"/>
    </row>
    <row r="25" spans="1:34" ht="34.35" customHeight="1">
      <c r="A25" s="32" t="s">
        <v>12</v>
      </c>
      <c r="B25" s="30" t="s">
        <v>467</v>
      </c>
      <c r="C25" s="29">
        <v>3</v>
      </c>
      <c r="D25" s="6" t="s">
        <v>475</v>
      </c>
      <c r="E25" s="22" t="s">
        <v>133</v>
      </c>
      <c r="F25" s="2" t="s">
        <v>470</v>
      </c>
      <c r="G25" s="2" t="s">
        <v>477</v>
      </c>
      <c r="H25" s="17">
        <v>1</v>
      </c>
      <c r="I25" s="57">
        <v>45839</v>
      </c>
      <c r="J25" s="896"/>
      <c r="K25" s="896"/>
      <c r="L25" s="873"/>
      <c r="M25" s="873"/>
      <c r="N25" s="873"/>
      <c r="O25" s="873"/>
      <c r="P25" s="873"/>
      <c r="Q25" s="873"/>
      <c r="R25" s="873"/>
      <c r="S25" s="873"/>
      <c r="T25" s="873"/>
      <c r="U25" s="873"/>
      <c r="V25" s="873"/>
      <c r="W25" s="873"/>
      <c r="X25" s="873"/>
      <c r="Y25" s="873"/>
      <c r="Z25" s="873"/>
      <c r="AA25" s="873"/>
      <c r="AB25" s="873"/>
    </row>
    <row r="26" spans="1:34" ht="34.35" customHeight="1">
      <c r="A26" s="32" t="s">
        <v>12</v>
      </c>
      <c r="B26" s="30" t="s">
        <v>467</v>
      </c>
      <c r="C26" s="29">
        <v>4</v>
      </c>
      <c r="D26" s="6" t="s">
        <v>481</v>
      </c>
      <c r="E26" s="14" t="s">
        <v>38</v>
      </c>
      <c r="F26" s="2" t="s">
        <v>470</v>
      </c>
      <c r="G26" s="2" t="s">
        <v>40</v>
      </c>
      <c r="H26" s="1"/>
      <c r="I26" s="57">
        <v>45839</v>
      </c>
      <c r="J26" s="896"/>
      <c r="K26" s="896"/>
      <c r="L26" s="873"/>
      <c r="M26" s="873"/>
      <c r="N26" s="873"/>
      <c r="O26" s="873"/>
      <c r="P26" s="873"/>
      <c r="Q26" s="873"/>
      <c r="R26" s="873"/>
      <c r="S26" s="873"/>
      <c r="T26" s="873"/>
      <c r="U26" s="873"/>
      <c r="V26" s="873"/>
      <c r="W26" s="873"/>
      <c r="X26" s="873"/>
      <c r="Y26" s="873"/>
      <c r="Z26" s="873"/>
      <c r="AA26" s="873"/>
      <c r="AB26" s="873"/>
    </row>
    <row r="27" spans="1:34" ht="34.35" customHeight="1">
      <c r="A27" s="32" t="s">
        <v>12</v>
      </c>
      <c r="B27" s="30" t="s">
        <v>467</v>
      </c>
      <c r="C27" s="29">
        <v>5</v>
      </c>
      <c r="D27" s="6" t="s">
        <v>484</v>
      </c>
      <c r="E27" s="14" t="s">
        <v>38</v>
      </c>
      <c r="F27" s="2" t="s">
        <v>470</v>
      </c>
      <c r="G27" s="2" t="s">
        <v>40</v>
      </c>
      <c r="H27" s="17"/>
      <c r="I27" s="57">
        <v>45839</v>
      </c>
      <c r="J27" s="896"/>
      <c r="K27" s="896"/>
      <c r="L27" s="873"/>
      <c r="M27" s="873"/>
      <c r="N27" s="873"/>
      <c r="O27" s="873"/>
      <c r="P27" s="873"/>
      <c r="Q27" s="873"/>
      <c r="R27" s="873"/>
      <c r="S27" s="873"/>
      <c r="T27" s="873"/>
      <c r="U27" s="873"/>
      <c r="V27" s="873"/>
      <c r="W27" s="873"/>
      <c r="X27" s="873"/>
      <c r="Y27" s="873"/>
      <c r="Z27" s="873"/>
      <c r="AA27" s="873"/>
      <c r="AB27" s="873"/>
    </row>
    <row r="28" spans="1:34" ht="34.35" customHeight="1">
      <c r="A28" s="32" t="s">
        <v>12</v>
      </c>
      <c r="B28" s="12" t="s">
        <v>487</v>
      </c>
      <c r="C28" s="29">
        <v>6</v>
      </c>
      <c r="D28" s="6" t="s">
        <v>41</v>
      </c>
      <c r="E28" s="14" t="s">
        <v>38</v>
      </c>
      <c r="F28" s="2" t="s">
        <v>134</v>
      </c>
      <c r="G28" s="2" t="s">
        <v>40</v>
      </c>
      <c r="H28" s="17"/>
      <c r="I28" s="57">
        <v>45839</v>
      </c>
      <c r="J28" s="53"/>
      <c r="K28" s="53"/>
      <c r="L28" s="54"/>
      <c r="M28" s="54"/>
      <c r="N28" s="54"/>
      <c r="O28" s="54"/>
      <c r="P28" s="54"/>
      <c r="Q28" s="54"/>
      <c r="R28" s="54"/>
      <c r="S28" s="54"/>
      <c r="T28" s="54"/>
      <c r="U28" s="54"/>
      <c r="V28" s="54"/>
      <c r="W28" s="54"/>
      <c r="X28" s="54"/>
      <c r="Y28" s="54"/>
      <c r="Z28" s="54"/>
      <c r="AA28" s="54"/>
      <c r="AB28" s="54"/>
      <c r="AC28"/>
      <c r="AD28"/>
      <c r="AE28"/>
      <c r="AF28"/>
      <c r="AG28"/>
      <c r="AH28"/>
    </row>
    <row r="29" spans="1:34" ht="34.35" customHeight="1">
      <c r="A29" s="32" t="s">
        <v>12</v>
      </c>
      <c r="B29" s="11" t="s">
        <v>488</v>
      </c>
      <c r="C29" s="29">
        <v>7</v>
      </c>
      <c r="D29" s="6" t="s">
        <v>41</v>
      </c>
      <c r="E29" s="14" t="s">
        <v>38</v>
      </c>
      <c r="F29" s="2" t="s">
        <v>489</v>
      </c>
      <c r="G29" s="2" t="s">
        <v>40</v>
      </c>
      <c r="H29" s="45">
        <v>3.2</v>
      </c>
      <c r="I29" s="57">
        <v>45839</v>
      </c>
      <c r="J29" s="53"/>
      <c r="K29" s="53"/>
      <c r="L29" s="54"/>
      <c r="M29" s="54"/>
      <c r="N29" s="54"/>
      <c r="O29" s="54"/>
      <c r="P29" s="54"/>
      <c r="Q29" s="54"/>
      <c r="R29" s="54"/>
      <c r="S29" s="54"/>
      <c r="T29" s="54"/>
      <c r="U29" s="54"/>
      <c r="V29" s="54"/>
      <c r="W29" s="54"/>
      <c r="X29" s="54"/>
      <c r="Y29" s="54"/>
      <c r="Z29" s="54"/>
      <c r="AA29" s="54"/>
      <c r="AB29" s="54"/>
      <c r="AC29"/>
      <c r="AD29"/>
      <c r="AE29"/>
      <c r="AF29"/>
      <c r="AG29"/>
      <c r="AH29"/>
    </row>
    <row r="30" spans="1:34" ht="34.35" customHeight="1">
      <c r="A30" s="32" t="s">
        <v>12</v>
      </c>
      <c r="B30" s="30" t="s">
        <v>467</v>
      </c>
      <c r="C30" s="29">
        <v>1</v>
      </c>
      <c r="D30" s="6" t="s">
        <v>468</v>
      </c>
      <c r="E30" s="14" t="s">
        <v>469</v>
      </c>
      <c r="F30" s="2" t="s">
        <v>470</v>
      </c>
      <c r="G30" s="2" t="s">
        <v>40</v>
      </c>
      <c r="H30" s="17"/>
      <c r="I30" s="57">
        <v>45870</v>
      </c>
      <c r="J30" s="896"/>
      <c r="K30" s="896"/>
      <c r="L30" s="873"/>
      <c r="M30" s="873"/>
      <c r="N30" s="873"/>
      <c r="O30" s="873"/>
      <c r="P30" s="873"/>
      <c r="Q30" s="873"/>
      <c r="R30" s="873"/>
      <c r="S30" s="873"/>
      <c r="T30" s="873"/>
      <c r="U30" s="873"/>
      <c r="V30" s="873"/>
      <c r="W30" s="873"/>
      <c r="X30" s="873"/>
      <c r="Y30" s="873"/>
      <c r="Z30" s="873"/>
      <c r="AA30" s="873"/>
      <c r="AB30" s="873"/>
    </row>
    <row r="31" spans="1:34" ht="34.35" customHeight="1">
      <c r="A31" s="32" t="s">
        <v>12</v>
      </c>
      <c r="B31" s="30" t="s">
        <v>467</v>
      </c>
      <c r="C31" s="29">
        <v>2</v>
      </c>
      <c r="D31" s="6" t="s">
        <v>472</v>
      </c>
      <c r="E31" s="14" t="s">
        <v>473</v>
      </c>
      <c r="F31" s="2" t="s">
        <v>470</v>
      </c>
      <c r="G31" s="2" t="s">
        <v>40</v>
      </c>
      <c r="H31" s="1"/>
      <c r="I31" s="57">
        <v>45870</v>
      </c>
      <c r="J31" s="896"/>
      <c r="K31" s="896"/>
      <c r="L31" s="873"/>
      <c r="M31" s="873"/>
      <c r="N31" s="873"/>
      <c r="O31" s="873"/>
      <c r="P31" s="873"/>
      <c r="Q31" s="873"/>
      <c r="R31" s="873"/>
      <c r="S31" s="873"/>
      <c r="T31" s="873"/>
      <c r="U31" s="873"/>
      <c r="V31" s="873"/>
      <c r="W31" s="873"/>
      <c r="X31" s="873"/>
      <c r="Y31" s="873"/>
      <c r="Z31" s="873"/>
      <c r="AA31" s="873"/>
      <c r="AB31" s="873"/>
    </row>
    <row r="32" spans="1:34" ht="34.35" customHeight="1">
      <c r="A32" s="32" t="s">
        <v>12</v>
      </c>
      <c r="B32" s="30" t="s">
        <v>467</v>
      </c>
      <c r="C32" s="29">
        <v>3</v>
      </c>
      <c r="D32" s="6" t="s">
        <v>475</v>
      </c>
      <c r="E32" s="22" t="s">
        <v>133</v>
      </c>
      <c r="F32" s="2" t="s">
        <v>470</v>
      </c>
      <c r="G32" s="2" t="s">
        <v>477</v>
      </c>
      <c r="H32" s="17">
        <v>1</v>
      </c>
      <c r="I32" s="57">
        <v>45870</v>
      </c>
      <c r="J32" s="896"/>
      <c r="K32" s="896"/>
      <c r="L32" s="873"/>
      <c r="M32" s="873"/>
      <c r="N32" s="873"/>
      <c r="O32" s="873"/>
      <c r="P32" s="873"/>
      <c r="Q32" s="873"/>
      <c r="R32" s="873"/>
      <c r="S32" s="873"/>
      <c r="T32" s="873"/>
      <c r="U32" s="873"/>
      <c r="V32" s="873"/>
      <c r="W32" s="873"/>
      <c r="X32" s="873"/>
      <c r="Y32" s="873"/>
      <c r="Z32" s="873"/>
      <c r="AA32" s="873"/>
      <c r="AB32" s="873"/>
    </row>
    <row r="33" spans="1:34" ht="34.35" customHeight="1">
      <c r="A33" s="32" t="s">
        <v>12</v>
      </c>
      <c r="B33" s="30" t="s">
        <v>467</v>
      </c>
      <c r="C33" s="29">
        <v>4</v>
      </c>
      <c r="D33" s="6" t="s">
        <v>481</v>
      </c>
      <c r="E33" s="14" t="s">
        <v>38</v>
      </c>
      <c r="F33" s="2" t="s">
        <v>470</v>
      </c>
      <c r="G33" s="2" t="s">
        <v>40</v>
      </c>
      <c r="H33" s="1"/>
      <c r="I33" s="57">
        <v>45870</v>
      </c>
      <c r="J33" s="896"/>
      <c r="K33" s="896"/>
      <c r="L33" s="873"/>
      <c r="M33" s="873"/>
      <c r="N33" s="873"/>
      <c r="O33" s="873"/>
      <c r="P33" s="873"/>
      <c r="Q33" s="873"/>
      <c r="R33" s="873"/>
      <c r="S33" s="873"/>
      <c r="T33" s="873"/>
      <c r="U33" s="873"/>
      <c r="V33" s="873"/>
      <c r="W33" s="873"/>
      <c r="X33" s="873"/>
      <c r="Y33" s="873"/>
      <c r="Z33" s="873"/>
      <c r="AA33" s="873"/>
      <c r="AB33" s="873"/>
    </row>
    <row r="34" spans="1:34" ht="34.35" customHeight="1">
      <c r="A34" s="32" t="s">
        <v>12</v>
      </c>
      <c r="B34" s="30" t="s">
        <v>467</v>
      </c>
      <c r="C34" s="29">
        <v>5</v>
      </c>
      <c r="D34" s="6" t="s">
        <v>484</v>
      </c>
      <c r="E34" s="14" t="s">
        <v>38</v>
      </c>
      <c r="F34" s="2" t="s">
        <v>470</v>
      </c>
      <c r="G34" s="2" t="s">
        <v>40</v>
      </c>
      <c r="H34" s="17"/>
      <c r="I34" s="57">
        <v>45870</v>
      </c>
      <c r="J34" s="896"/>
      <c r="K34" s="896"/>
      <c r="L34" s="873"/>
      <c r="M34" s="873"/>
      <c r="N34" s="873"/>
      <c r="O34" s="873"/>
      <c r="P34" s="873"/>
      <c r="Q34" s="873"/>
      <c r="R34" s="873"/>
      <c r="S34" s="873"/>
      <c r="T34" s="873"/>
      <c r="U34" s="873"/>
      <c r="V34" s="873"/>
      <c r="W34" s="873"/>
      <c r="X34" s="873"/>
      <c r="Y34" s="873"/>
      <c r="Z34" s="873"/>
      <c r="AA34" s="873"/>
      <c r="AB34" s="873"/>
    </row>
    <row r="35" spans="1:34" ht="34.35" customHeight="1">
      <c r="A35" s="32" t="s">
        <v>12</v>
      </c>
      <c r="B35" s="12" t="s">
        <v>487</v>
      </c>
      <c r="C35" s="29">
        <v>6</v>
      </c>
      <c r="D35" s="6" t="s">
        <v>41</v>
      </c>
      <c r="E35" s="14" t="s">
        <v>38</v>
      </c>
      <c r="F35" s="2" t="s">
        <v>134</v>
      </c>
      <c r="G35" s="2" t="s">
        <v>40</v>
      </c>
      <c r="H35" s="17"/>
      <c r="I35" s="57">
        <v>45870</v>
      </c>
      <c r="J35" s="53"/>
      <c r="K35" s="53"/>
      <c r="L35" s="54"/>
      <c r="M35" s="54"/>
      <c r="N35" s="54"/>
      <c r="O35" s="54"/>
      <c r="P35" s="54"/>
      <c r="Q35" s="54"/>
      <c r="R35" s="54"/>
      <c r="S35" s="54"/>
      <c r="T35" s="54"/>
      <c r="U35" s="54"/>
      <c r="V35" s="54"/>
      <c r="W35" s="54"/>
      <c r="X35" s="54"/>
      <c r="Y35" s="54"/>
      <c r="Z35" s="54"/>
      <c r="AA35" s="54"/>
      <c r="AB35" s="54"/>
      <c r="AC35"/>
      <c r="AD35"/>
      <c r="AE35"/>
      <c r="AF35"/>
      <c r="AG35"/>
      <c r="AH35"/>
    </row>
    <row r="36" spans="1:34" ht="34.35" customHeight="1">
      <c r="A36" s="32" t="s">
        <v>12</v>
      </c>
      <c r="B36" s="11" t="s">
        <v>488</v>
      </c>
      <c r="C36" s="29">
        <v>7</v>
      </c>
      <c r="D36" s="6" t="s">
        <v>41</v>
      </c>
      <c r="E36" s="14" t="s">
        <v>38</v>
      </c>
      <c r="F36" s="2" t="s">
        <v>489</v>
      </c>
      <c r="G36" s="2" t="s">
        <v>40</v>
      </c>
      <c r="H36" s="45">
        <v>3.2</v>
      </c>
      <c r="I36" s="57">
        <v>45870</v>
      </c>
      <c r="J36" s="53"/>
      <c r="K36" s="53"/>
      <c r="L36" s="54"/>
      <c r="M36" s="54"/>
      <c r="N36" s="54"/>
      <c r="O36" s="54"/>
      <c r="P36" s="54"/>
      <c r="Q36" s="54"/>
      <c r="R36" s="54"/>
      <c r="S36" s="54"/>
      <c r="T36" s="54"/>
      <c r="U36" s="54"/>
      <c r="V36" s="54"/>
      <c r="W36" s="54"/>
      <c r="X36" s="54"/>
      <c r="Y36" s="54"/>
      <c r="Z36" s="54"/>
      <c r="AA36" s="54"/>
      <c r="AB36" s="54"/>
      <c r="AC36"/>
      <c r="AD36"/>
      <c r="AE36"/>
      <c r="AF36"/>
      <c r="AG36"/>
      <c r="AH36"/>
    </row>
    <row r="37" spans="1:34" ht="34.35" customHeight="1">
      <c r="A37" s="32" t="s">
        <v>12</v>
      </c>
      <c r="B37" s="30" t="s">
        <v>467</v>
      </c>
      <c r="C37" s="29">
        <v>1</v>
      </c>
      <c r="D37" s="6" t="s">
        <v>468</v>
      </c>
      <c r="E37" s="14" t="s">
        <v>469</v>
      </c>
      <c r="F37" s="2" t="s">
        <v>470</v>
      </c>
      <c r="G37" s="2" t="s">
        <v>40</v>
      </c>
      <c r="H37" s="17"/>
      <c r="I37" s="57">
        <v>45901</v>
      </c>
      <c r="J37" s="896"/>
      <c r="K37" s="896"/>
      <c r="L37" s="873"/>
      <c r="M37" s="873"/>
      <c r="N37" s="873"/>
      <c r="O37" s="873"/>
      <c r="P37" s="873"/>
      <c r="Q37" s="873"/>
      <c r="R37" s="873"/>
      <c r="S37" s="873"/>
      <c r="T37" s="873"/>
      <c r="U37" s="873"/>
      <c r="V37" s="873"/>
      <c r="W37" s="873"/>
      <c r="X37" s="873"/>
      <c r="Y37" s="873"/>
      <c r="Z37" s="873"/>
      <c r="AA37" s="873"/>
      <c r="AB37" s="873"/>
    </row>
    <row r="38" spans="1:34" ht="34.35" customHeight="1">
      <c r="A38" s="32" t="s">
        <v>12</v>
      </c>
      <c r="B38" s="30" t="s">
        <v>467</v>
      </c>
      <c r="C38" s="29">
        <v>2</v>
      </c>
      <c r="D38" s="6" t="s">
        <v>472</v>
      </c>
      <c r="E38" s="14" t="s">
        <v>473</v>
      </c>
      <c r="F38" s="2" t="s">
        <v>470</v>
      </c>
      <c r="G38" s="2" t="s">
        <v>40</v>
      </c>
      <c r="H38" s="1"/>
      <c r="I38" s="57">
        <v>45901</v>
      </c>
      <c r="J38" s="896"/>
      <c r="K38" s="896"/>
      <c r="L38" s="873"/>
      <c r="M38" s="873"/>
      <c r="N38" s="873"/>
      <c r="O38" s="873"/>
      <c r="P38" s="873"/>
      <c r="Q38" s="873"/>
      <c r="R38" s="873"/>
      <c r="S38" s="873"/>
      <c r="T38" s="873"/>
      <c r="U38" s="873"/>
      <c r="V38" s="873"/>
      <c r="W38" s="873"/>
      <c r="X38" s="873"/>
      <c r="Y38" s="873"/>
      <c r="Z38" s="873"/>
      <c r="AA38" s="873"/>
      <c r="AB38" s="873"/>
    </row>
    <row r="39" spans="1:34" ht="34.35" customHeight="1">
      <c r="A39" s="32" t="s">
        <v>12</v>
      </c>
      <c r="B39" s="30" t="s">
        <v>467</v>
      </c>
      <c r="C39" s="29">
        <v>3</v>
      </c>
      <c r="D39" s="6" t="s">
        <v>475</v>
      </c>
      <c r="E39" s="22" t="s">
        <v>133</v>
      </c>
      <c r="F39" s="2" t="s">
        <v>470</v>
      </c>
      <c r="G39" s="2" t="s">
        <v>477</v>
      </c>
      <c r="H39" s="17">
        <v>1</v>
      </c>
      <c r="I39" s="57">
        <v>45901</v>
      </c>
      <c r="J39" s="896"/>
      <c r="K39" s="896"/>
      <c r="L39" s="873"/>
      <c r="M39" s="873"/>
      <c r="N39" s="873"/>
      <c r="O39" s="873"/>
      <c r="P39" s="873"/>
      <c r="Q39" s="873"/>
      <c r="R39" s="873"/>
      <c r="S39" s="873"/>
      <c r="T39" s="873"/>
      <c r="U39" s="873"/>
      <c r="V39" s="873"/>
      <c r="W39" s="873"/>
      <c r="X39" s="873"/>
      <c r="Y39" s="873"/>
      <c r="Z39" s="873"/>
      <c r="AA39" s="873"/>
      <c r="AB39" s="873"/>
    </row>
    <row r="40" spans="1:34" ht="34.35" customHeight="1">
      <c r="A40" s="32" t="s">
        <v>12</v>
      </c>
      <c r="B40" s="30" t="s">
        <v>467</v>
      </c>
      <c r="C40" s="29">
        <v>4</v>
      </c>
      <c r="D40" s="6" t="s">
        <v>481</v>
      </c>
      <c r="E40" s="14" t="s">
        <v>38</v>
      </c>
      <c r="F40" s="2" t="s">
        <v>470</v>
      </c>
      <c r="G40" s="2" t="s">
        <v>40</v>
      </c>
      <c r="H40" s="1"/>
      <c r="I40" s="57">
        <v>45901</v>
      </c>
      <c r="J40" s="896"/>
      <c r="K40" s="896"/>
      <c r="L40" s="873"/>
      <c r="M40" s="873"/>
      <c r="N40" s="873"/>
      <c r="O40" s="873"/>
      <c r="P40" s="873"/>
      <c r="Q40" s="873"/>
      <c r="R40" s="873"/>
      <c r="S40" s="873"/>
      <c r="T40" s="873"/>
      <c r="U40" s="873"/>
      <c r="V40" s="873"/>
      <c r="W40" s="873"/>
      <c r="X40" s="873"/>
      <c r="Y40" s="873"/>
      <c r="Z40" s="873"/>
      <c r="AA40" s="873"/>
      <c r="AB40" s="873"/>
    </row>
    <row r="41" spans="1:34" ht="34.35" customHeight="1">
      <c r="A41" s="32" t="s">
        <v>12</v>
      </c>
      <c r="B41" s="30" t="s">
        <v>467</v>
      </c>
      <c r="C41" s="29">
        <v>5</v>
      </c>
      <c r="D41" s="6" t="s">
        <v>484</v>
      </c>
      <c r="E41" s="14" t="s">
        <v>38</v>
      </c>
      <c r="F41" s="2" t="s">
        <v>470</v>
      </c>
      <c r="G41" s="2" t="s">
        <v>40</v>
      </c>
      <c r="H41" s="17"/>
      <c r="I41" s="57">
        <v>45901</v>
      </c>
      <c r="J41" s="896"/>
      <c r="K41" s="896"/>
      <c r="L41" s="873"/>
      <c r="M41" s="873"/>
      <c r="N41" s="873"/>
      <c r="O41" s="873"/>
      <c r="P41" s="873"/>
      <c r="Q41" s="873"/>
      <c r="R41" s="873"/>
      <c r="S41" s="873"/>
      <c r="T41" s="873"/>
      <c r="U41" s="873"/>
      <c r="V41" s="873"/>
      <c r="W41" s="873"/>
      <c r="X41" s="873"/>
      <c r="Y41" s="873"/>
      <c r="Z41" s="873"/>
      <c r="AA41" s="873"/>
      <c r="AB41" s="873"/>
    </row>
    <row r="42" spans="1:34" ht="34.35" customHeight="1">
      <c r="A42" s="32" t="s">
        <v>12</v>
      </c>
      <c r="B42" s="12" t="s">
        <v>487</v>
      </c>
      <c r="C42" s="29">
        <v>6</v>
      </c>
      <c r="D42" s="6" t="s">
        <v>41</v>
      </c>
      <c r="E42" s="14" t="s">
        <v>38</v>
      </c>
      <c r="F42" s="2" t="s">
        <v>134</v>
      </c>
      <c r="G42" s="2" t="s">
        <v>40</v>
      </c>
      <c r="H42" s="17"/>
      <c r="I42" s="57">
        <v>45901</v>
      </c>
      <c r="J42" s="896"/>
      <c r="K42" s="896"/>
      <c r="L42" s="873"/>
      <c r="M42" s="873"/>
      <c r="N42" s="873"/>
      <c r="O42" s="873"/>
      <c r="P42" s="873"/>
      <c r="Q42" s="873"/>
      <c r="R42" s="873"/>
      <c r="S42" s="54"/>
      <c r="T42" s="54"/>
      <c r="U42" s="54"/>
      <c r="V42" s="54"/>
      <c r="W42" s="54"/>
      <c r="X42" s="54"/>
      <c r="Y42" s="54"/>
      <c r="Z42" s="54"/>
      <c r="AA42" s="54"/>
      <c r="AB42" s="54"/>
      <c r="AC42"/>
      <c r="AD42"/>
      <c r="AE42"/>
      <c r="AF42"/>
      <c r="AG42"/>
      <c r="AH42"/>
    </row>
    <row r="43" spans="1:34" ht="34.35" customHeight="1">
      <c r="A43" s="32" t="s">
        <v>12</v>
      </c>
      <c r="B43" s="11" t="s">
        <v>488</v>
      </c>
      <c r="C43" s="29">
        <v>7</v>
      </c>
      <c r="D43" s="6" t="s">
        <v>41</v>
      </c>
      <c r="E43" s="14" t="s">
        <v>38</v>
      </c>
      <c r="F43" s="2" t="s">
        <v>489</v>
      </c>
      <c r="G43" s="2" t="s">
        <v>40</v>
      </c>
      <c r="H43" s="45">
        <v>3.2</v>
      </c>
      <c r="I43" s="57">
        <v>45901</v>
      </c>
      <c r="J43" s="53"/>
      <c r="K43" s="53"/>
      <c r="L43" s="54"/>
      <c r="M43" s="54"/>
      <c r="N43" s="54"/>
      <c r="O43" s="54"/>
      <c r="P43" s="54"/>
      <c r="Q43" s="54"/>
      <c r="R43" s="54"/>
      <c r="S43" s="54"/>
      <c r="T43" s="54"/>
      <c r="U43" s="54"/>
      <c r="V43" s="54"/>
      <c r="W43" s="54"/>
      <c r="X43" s="54"/>
      <c r="Y43" s="54"/>
      <c r="Z43" s="54"/>
      <c r="AA43" s="54"/>
      <c r="AB43" s="54"/>
      <c r="AC43"/>
      <c r="AD43"/>
      <c r="AE43"/>
      <c r="AF43"/>
      <c r="AG43"/>
      <c r="AH43"/>
    </row>
    <row r="44" spans="1:34" ht="34.35" customHeight="1">
      <c r="A44" s="32" t="s">
        <v>12</v>
      </c>
      <c r="B44" s="30" t="s">
        <v>467</v>
      </c>
      <c r="C44" s="29">
        <v>1</v>
      </c>
      <c r="D44" s="6" t="s">
        <v>468</v>
      </c>
      <c r="E44" s="14" t="s">
        <v>469</v>
      </c>
      <c r="F44" s="2" t="s">
        <v>470</v>
      </c>
      <c r="G44" s="2" t="s">
        <v>40</v>
      </c>
      <c r="H44" s="17"/>
      <c r="I44" s="57">
        <v>45962</v>
      </c>
      <c r="J44" s="896"/>
      <c r="K44" s="896"/>
      <c r="L44" s="873"/>
      <c r="M44" s="873"/>
      <c r="N44" s="873"/>
      <c r="O44" s="873"/>
      <c r="P44" s="873"/>
      <c r="Q44" s="873"/>
      <c r="R44" s="873"/>
      <c r="S44" s="873"/>
      <c r="T44" s="873"/>
      <c r="U44" s="873"/>
      <c r="V44" s="873"/>
      <c r="W44" s="873"/>
      <c r="X44" s="873"/>
      <c r="Y44" s="873"/>
      <c r="Z44" s="873"/>
      <c r="AA44" s="873"/>
      <c r="AB44" s="873"/>
    </row>
    <row r="45" spans="1:34" ht="34.35" customHeight="1">
      <c r="A45" s="32" t="s">
        <v>12</v>
      </c>
      <c r="B45" s="30" t="s">
        <v>467</v>
      </c>
      <c r="C45" s="29">
        <v>2</v>
      </c>
      <c r="D45" s="6" t="s">
        <v>472</v>
      </c>
      <c r="E45" s="14" t="s">
        <v>473</v>
      </c>
      <c r="F45" s="2" t="s">
        <v>470</v>
      </c>
      <c r="G45" s="2" t="s">
        <v>40</v>
      </c>
      <c r="H45" s="1"/>
      <c r="I45" s="57">
        <v>45962</v>
      </c>
      <c r="J45" s="896"/>
      <c r="K45" s="896"/>
      <c r="L45" s="873"/>
      <c r="M45" s="873"/>
      <c r="N45" s="873"/>
      <c r="O45" s="873"/>
      <c r="P45" s="873"/>
      <c r="Q45" s="873"/>
      <c r="R45" s="873"/>
      <c r="S45" s="873"/>
      <c r="T45" s="873"/>
      <c r="U45" s="873"/>
      <c r="V45" s="873"/>
      <c r="W45" s="873"/>
      <c r="X45" s="873"/>
      <c r="Y45" s="873"/>
      <c r="Z45" s="873"/>
      <c r="AA45" s="873"/>
      <c r="AB45" s="873"/>
    </row>
    <row r="46" spans="1:34" ht="34.35" customHeight="1">
      <c r="A46" s="32" t="s">
        <v>12</v>
      </c>
      <c r="B46" s="30" t="s">
        <v>467</v>
      </c>
      <c r="C46" s="29">
        <v>3</v>
      </c>
      <c r="D46" s="6" t="s">
        <v>475</v>
      </c>
      <c r="E46" s="22" t="s">
        <v>133</v>
      </c>
      <c r="F46" s="2" t="s">
        <v>470</v>
      </c>
      <c r="G46" s="2" t="s">
        <v>477</v>
      </c>
      <c r="H46" s="17">
        <v>1</v>
      </c>
      <c r="I46" s="57">
        <v>45962</v>
      </c>
      <c r="J46" s="896"/>
      <c r="K46" s="896"/>
      <c r="L46" s="873"/>
      <c r="M46" s="873"/>
      <c r="N46" s="873"/>
      <c r="O46" s="873"/>
      <c r="P46" s="873"/>
      <c r="Q46" s="873"/>
      <c r="R46" s="873"/>
      <c r="S46" s="873"/>
      <c r="T46" s="873"/>
      <c r="U46" s="873"/>
      <c r="V46" s="873"/>
      <c r="W46" s="873"/>
      <c r="X46" s="873"/>
      <c r="Y46" s="873"/>
      <c r="Z46" s="873"/>
      <c r="AA46" s="873"/>
      <c r="AB46" s="873"/>
    </row>
    <row r="47" spans="1:34" ht="34.35" customHeight="1">
      <c r="A47" s="32" t="s">
        <v>12</v>
      </c>
      <c r="B47" s="30" t="s">
        <v>467</v>
      </c>
      <c r="C47" s="29">
        <v>4</v>
      </c>
      <c r="D47" s="6" t="s">
        <v>481</v>
      </c>
      <c r="E47" s="14" t="s">
        <v>38</v>
      </c>
      <c r="F47" s="2" t="s">
        <v>470</v>
      </c>
      <c r="G47" s="2" t="s">
        <v>40</v>
      </c>
      <c r="H47" s="1"/>
      <c r="I47" s="57">
        <v>45962</v>
      </c>
      <c r="J47" s="896"/>
      <c r="K47" s="896"/>
      <c r="L47" s="873"/>
      <c r="M47" s="873"/>
      <c r="N47" s="873"/>
      <c r="O47" s="873"/>
      <c r="P47" s="873"/>
      <c r="Q47" s="873"/>
      <c r="R47" s="873"/>
      <c r="S47" s="873"/>
      <c r="T47" s="873"/>
      <c r="U47" s="873"/>
      <c r="V47" s="873"/>
      <c r="W47" s="873"/>
      <c r="X47" s="873"/>
      <c r="Y47" s="873"/>
      <c r="Z47" s="873"/>
      <c r="AA47" s="873"/>
      <c r="AB47" s="873"/>
    </row>
    <row r="48" spans="1:34" ht="34.35" customHeight="1">
      <c r="A48" s="32" t="s">
        <v>12</v>
      </c>
      <c r="B48" s="30" t="s">
        <v>467</v>
      </c>
      <c r="C48" s="29">
        <v>5</v>
      </c>
      <c r="D48" s="6" t="s">
        <v>484</v>
      </c>
      <c r="E48" s="14" t="s">
        <v>38</v>
      </c>
      <c r="F48" s="2" t="s">
        <v>470</v>
      </c>
      <c r="G48" s="2" t="s">
        <v>40</v>
      </c>
      <c r="H48" s="17"/>
      <c r="I48" s="57">
        <v>45962</v>
      </c>
      <c r="J48" s="896"/>
      <c r="K48" s="896"/>
      <c r="L48" s="873"/>
      <c r="M48" s="873"/>
      <c r="N48" s="873"/>
      <c r="O48" s="873"/>
      <c r="P48" s="873"/>
      <c r="Q48" s="873"/>
      <c r="R48" s="873"/>
      <c r="S48" s="873"/>
      <c r="T48" s="873"/>
      <c r="U48" s="873"/>
      <c r="V48" s="873"/>
      <c r="W48" s="873"/>
      <c r="X48" s="873"/>
      <c r="Y48" s="873"/>
      <c r="Z48" s="873"/>
      <c r="AA48" s="873"/>
      <c r="AB48" s="873"/>
    </row>
    <row r="49" spans="1:34" ht="34.35" customHeight="1">
      <c r="A49" s="32" t="s">
        <v>12</v>
      </c>
      <c r="B49" s="12" t="s">
        <v>487</v>
      </c>
      <c r="C49" s="29">
        <v>6</v>
      </c>
      <c r="D49" s="6" t="s">
        <v>41</v>
      </c>
      <c r="E49" s="14" t="s">
        <v>38</v>
      </c>
      <c r="F49" s="2" t="s">
        <v>134</v>
      </c>
      <c r="G49" s="2" t="s">
        <v>40</v>
      </c>
      <c r="H49" s="17"/>
      <c r="I49" s="57">
        <v>45962</v>
      </c>
      <c r="J49" s="53"/>
      <c r="K49" s="53"/>
      <c r="L49" s="54"/>
      <c r="M49" s="54"/>
      <c r="N49" s="54"/>
      <c r="O49" s="54"/>
      <c r="P49" s="54"/>
      <c r="Q49" s="54"/>
      <c r="R49" s="54"/>
      <c r="S49" s="54"/>
      <c r="T49" s="54"/>
      <c r="U49" s="54"/>
      <c r="V49" s="54"/>
      <c r="W49" s="54"/>
      <c r="X49" s="54"/>
      <c r="Y49" s="54"/>
      <c r="Z49" s="54"/>
      <c r="AA49" s="54"/>
      <c r="AB49" s="54"/>
      <c r="AC49"/>
      <c r="AD49"/>
      <c r="AE49"/>
      <c r="AF49"/>
      <c r="AG49"/>
      <c r="AH49"/>
    </row>
    <row r="50" spans="1:34" ht="34.35" customHeight="1">
      <c r="A50" s="32" t="s">
        <v>12</v>
      </c>
      <c r="B50" s="11" t="s">
        <v>488</v>
      </c>
      <c r="C50" s="29">
        <v>7</v>
      </c>
      <c r="D50" s="6" t="s">
        <v>41</v>
      </c>
      <c r="E50" s="14" t="s">
        <v>38</v>
      </c>
      <c r="F50" s="2" t="s">
        <v>489</v>
      </c>
      <c r="G50" s="2" t="s">
        <v>40</v>
      </c>
      <c r="H50" s="45">
        <v>3.2</v>
      </c>
      <c r="I50" s="57">
        <v>45962</v>
      </c>
      <c r="J50" s="53"/>
      <c r="K50" s="53"/>
      <c r="L50" s="54"/>
      <c r="M50" s="54"/>
      <c r="N50" s="54"/>
      <c r="O50" s="54"/>
      <c r="P50" s="54"/>
      <c r="Q50" s="54"/>
      <c r="R50" s="54"/>
      <c r="S50" s="54"/>
      <c r="T50" s="54"/>
      <c r="U50" s="54"/>
      <c r="V50" s="54"/>
      <c r="W50" s="54"/>
      <c r="X50" s="54"/>
      <c r="Y50" s="54"/>
      <c r="Z50" s="54"/>
      <c r="AA50" s="54"/>
      <c r="AB50" s="54"/>
      <c r="AC50"/>
      <c r="AD50"/>
      <c r="AE50"/>
      <c r="AF50"/>
      <c r="AG50"/>
      <c r="AH50"/>
    </row>
    <row r="51" spans="1:34" ht="34.35" customHeight="1">
      <c r="A51" s="32" t="s">
        <v>12</v>
      </c>
      <c r="B51" s="30" t="s">
        <v>467</v>
      </c>
      <c r="C51" s="29">
        <v>1</v>
      </c>
      <c r="D51" s="6" t="s">
        <v>468</v>
      </c>
      <c r="E51" s="14" t="s">
        <v>469</v>
      </c>
      <c r="F51" s="2" t="s">
        <v>470</v>
      </c>
      <c r="G51" s="2" t="s">
        <v>40</v>
      </c>
      <c r="H51" s="17"/>
      <c r="I51" s="57">
        <v>45992</v>
      </c>
      <c r="J51" s="896"/>
      <c r="K51" s="896"/>
      <c r="L51" s="873"/>
      <c r="M51" s="873"/>
      <c r="N51" s="873"/>
      <c r="O51" s="873"/>
      <c r="P51" s="873"/>
      <c r="Q51" s="873"/>
      <c r="R51" s="873"/>
      <c r="S51" s="873"/>
      <c r="T51" s="873"/>
      <c r="U51" s="873"/>
      <c r="V51" s="873"/>
      <c r="W51" s="873"/>
      <c r="X51" s="873"/>
      <c r="Y51" s="873"/>
      <c r="Z51" s="873"/>
      <c r="AA51" s="873"/>
      <c r="AB51" s="873"/>
    </row>
    <row r="52" spans="1:34" ht="34.35" customHeight="1">
      <c r="A52" s="32" t="s">
        <v>12</v>
      </c>
      <c r="B52" s="30" t="s">
        <v>467</v>
      </c>
      <c r="C52" s="29">
        <v>2</v>
      </c>
      <c r="D52" s="6" t="s">
        <v>472</v>
      </c>
      <c r="E52" s="14" t="s">
        <v>473</v>
      </c>
      <c r="F52" s="2" t="s">
        <v>470</v>
      </c>
      <c r="G52" s="2" t="s">
        <v>40</v>
      </c>
      <c r="H52" s="1"/>
      <c r="I52" s="57">
        <v>45992</v>
      </c>
      <c r="J52" s="896"/>
      <c r="K52" s="896"/>
      <c r="L52" s="873"/>
      <c r="M52" s="873"/>
      <c r="N52" s="873"/>
      <c r="O52" s="873"/>
      <c r="P52" s="873"/>
      <c r="Q52" s="873"/>
      <c r="R52" s="873"/>
      <c r="S52" s="873"/>
      <c r="T52" s="873"/>
      <c r="U52" s="873"/>
      <c r="V52" s="873"/>
      <c r="W52" s="873"/>
      <c r="X52" s="873"/>
      <c r="Y52" s="873"/>
      <c r="Z52" s="873"/>
      <c r="AA52" s="873"/>
      <c r="AB52" s="873"/>
    </row>
    <row r="53" spans="1:34" ht="34.35" customHeight="1">
      <c r="A53" s="32" t="s">
        <v>12</v>
      </c>
      <c r="B53" s="30" t="s">
        <v>467</v>
      </c>
      <c r="C53" s="29">
        <v>3</v>
      </c>
      <c r="D53" s="6" t="s">
        <v>475</v>
      </c>
      <c r="E53" s="22" t="s">
        <v>133</v>
      </c>
      <c r="F53" s="2" t="s">
        <v>470</v>
      </c>
      <c r="G53" s="2" t="s">
        <v>477</v>
      </c>
      <c r="H53" s="17">
        <v>1</v>
      </c>
      <c r="I53" s="57">
        <v>45992</v>
      </c>
      <c r="J53" s="896"/>
      <c r="K53" s="896"/>
      <c r="L53" s="873"/>
      <c r="M53" s="873"/>
      <c r="N53" s="873"/>
      <c r="O53" s="873"/>
      <c r="P53" s="873"/>
      <c r="Q53" s="873"/>
      <c r="R53" s="873"/>
      <c r="S53" s="873"/>
      <c r="T53" s="873"/>
      <c r="U53" s="873"/>
      <c r="V53" s="873"/>
      <c r="W53" s="873"/>
      <c r="X53" s="873"/>
      <c r="Y53" s="873"/>
      <c r="Z53" s="873"/>
      <c r="AA53" s="873"/>
      <c r="AB53" s="873"/>
    </row>
    <row r="54" spans="1:34" ht="34.35" customHeight="1">
      <c r="A54" s="32" t="s">
        <v>12</v>
      </c>
      <c r="B54" s="30" t="s">
        <v>467</v>
      </c>
      <c r="C54" s="29">
        <v>4</v>
      </c>
      <c r="D54" s="6" t="s">
        <v>481</v>
      </c>
      <c r="E54" s="14" t="s">
        <v>38</v>
      </c>
      <c r="F54" s="2" t="s">
        <v>470</v>
      </c>
      <c r="G54" s="2" t="s">
        <v>40</v>
      </c>
      <c r="H54" s="1"/>
      <c r="I54" s="57">
        <v>45992</v>
      </c>
      <c r="J54" s="896"/>
      <c r="K54" s="896"/>
      <c r="L54" s="873"/>
      <c r="M54" s="873"/>
      <c r="N54" s="873"/>
      <c r="O54" s="873"/>
      <c r="P54" s="873"/>
      <c r="Q54" s="873"/>
      <c r="R54" s="873"/>
      <c r="S54" s="873"/>
      <c r="T54" s="873"/>
      <c r="U54" s="873"/>
      <c r="V54" s="873"/>
      <c r="W54" s="873"/>
      <c r="X54" s="873"/>
      <c r="Y54" s="873"/>
      <c r="Z54" s="873"/>
      <c r="AA54" s="873"/>
      <c r="AB54" s="873"/>
    </row>
    <row r="55" spans="1:34" ht="34.35" customHeight="1">
      <c r="A55" s="32" t="s">
        <v>12</v>
      </c>
      <c r="B55" s="30" t="s">
        <v>467</v>
      </c>
      <c r="C55" s="29">
        <v>5</v>
      </c>
      <c r="D55" s="6" t="s">
        <v>484</v>
      </c>
      <c r="E55" s="14" t="s">
        <v>38</v>
      </c>
      <c r="F55" s="2" t="s">
        <v>470</v>
      </c>
      <c r="G55" s="2" t="s">
        <v>40</v>
      </c>
      <c r="H55" s="17"/>
      <c r="I55" s="57">
        <v>45992</v>
      </c>
      <c r="J55" s="896"/>
      <c r="K55" s="896"/>
      <c r="L55" s="873"/>
      <c r="M55" s="873"/>
      <c r="N55" s="873"/>
      <c r="O55" s="873"/>
      <c r="P55" s="873"/>
      <c r="Q55" s="873"/>
      <c r="R55" s="873"/>
      <c r="S55" s="873"/>
      <c r="T55" s="873"/>
      <c r="U55" s="873"/>
      <c r="V55" s="873"/>
      <c r="W55" s="873"/>
      <c r="X55" s="873"/>
      <c r="Y55" s="873"/>
      <c r="Z55" s="873"/>
      <c r="AA55" s="873"/>
      <c r="AB55" s="873"/>
    </row>
    <row r="56" spans="1:34" ht="34.35" customHeight="1">
      <c r="A56" s="32" t="s">
        <v>12</v>
      </c>
      <c r="B56" s="12" t="s">
        <v>487</v>
      </c>
      <c r="C56" s="29">
        <v>6</v>
      </c>
      <c r="D56" s="6" t="s">
        <v>41</v>
      </c>
      <c r="E56" s="14" t="s">
        <v>38</v>
      </c>
      <c r="F56" s="2" t="s">
        <v>134</v>
      </c>
      <c r="G56" s="2" t="s">
        <v>40</v>
      </c>
      <c r="H56" s="17"/>
      <c r="I56" s="57">
        <v>45992</v>
      </c>
      <c r="J56" s="53"/>
      <c r="K56" s="53"/>
      <c r="L56" s="54"/>
      <c r="M56" s="54"/>
      <c r="N56" s="54"/>
      <c r="O56" s="54"/>
      <c r="P56" s="54"/>
      <c r="Q56" s="54"/>
      <c r="R56" s="54"/>
      <c r="S56" s="54"/>
      <c r="T56" s="54"/>
      <c r="U56" s="54"/>
      <c r="V56" s="54"/>
      <c r="W56" s="54"/>
      <c r="X56" s="54"/>
      <c r="Y56" s="54"/>
      <c r="Z56" s="54"/>
      <c r="AA56" s="54"/>
      <c r="AB56" s="54"/>
      <c r="AC56"/>
      <c r="AD56"/>
      <c r="AE56"/>
      <c r="AF56"/>
      <c r="AG56"/>
      <c r="AH56"/>
    </row>
    <row r="57" spans="1:34" ht="34.35" customHeight="1">
      <c r="A57" s="32" t="s">
        <v>12</v>
      </c>
      <c r="B57" s="11" t="s">
        <v>488</v>
      </c>
      <c r="C57" s="29">
        <v>7</v>
      </c>
      <c r="D57" s="6" t="s">
        <v>41</v>
      </c>
      <c r="E57" s="14" t="s">
        <v>38</v>
      </c>
      <c r="F57" s="2" t="s">
        <v>489</v>
      </c>
      <c r="G57" s="2" t="s">
        <v>40</v>
      </c>
      <c r="H57" s="45">
        <v>3.2</v>
      </c>
      <c r="I57" s="57">
        <v>45992</v>
      </c>
      <c r="J57" s="53"/>
      <c r="K57" s="53"/>
      <c r="L57" s="54"/>
      <c r="M57" s="54"/>
      <c r="N57" s="54"/>
      <c r="O57" s="54"/>
      <c r="P57" s="54"/>
      <c r="Q57" s="54"/>
      <c r="R57" s="54"/>
      <c r="S57" s="54"/>
      <c r="T57" s="54"/>
      <c r="U57" s="54"/>
      <c r="V57" s="54"/>
      <c r="W57" s="54"/>
      <c r="X57" s="54"/>
      <c r="Y57" s="54"/>
      <c r="Z57" s="54"/>
      <c r="AA57" s="54"/>
      <c r="AB57" s="54"/>
      <c r="AC57"/>
      <c r="AD57"/>
      <c r="AE57"/>
      <c r="AF57"/>
      <c r="AG57"/>
      <c r="AH57"/>
    </row>
    <row r="58" spans="1:34" ht="34.35" customHeight="1">
      <c r="A58" s="32" t="s">
        <v>12</v>
      </c>
      <c r="B58" s="30" t="s">
        <v>467</v>
      </c>
      <c r="C58" s="29">
        <v>1</v>
      </c>
      <c r="D58" s="6" t="s">
        <v>468</v>
      </c>
      <c r="E58" s="14" t="s">
        <v>469</v>
      </c>
      <c r="F58" s="2" t="s">
        <v>470</v>
      </c>
      <c r="G58" s="2" t="s">
        <v>40</v>
      </c>
      <c r="H58" s="17"/>
      <c r="I58" s="57">
        <v>46023</v>
      </c>
      <c r="J58" s="896"/>
      <c r="K58" s="896"/>
      <c r="L58" s="873"/>
      <c r="M58" s="873"/>
      <c r="N58" s="873"/>
      <c r="O58" s="873"/>
      <c r="P58" s="873"/>
      <c r="Q58" s="873"/>
      <c r="R58" s="873"/>
      <c r="S58" s="873"/>
      <c r="T58" s="873"/>
      <c r="U58" s="873"/>
      <c r="V58" s="873"/>
      <c r="W58" s="873"/>
      <c r="X58" s="873"/>
      <c r="Y58" s="873"/>
      <c r="Z58" s="873"/>
      <c r="AA58" s="873"/>
      <c r="AB58" s="873"/>
    </row>
    <row r="59" spans="1:34" ht="34.35" customHeight="1">
      <c r="A59" s="32" t="s">
        <v>12</v>
      </c>
      <c r="B59" s="30" t="s">
        <v>467</v>
      </c>
      <c r="C59" s="29">
        <v>2</v>
      </c>
      <c r="D59" s="6" t="s">
        <v>472</v>
      </c>
      <c r="E59" s="14" t="s">
        <v>473</v>
      </c>
      <c r="F59" s="2" t="s">
        <v>470</v>
      </c>
      <c r="G59" s="2" t="s">
        <v>40</v>
      </c>
      <c r="H59" s="1"/>
      <c r="I59" s="57">
        <v>46023</v>
      </c>
      <c r="J59" s="896"/>
      <c r="K59" s="896"/>
      <c r="L59" s="873"/>
      <c r="M59" s="873"/>
      <c r="N59" s="873"/>
      <c r="O59" s="873"/>
      <c r="P59" s="873"/>
      <c r="Q59" s="873"/>
      <c r="R59" s="873"/>
      <c r="S59" s="873"/>
      <c r="T59" s="873"/>
      <c r="U59" s="873"/>
      <c r="V59" s="873"/>
      <c r="W59" s="873"/>
      <c r="X59" s="873"/>
      <c r="Y59" s="873"/>
      <c r="Z59" s="873"/>
      <c r="AA59" s="873"/>
      <c r="AB59" s="873"/>
    </row>
    <row r="60" spans="1:34" ht="34.35" customHeight="1">
      <c r="A60" s="32" t="s">
        <v>12</v>
      </c>
      <c r="B60" s="30" t="s">
        <v>467</v>
      </c>
      <c r="C60" s="29">
        <v>3</v>
      </c>
      <c r="D60" s="6" t="s">
        <v>475</v>
      </c>
      <c r="E60" s="22" t="s">
        <v>133</v>
      </c>
      <c r="F60" s="2" t="s">
        <v>470</v>
      </c>
      <c r="G60" s="2" t="s">
        <v>477</v>
      </c>
      <c r="H60" s="17">
        <v>1</v>
      </c>
      <c r="I60" s="57">
        <v>46023</v>
      </c>
      <c r="J60" s="896"/>
      <c r="K60" s="896"/>
      <c r="L60" s="873"/>
      <c r="M60" s="873"/>
      <c r="N60" s="873"/>
      <c r="O60" s="873"/>
      <c r="P60" s="873"/>
      <c r="Q60" s="873"/>
      <c r="R60" s="873"/>
      <c r="S60" s="873"/>
      <c r="T60" s="873"/>
      <c r="U60" s="873"/>
      <c r="V60" s="873"/>
      <c r="W60" s="873"/>
      <c r="X60" s="873"/>
      <c r="Y60" s="873"/>
      <c r="Z60" s="873"/>
      <c r="AA60" s="873"/>
      <c r="AB60" s="873"/>
    </row>
    <row r="61" spans="1:34" ht="34.35" customHeight="1">
      <c r="A61" s="32" t="s">
        <v>12</v>
      </c>
      <c r="B61" s="30" t="s">
        <v>467</v>
      </c>
      <c r="C61" s="29">
        <v>4</v>
      </c>
      <c r="D61" s="6" t="s">
        <v>481</v>
      </c>
      <c r="E61" s="14" t="s">
        <v>38</v>
      </c>
      <c r="F61" s="2" t="s">
        <v>470</v>
      </c>
      <c r="G61" s="2" t="s">
        <v>40</v>
      </c>
      <c r="H61" s="1"/>
      <c r="I61" s="57">
        <v>46023</v>
      </c>
      <c r="J61" s="896"/>
      <c r="K61" s="896"/>
      <c r="L61" s="873"/>
      <c r="M61" s="873"/>
      <c r="N61" s="873"/>
      <c r="O61" s="873"/>
      <c r="P61" s="873"/>
      <c r="Q61" s="873"/>
      <c r="R61" s="873"/>
      <c r="S61" s="873"/>
      <c r="T61" s="873"/>
      <c r="U61" s="873"/>
      <c r="V61" s="873"/>
      <c r="W61" s="873"/>
      <c r="X61" s="873"/>
      <c r="Y61" s="873"/>
      <c r="Z61" s="873"/>
      <c r="AA61" s="873"/>
      <c r="AB61" s="873"/>
    </row>
    <row r="62" spans="1:34" ht="34.35" customHeight="1">
      <c r="A62" s="32" t="s">
        <v>12</v>
      </c>
      <c r="B62" s="30" t="s">
        <v>467</v>
      </c>
      <c r="C62" s="29">
        <v>5</v>
      </c>
      <c r="D62" s="6" t="s">
        <v>484</v>
      </c>
      <c r="E62" s="14" t="s">
        <v>38</v>
      </c>
      <c r="F62" s="2" t="s">
        <v>470</v>
      </c>
      <c r="G62" s="2" t="s">
        <v>40</v>
      </c>
      <c r="H62" s="17"/>
      <c r="I62" s="57">
        <v>46023</v>
      </c>
      <c r="J62" s="896"/>
      <c r="K62" s="896"/>
      <c r="L62" s="873"/>
      <c r="M62" s="873"/>
      <c r="N62" s="873"/>
      <c r="O62" s="873"/>
      <c r="P62" s="873"/>
      <c r="Q62" s="873"/>
      <c r="R62" s="873"/>
      <c r="S62" s="873"/>
      <c r="T62" s="873"/>
      <c r="U62" s="873"/>
      <c r="V62" s="873"/>
      <c r="W62" s="873"/>
      <c r="X62" s="873"/>
      <c r="Y62" s="873"/>
      <c r="Z62" s="873"/>
      <c r="AA62" s="873"/>
      <c r="AB62" s="873"/>
    </row>
    <row r="63" spans="1:34" ht="34.35" customHeight="1">
      <c r="A63" s="32" t="s">
        <v>12</v>
      </c>
      <c r="B63" s="12" t="s">
        <v>487</v>
      </c>
      <c r="C63" s="29">
        <v>6</v>
      </c>
      <c r="D63" s="6" t="s">
        <v>41</v>
      </c>
      <c r="E63" s="14" t="s">
        <v>38</v>
      </c>
      <c r="F63" s="2" t="s">
        <v>134</v>
      </c>
      <c r="G63" s="2" t="s">
        <v>40</v>
      </c>
      <c r="H63" s="17"/>
      <c r="I63" s="57">
        <v>46023</v>
      </c>
      <c r="J63" s="53"/>
      <c r="K63" s="53"/>
      <c r="L63" s="54"/>
      <c r="M63" s="54"/>
      <c r="N63" s="54"/>
      <c r="O63" s="54"/>
      <c r="P63" s="54"/>
      <c r="Q63" s="54"/>
      <c r="R63" s="54"/>
      <c r="S63" s="54"/>
      <c r="T63" s="54"/>
      <c r="U63" s="54"/>
      <c r="V63" s="54"/>
      <c r="W63" s="54"/>
      <c r="X63" s="54"/>
      <c r="Y63" s="54"/>
      <c r="Z63" s="54"/>
      <c r="AA63" s="54"/>
      <c r="AB63" s="54"/>
      <c r="AC63"/>
      <c r="AD63"/>
      <c r="AE63"/>
      <c r="AF63"/>
      <c r="AG63"/>
      <c r="AH63"/>
    </row>
    <row r="64" spans="1:34" ht="34.35" customHeight="1">
      <c r="A64" s="32" t="s">
        <v>12</v>
      </c>
      <c r="B64" s="11" t="s">
        <v>488</v>
      </c>
      <c r="C64" s="29">
        <v>7</v>
      </c>
      <c r="D64" s="6" t="s">
        <v>41</v>
      </c>
      <c r="E64" s="14" t="s">
        <v>38</v>
      </c>
      <c r="F64" s="2" t="s">
        <v>489</v>
      </c>
      <c r="G64" s="2" t="s">
        <v>40</v>
      </c>
      <c r="H64" s="45">
        <v>3.2</v>
      </c>
      <c r="I64" s="57">
        <v>46023</v>
      </c>
      <c r="J64" s="53"/>
      <c r="K64" s="53"/>
      <c r="L64" s="54"/>
      <c r="M64" s="54"/>
      <c r="N64" s="54"/>
      <c r="O64" s="54"/>
      <c r="P64" s="54"/>
      <c r="Q64" s="54"/>
      <c r="R64" s="54"/>
      <c r="S64" s="54"/>
      <c r="T64" s="54"/>
      <c r="U64" s="54"/>
      <c r="V64" s="54"/>
      <c r="W64" s="54"/>
      <c r="X64" s="54"/>
      <c r="Y64" s="54"/>
      <c r="Z64" s="54"/>
      <c r="AA64" s="54"/>
      <c r="AB64" s="54"/>
      <c r="AC64"/>
      <c r="AD64"/>
      <c r="AE64"/>
      <c r="AF64"/>
      <c r="AG64"/>
      <c r="AH64"/>
    </row>
    <row r="65" spans="1:34" ht="34.35" customHeight="1">
      <c r="A65" s="32" t="s">
        <v>12</v>
      </c>
      <c r="B65" s="30" t="s">
        <v>467</v>
      </c>
      <c r="C65" s="29">
        <v>1</v>
      </c>
      <c r="D65" s="6" t="s">
        <v>468</v>
      </c>
      <c r="E65" s="14" t="s">
        <v>469</v>
      </c>
      <c r="F65" s="2" t="s">
        <v>470</v>
      </c>
      <c r="G65" s="2" t="s">
        <v>40</v>
      </c>
      <c r="H65" s="17"/>
      <c r="I65" s="57">
        <v>46054</v>
      </c>
      <c r="J65" s="896"/>
      <c r="K65" s="896"/>
      <c r="L65" s="873"/>
      <c r="M65" s="873"/>
      <c r="N65" s="873"/>
      <c r="O65" s="873"/>
      <c r="P65" s="873"/>
      <c r="Q65" s="873"/>
      <c r="R65" s="873"/>
      <c r="S65" s="873"/>
      <c r="T65" s="873"/>
      <c r="U65" s="873"/>
      <c r="V65" s="873"/>
      <c r="W65" s="873"/>
      <c r="X65" s="873"/>
      <c r="Y65" s="873"/>
      <c r="Z65" s="873"/>
      <c r="AA65" s="873"/>
      <c r="AB65" s="873"/>
    </row>
    <row r="66" spans="1:34" ht="34.35" customHeight="1">
      <c r="A66" s="32" t="s">
        <v>12</v>
      </c>
      <c r="B66" s="30" t="s">
        <v>467</v>
      </c>
      <c r="C66" s="29">
        <v>2</v>
      </c>
      <c r="D66" s="6" t="s">
        <v>472</v>
      </c>
      <c r="E66" s="14" t="s">
        <v>473</v>
      </c>
      <c r="F66" s="2" t="s">
        <v>470</v>
      </c>
      <c r="G66" s="2" t="s">
        <v>40</v>
      </c>
      <c r="H66" s="1"/>
      <c r="I66" s="57">
        <v>46054</v>
      </c>
      <c r="J66" s="896"/>
      <c r="K66" s="896"/>
      <c r="L66" s="873"/>
      <c r="M66" s="873"/>
      <c r="N66" s="873"/>
      <c r="O66" s="873"/>
      <c r="P66" s="873"/>
      <c r="Q66" s="873"/>
      <c r="R66" s="873"/>
      <c r="S66" s="873"/>
      <c r="T66" s="873"/>
      <c r="U66" s="873"/>
      <c r="V66" s="873"/>
      <c r="W66" s="873"/>
      <c r="X66" s="873"/>
      <c r="Y66" s="873"/>
      <c r="Z66" s="873"/>
      <c r="AA66" s="873"/>
      <c r="AB66" s="873"/>
    </row>
    <row r="67" spans="1:34" ht="34.35" customHeight="1">
      <c r="A67" s="32" t="s">
        <v>12</v>
      </c>
      <c r="B67" s="30" t="s">
        <v>467</v>
      </c>
      <c r="C67" s="29">
        <v>3</v>
      </c>
      <c r="D67" s="6" t="s">
        <v>475</v>
      </c>
      <c r="E67" s="22" t="s">
        <v>133</v>
      </c>
      <c r="F67" s="2" t="s">
        <v>470</v>
      </c>
      <c r="G67" s="2" t="s">
        <v>477</v>
      </c>
      <c r="H67" s="17">
        <v>1</v>
      </c>
      <c r="I67" s="57">
        <v>46054</v>
      </c>
      <c r="J67" s="896"/>
      <c r="K67" s="896"/>
      <c r="L67" s="873"/>
      <c r="M67" s="873"/>
      <c r="N67" s="873"/>
      <c r="O67" s="873"/>
      <c r="P67" s="873"/>
      <c r="Q67" s="873"/>
      <c r="R67" s="873"/>
      <c r="S67" s="873"/>
      <c r="T67" s="873"/>
      <c r="U67" s="873"/>
      <c r="V67" s="873"/>
      <c r="W67" s="873"/>
      <c r="X67" s="873"/>
      <c r="Y67" s="873"/>
      <c r="Z67" s="873"/>
      <c r="AA67" s="873"/>
      <c r="AB67" s="873"/>
    </row>
    <row r="68" spans="1:34" ht="34.35" customHeight="1">
      <c r="A68" s="32" t="s">
        <v>12</v>
      </c>
      <c r="B68" s="30" t="s">
        <v>467</v>
      </c>
      <c r="C68" s="29">
        <v>4</v>
      </c>
      <c r="D68" s="6" t="s">
        <v>481</v>
      </c>
      <c r="E68" s="14" t="s">
        <v>38</v>
      </c>
      <c r="F68" s="2" t="s">
        <v>470</v>
      </c>
      <c r="G68" s="2" t="s">
        <v>40</v>
      </c>
      <c r="H68" s="1"/>
      <c r="I68" s="57">
        <v>46054</v>
      </c>
      <c r="J68" s="896"/>
      <c r="K68" s="896"/>
      <c r="L68" s="873"/>
      <c r="M68" s="873"/>
      <c r="N68" s="873"/>
      <c r="O68" s="873"/>
      <c r="P68" s="873"/>
      <c r="Q68" s="873"/>
      <c r="R68" s="873"/>
      <c r="S68" s="873"/>
      <c r="T68" s="873"/>
      <c r="U68" s="873"/>
      <c r="V68" s="873"/>
      <c r="W68" s="873"/>
      <c r="X68" s="873"/>
      <c r="Y68" s="873"/>
      <c r="Z68" s="873"/>
      <c r="AA68" s="873"/>
      <c r="AB68" s="873"/>
    </row>
    <row r="69" spans="1:34" ht="34.35" customHeight="1">
      <c r="A69" s="32" t="s">
        <v>12</v>
      </c>
      <c r="B69" s="30" t="s">
        <v>467</v>
      </c>
      <c r="C69" s="29">
        <v>5</v>
      </c>
      <c r="D69" s="6" t="s">
        <v>484</v>
      </c>
      <c r="E69" s="14" t="s">
        <v>38</v>
      </c>
      <c r="F69" s="2" t="s">
        <v>470</v>
      </c>
      <c r="G69" s="2" t="s">
        <v>40</v>
      </c>
      <c r="H69" s="17"/>
      <c r="I69" s="57">
        <v>46054</v>
      </c>
      <c r="J69" s="896"/>
      <c r="K69" s="896"/>
      <c r="L69" s="873"/>
      <c r="M69" s="873"/>
      <c r="N69" s="873"/>
      <c r="O69" s="873"/>
      <c r="P69" s="873"/>
      <c r="Q69" s="873"/>
      <c r="R69" s="873"/>
      <c r="S69" s="873"/>
      <c r="T69" s="873"/>
      <c r="U69" s="873"/>
      <c r="V69" s="873"/>
      <c r="W69" s="873"/>
      <c r="X69" s="873"/>
      <c r="Y69" s="873"/>
      <c r="Z69" s="873"/>
      <c r="AA69" s="873"/>
      <c r="AB69" s="873"/>
    </row>
    <row r="70" spans="1:34" ht="34.35" customHeight="1">
      <c r="A70" s="32" t="s">
        <v>12</v>
      </c>
      <c r="B70" s="12" t="s">
        <v>487</v>
      </c>
      <c r="C70" s="29">
        <v>6</v>
      </c>
      <c r="D70" s="6" t="s">
        <v>41</v>
      </c>
      <c r="E70" s="14" t="s">
        <v>38</v>
      </c>
      <c r="F70" s="2" t="s">
        <v>134</v>
      </c>
      <c r="G70" s="2" t="s">
        <v>40</v>
      </c>
      <c r="H70" s="17"/>
      <c r="I70" s="57">
        <v>46054</v>
      </c>
      <c r="J70" s="53"/>
      <c r="K70" s="53"/>
      <c r="L70" s="54"/>
      <c r="M70" s="54"/>
      <c r="N70" s="54"/>
      <c r="O70" s="54"/>
      <c r="P70" s="54"/>
      <c r="Q70" s="54"/>
      <c r="R70" s="54"/>
      <c r="S70" s="54"/>
      <c r="T70" s="54"/>
      <c r="U70" s="54"/>
      <c r="V70" s="54"/>
      <c r="W70" s="54"/>
      <c r="X70" s="54"/>
      <c r="Y70" s="54"/>
      <c r="Z70" s="54"/>
      <c r="AA70" s="54"/>
      <c r="AB70" s="54"/>
      <c r="AC70"/>
      <c r="AD70"/>
      <c r="AE70"/>
      <c r="AF70"/>
      <c r="AG70"/>
      <c r="AH70"/>
    </row>
    <row r="71" spans="1:34" ht="34.35" customHeight="1">
      <c r="A71" s="32" t="s">
        <v>12</v>
      </c>
      <c r="B71" s="11" t="s">
        <v>488</v>
      </c>
      <c r="C71" s="29">
        <v>7</v>
      </c>
      <c r="D71" s="6" t="s">
        <v>41</v>
      </c>
      <c r="E71" s="14" t="s">
        <v>38</v>
      </c>
      <c r="F71" s="2" t="s">
        <v>489</v>
      </c>
      <c r="G71" s="2" t="s">
        <v>40</v>
      </c>
      <c r="H71" s="45">
        <v>3.2</v>
      </c>
      <c r="I71" s="57">
        <v>46054</v>
      </c>
      <c r="J71" s="53"/>
      <c r="K71" s="53"/>
      <c r="L71" s="54"/>
      <c r="M71" s="54"/>
      <c r="N71" s="54"/>
      <c r="O71" s="54"/>
      <c r="P71" s="54"/>
      <c r="Q71" s="54"/>
      <c r="R71" s="54"/>
      <c r="S71" s="54"/>
      <c r="T71" s="54"/>
      <c r="U71" s="54"/>
      <c r="V71" s="54"/>
      <c r="W71" s="54"/>
      <c r="X71" s="54"/>
      <c r="Y71" s="54"/>
      <c r="Z71" s="54"/>
      <c r="AA71" s="54"/>
      <c r="AB71" s="54"/>
      <c r="AC71"/>
      <c r="AD71"/>
      <c r="AE71"/>
      <c r="AF71"/>
      <c r="AG71"/>
      <c r="AH71"/>
    </row>
    <row r="72" spans="1:34" ht="34.35" customHeight="1">
      <c r="A72" s="32" t="s">
        <v>12</v>
      </c>
      <c r="B72" s="30" t="s">
        <v>467</v>
      </c>
      <c r="C72" s="29">
        <v>1</v>
      </c>
      <c r="D72" s="6" t="s">
        <v>468</v>
      </c>
      <c r="E72" s="14" t="s">
        <v>469</v>
      </c>
      <c r="F72" s="2" t="s">
        <v>470</v>
      </c>
      <c r="G72" s="2" t="s">
        <v>40</v>
      </c>
      <c r="H72" s="17"/>
      <c r="I72" s="57">
        <v>46082</v>
      </c>
      <c r="J72" s="896"/>
      <c r="K72" s="896"/>
      <c r="L72" s="873"/>
      <c r="M72" s="873"/>
      <c r="N72" s="873"/>
      <c r="O72" s="873"/>
      <c r="P72" s="873"/>
      <c r="Q72" s="873"/>
      <c r="R72" s="873"/>
      <c r="S72" s="873"/>
      <c r="T72" s="873"/>
      <c r="U72" s="873"/>
      <c r="V72" s="873"/>
      <c r="W72" s="873"/>
      <c r="X72" s="873"/>
      <c r="Y72" s="873"/>
      <c r="Z72" s="873"/>
      <c r="AA72" s="873"/>
      <c r="AB72" s="873"/>
    </row>
    <row r="73" spans="1:34" ht="34.35" customHeight="1">
      <c r="A73" s="32" t="s">
        <v>12</v>
      </c>
      <c r="B73" s="30" t="s">
        <v>467</v>
      </c>
      <c r="C73" s="29">
        <v>2</v>
      </c>
      <c r="D73" s="6" t="s">
        <v>472</v>
      </c>
      <c r="E73" s="14" t="s">
        <v>473</v>
      </c>
      <c r="F73" s="2" t="s">
        <v>470</v>
      </c>
      <c r="G73" s="2" t="s">
        <v>40</v>
      </c>
      <c r="H73" s="1"/>
      <c r="I73" s="57">
        <v>46082</v>
      </c>
      <c r="J73" s="896"/>
      <c r="K73" s="896"/>
      <c r="L73" s="873"/>
      <c r="M73" s="873"/>
      <c r="N73" s="873"/>
      <c r="O73" s="873"/>
      <c r="P73" s="873"/>
      <c r="Q73" s="873"/>
      <c r="R73" s="873"/>
      <c r="S73" s="873"/>
      <c r="T73" s="873"/>
      <c r="U73" s="873"/>
      <c r="V73" s="873"/>
      <c r="W73" s="873"/>
      <c r="X73" s="873"/>
      <c r="Y73" s="873"/>
      <c r="Z73" s="873"/>
      <c r="AA73" s="873"/>
      <c r="AB73" s="873"/>
    </row>
    <row r="74" spans="1:34" ht="34.35" customHeight="1">
      <c r="A74" s="32" t="s">
        <v>12</v>
      </c>
      <c r="B74" s="30" t="s">
        <v>467</v>
      </c>
      <c r="C74" s="29">
        <v>3</v>
      </c>
      <c r="D74" s="6" t="s">
        <v>475</v>
      </c>
      <c r="E74" s="22" t="s">
        <v>133</v>
      </c>
      <c r="F74" s="2" t="s">
        <v>470</v>
      </c>
      <c r="G74" s="2" t="s">
        <v>477</v>
      </c>
      <c r="H74" s="17">
        <v>1</v>
      </c>
      <c r="I74" s="57">
        <v>46082</v>
      </c>
      <c r="J74" s="896"/>
      <c r="K74" s="896"/>
      <c r="L74" s="873"/>
      <c r="M74" s="873"/>
      <c r="N74" s="873"/>
      <c r="O74" s="873"/>
      <c r="P74" s="873"/>
      <c r="Q74" s="873"/>
      <c r="R74" s="873"/>
      <c r="S74" s="873"/>
      <c r="T74" s="873"/>
      <c r="U74" s="873"/>
      <c r="V74" s="873"/>
      <c r="W74" s="873"/>
      <c r="X74" s="873"/>
      <c r="Y74" s="873"/>
      <c r="Z74" s="873"/>
      <c r="AA74" s="873"/>
      <c r="AB74" s="873"/>
    </row>
    <row r="75" spans="1:34" ht="34.35" customHeight="1">
      <c r="A75" s="32" t="s">
        <v>12</v>
      </c>
      <c r="B75" s="30" t="s">
        <v>467</v>
      </c>
      <c r="C75" s="29">
        <v>4</v>
      </c>
      <c r="D75" s="6" t="s">
        <v>481</v>
      </c>
      <c r="E75" s="14" t="s">
        <v>38</v>
      </c>
      <c r="F75" s="2" t="s">
        <v>470</v>
      </c>
      <c r="G75" s="2" t="s">
        <v>40</v>
      </c>
      <c r="H75" s="1"/>
      <c r="I75" s="57">
        <v>46082</v>
      </c>
      <c r="J75" s="896"/>
      <c r="K75" s="896"/>
      <c r="L75" s="873"/>
      <c r="M75" s="873"/>
      <c r="N75" s="873"/>
      <c r="O75" s="873"/>
      <c r="P75" s="873"/>
      <c r="Q75" s="873"/>
      <c r="R75" s="873"/>
      <c r="S75" s="873"/>
      <c r="T75" s="873"/>
      <c r="U75" s="873"/>
      <c r="V75" s="873"/>
      <c r="W75" s="873"/>
      <c r="X75" s="873"/>
      <c r="Y75" s="873"/>
      <c r="Z75" s="873"/>
      <c r="AA75" s="873"/>
      <c r="AB75" s="873"/>
    </row>
    <row r="76" spans="1:34" ht="34.35" customHeight="1">
      <c r="A76" s="32" t="s">
        <v>12</v>
      </c>
      <c r="B76" s="30" t="s">
        <v>467</v>
      </c>
      <c r="C76" s="29">
        <v>5</v>
      </c>
      <c r="D76" s="6" t="s">
        <v>484</v>
      </c>
      <c r="E76" s="14" t="s">
        <v>38</v>
      </c>
      <c r="F76" s="2" t="s">
        <v>470</v>
      </c>
      <c r="G76" s="2" t="s">
        <v>40</v>
      </c>
      <c r="H76" s="17"/>
      <c r="I76" s="57">
        <v>46082</v>
      </c>
      <c r="J76" s="896"/>
      <c r="K76" s="896"/>
      <c r="L76" s="873"/>
      <c r="M76" s="873"/>
      <c r="N76" s="873"/>
      <c r="O76" s="873"/>
      <c r="P76" s="873"/>
      <c r="Q76" s="873"/>
      <c r="R76" s="873"/>
      <c r="S76" s="873"/>
      <c r="T76" s="873"/>
      <c r="U76" s="873"/>
      <c r="V76" s="873"/>
      <c r="W76" s="873"/>
      <c r="X76" s="873"/>
      <c r="Y76" s="873"/>
      <c r="Z76" s="873"/>
      <c r="AA76" s="873"/>
      <c r="AB76" s="873"/>
    </row>
    <row r="77" spans="1:34" ht="34.35" customHeight="1">
      <c r="A77" s="32" t="s">
        <v>12</v>
      </c>
      <c r="B77" s="12" t="s">
        <v>487</v>
      </c>
      <c r="C77" s="29">
        <v>6</v>
      </c>
      <c r="D77" s="6" t="s">
        <v>41</v>
      </c>
      <c r="E77" s="14" t="s">
        <v>38</v>
      </c>
      <c r="F77" s="2" t="s">
        <v>134</v>
      </c>
      <c r="G77" s="2" t="s">
        <v>40</v>
      </c>
      <c r="H77" s="17"/>
      <c r="I77" s="57">
        <v>46082</v>
      </c>
      <c r="J77" s="53"/>
      <c r="K77" s="53"/>
      <c r="L77" s="54"/>
      <c r="M77" s="54"/>
      <c r="N77" s="54"/>
      <c r="O77" s="54"/>
      <c r="P77" s="54"/>
      <c r="Q77" s="54"/>
      <c r="R77" s="54"/>
      <c r="S77" s="54"/>
      <c r="T77" s="54"/>
      <c r="U77" s="54"/>
      <c r="V77" s="54"/>
      <c r="W77" s="54"/>
      <c r="X77" s="54"/>
      <c r="Y77" s="54"/>
      <c r="Z77" s="54"/>
      <c r="AA77" s="54"/>
      <c r="AB77" s="54"/>
      <c r="AC77"/>
      <c r="AD77"/>
      <c r="AE77"/>
      <c r="AF77"/>
      <c r="AG77"/>
      <c r="AH77"/>
    </row>
    <row r="78" spans="1:34" ht="34.35" customHeight="1">
      <c r="A78" s="32" t="s">
        <v>12</v>
      </c>
      <c r="B78" s="11" t="s">
        <v>488</v>
      </c>
      <c r="C78" s="29">
        <v>7</v>
      </c>
      <c r="D78" s="6" t="s">
        <v>41</v>
      </c>
      <c r="E78" s="14" t="s">
        <v>38</v>
      </c>
      <c r="F78" s="2" t="s">
        <v>489</v>
      </c>
      <c r="G78" s="2" t="s">
        <v>40</v>
      </c>
      <c r="H78" s="45">
        <v>3.2</v>
      </c>
      <c r="I78" s="57">
        <v>46082</v>
      </c>
      <c r="J78" s="896"/>
      <c r="K78" s="896"/>
      <c r="L78" s="873"/>
      <c r="M78" s="873"/>
      <c r="N78" s="873"/>
      <c r="O78" s="873"/>
      <c r="P78" s="873"/>
      <c r="Q78" s="873"/>
      <c r="R78" s="873"/>
      <c r="S78" s="54"/>
      <c r="T78" s="54"/>
      <c r="U78" s="54"/>
      <c r="V78" s="54"/>
      <c r="W78" s="54"/>
      <c r="X78" s="54"/>
      <c r="Y78" s="54"/>
      <c r="Z78" s="54"/>
      <c r="AA78" s="54"/>
      <c r="AB78" s="54"/>
      <c r="AC78"/>
      <c r="AD78"/>
      <c r="AE78"/>
      <c r="AF78"/>
      <c r="AG78"/>
      <c r="AH78"/>
    </row>
    <row r="79" spans="1:34" ht="34.35" customHeight="1">
      <c r="A79" s="32" t="s">
        <v>12</v>
      </c>
      <c r="B79" s="30" t="s">
        <v>467</v>
      </c>
      <c r="C79" s="29">
        <v>1</v>
      </c>
      <c r="D79" s="6" t="s">
        <v>468</v>
      </c>
      <c r="E79" s="14" t="s">
        <v>469</v>
      </c>
      <c r="F79" s="2" t="s">
        <v>470</v>
      </c>
      <c r="G79" s="2" t="s">
        <v>40</v>
      </c>
      <c r="H79" s="17"/>
      <c r="I79" s="57">
        <v>46082</v>
      </c>
      <c r="J79" s="896"/>
      <c r="K79" s="896"/>
      <c r="L79" s="873"/>
      <c r="M79" s="873"/>
      <c r="N79" s="873"/>
      <c r="O79" s="873"/>
      <c r="P79" s="873"/>
      <c r="Q79" s="873"/>
      <c r="R79" s="873"/>
      <c r="S79" s="873"/>
      <c r="T79" s="873"/>
      <c r="U79" s="873"/>
      <c r="V79" s="873"/>
      <c r="W79" s="873"/>
      <c r="X79" s="873"/>
      <c r="Y79" s="873"/>
      <c r="Z79" s="873"/>
      <c r="AA79" s="873"/>
      <c r="AB79" s="873"/>
    </row>
    <row r="80" spans="1:34" ht="34.35" customHeight="1">
      <c r="A80" s="32" t="s">
        <v>12</v>
      </c>
      <c r="B80" s="30" t="s">
        <v>467</v>
      </c>
      <c r="C80" s="29">
        <v>2</v>
      </c>
      <c r="D80" s="6" t="s">
        <v>472</v>
      </c>
      <c r="E80" s="14" t="s">
        <v>473</v>
      </c>
      <c r="F80" s="2" t="s">
        <v>470</v>
      </c>
      <c r="G80" s="2" t="s">
        <v>40</v>
      </c>
      <c r="H80" s="1"/>
      <c r="I80" s="57">
        <v>46082</v>
      </c>
      <c r="J80" s="896"/>
      <c r="K80" s="896"/>
      <c r="L80" s="873"/>
      <c r="M80" s="873"/>
      <c r="N80" s="873"/>
      <c r="O80" s="873"/>
      <c r="P80" s="873"/>
      <c r="Q80" s="873"/>
      <c r="R80" s="873"/>
      <c r="S80" s="873"/>
      <c r="T80" s="873"/>
      <c r="U80" s="873"/>
      <c r="V80" s="873"/>
      <c r="W80" s="873"/>
      <c r="X80" s="873"/>
      <c r="Y80" s="873"/>
      <c r="Z80" s="873"/>
      <c r="AA80" s="873"/>
      <c r="AB80" s="873"/>
    </row>
    <row r="81" spans="1:34" ht="34.35" customHeight="1">
      <c r="A81" s="32" t="s">
        <v>12</v>
      </c>
      <c r="B81" s="30" t="s">
        <v>467</v>
      </c>
      <c r="C81" s="29">
        <v>3</v>
      </c>
      <c r="D81" s="6" t="s">
        <v>475</v>
      </c>
      <c r="E81" s="22" t="s">
        <v>133</v>
      </c>
      <c r="F81" s="2" t="s">
        <v>470</v>
      </c>
      <c r="G81" s="2" t="s">
        <v>477</v>
      </c>
      <c r="H81" s="17">
        <v>1</v>
      </c>
      <c r="I81" s="57">
        <v>46082</v>
      </c>
      <c r="J81" s="896"/>
      <c r="K81" s="896"/>
      <c r="L81" s="873"/>
      <c r="M81" s="873"/>
      <c r="N81" s="873"/>
      <c r="O81" s="873"/>
      <c r="P81" s="873"/>
      <c r="Q81" s="873"/>
      <c r="R81" s="873"/>
      <c r="S81" s="873"/>
      <c r="T81" s="873"/>
      <c r="U81" s="873"/>
      <c r="V81" s="873"/>
      <c r="W81" s="873"/>
      <c r="X81" s="873"/>
      <c r="Y81" s="873"/>
      <c r="Z81" s="873"/>
      <c r="AA81" s="873"/>
      <c r="AB81" s="873"/>
    </row>
    <row r="82" spans="1:34" ht="34.35" customHeight="1">
      <c r="A82" s="32" t="s">
        <v>12</v>
      </c>
      <c r="B82" s="30" t="s">
        <v>467</v>
      </c>
      <c r="C82" s="29">
        <v>4</v>
      </c>
      <c r="D82" s="6" t="s">
        <v>481</v>
      </c>
      <c r="E82" s="14" t="s">
        <v>38</v>
      </c>
      <c r="F82" s="2" t="s">
        <v>470</v>
      </c>
      <c r="G82" s="2" t="s">
        <v>40</v>
      </c>
      <c r="H82" s="1"/>
      <c r="I82" s="57">
        <v>46082</v>
      </c>
      <c r="J82" s="896"/>
      <c r="K82" s="896"/>
      <c r="L82" s="873"/>
      <c r="M82" s="873"/>
      <c r="N82" s="873"/>
      <c r="O82" s="873"/>
      <c r="P82" s="873"/>
      <c r="Q82" s="873"/>
      <c r="R82" s="873"/>
      <c r="S82" s="873"/>
      <c r="T82" s="873"/>
      <c r="U82" s="873"/>
      <c r="V82" s="873"/>
      <c r="W82" s="873"/>
      <c r="X82" s="873"/>
      <c r="Y82" s="873"/>
      <c r="Z82" s="873"/>
      <c r="AA82" s="873"/>
      <c r="AB82" s="873"/>
    </row>
    <row r="83" spans="1:34" ht="34.35" customHeight="1">
      <c r="A83" s="32" t="s">
        <v>12</v>
      </c>
      <c r="B83" s="30" t="s">
        <v>467</v>
      </c>
      <c r="C83" s="29">
        <v>5</v>
      </c>
      <c r="D83" s="6" t="s">
        <v>484</v>
      </c>
      <c r="E83" s="14" t="s">
        <v>38</v>
      </c>
      <c r="F83" s="2" t="s">
        <v>470</v>
      </c>
      <c r="G83" s="2" t="s">
        <v>40</v>
      </c>
      <c r="H83" s="17"/>
      <c r="I83" s="57">
        <v>46082</v>
      </c>
      <c r="J83" s="896"/>
      <c r="K83" s="896"/>
      <c r="L83" s="873"/>
      <c r="M83" s="873"/>
      <c r="N83" s="873"/>
      <c r="O83" s="873"/>
      <c r="P83" s="873"/>
      <c r="Q83" s="873"/>
      <c r="R83" s="873"/>
      <c r="S83" s="873"/>
      <c r="T83" s="873"/>
      <c r="U83" s="873"/>
      <c r="V83" s="873"/>
      <c r="W83" s="873"/>
      <c r="X83" s="873"/>
      <c r="Y83" s="873"/>
      <c r="Z83" s="873"/>
      <c r="AA83" s="873"/>
      <c r="AB83" s="873"/>
    </row>
    <row r="84" spans="1:34" ht="34.35" customHeight="1">
      <c r="A84" s="32" t="s">
        <v>12</v>
      </c>
      <c r="B84" s="12" t="s">
        <v>487</v>
      </c>
      <c r="C84" s="29">
        <v>6</v>
      </c>
      <c r="D84" s="6" t="s">
        <v>41</v>
      </c>
      <c r="E84" s="14" t="s">
        <v>38</v>
      </c>
      <c r="F84" s="2" t="s">
        <v>134</v>
      </c>
      <c r="G84" s="2" t="s">
        <v>40</v>
      </c>
      <c r="H84" s="17"/>
      <c r="I84" s="57">
        <v>46082</v>
      </c>
      <c r="J84" s="53"/>
      <c r="K84" s="53"/>
      <c r="L84" s="54"/>
      <c r="M84" s="54"/>
      <c r="N84" s="54"/>
      <c r="O84" s="54"/>
      <c r="P84" s="54"/>
      <c r="Q84" s="54"/>
      <c r="R84" s="54"/>
      <c r="S84" s="54"/>
      <c r="T84" s="54"/>
      <c r="U84" s="54"/>
      <c r="V84" s="54"/>
      <c r="W84" s="54"/>
      <c r="X84" s="54"/>
      <c r="Y84" s="54"/>
      <c r="Z84" s="54"/>
      <c r="AA84" s="54"/>
      <c r="AB84" s="54"/>
      <c r="AC84"/>
      <c r="AD84"/>
      <c r="AE84"/>
      <c r="AF84"/>
      <c r="AG84"/>
      <c r="AH84"/>
    </row>
    <row r="85" spans="1:34" ht="34.35" customHeight="1">
      <c r="A85" s="32" t="s">
        <v>12</v>
      </c>
      <c r="B85" s="11" t="s">
        <v>488</v>
      </c>
      <c r="C85" s="29">
        <v>7</v>
      </c>
      <c r="D85" s="6" t="s">
        <v>41</v>
      </c>
      <c r="E85" s="14" t="s">
        <v>38</v>
      </c>
      <c r="F85" s="2" t="s">
        <v>489</v>
      </c>
      <c r="G85" s="2" t="s">
        <v>40</v>
      </c>
      <c r="H85" s="45">
        <v>3.2</v>
      </c>
      <c r="I85" s="57">
        <v>46082</v>
      </c>
      <c r="J85" s="53"/>
      <c r="K85" s="53"/>
      <c r="L85" s="54"/>
      <c r="M85" s="54"/>
      <c r="N85" s="54"/>
      <c r="O85" s="54"/>
      <c r="P85" s="54"/>
      <c r="Q85" s="54"/>
      <c r="R85" s="54"/>
      <c r="S85" s="54"/>
      <c r="T85" s="54"/>
      <c r="U85" s="54"/>
      <c r="V85" s="54"/>
      <c r="W85" s="54"/>
      <c r="X85" s="54"/>
      <c r="Y85" s="54"/>
      <c r="Z85" s="54"/>
      <c r="AA85" s="54"/>
      <c r="AB85" s="54"/>
      <c r="AC85"/>
      <c r="AD85"/>
      <c r="AE85"/>
      <c r="AF85"/>
      <c r="AG85"/>
      <c r="AH85"/>
    </row>
  </sheetData>
  <sheetProtection algorithmName="SHA-512" hashValue="Dc+L5HizVGXJirAZ+XaSvPZqQVsLXq1h2hY9IGlYPg4x00zimowTVifjNDsFloSFq3r1VbpzWcHvp+T+ygTAmw==" saltValue="t56QESLLuMMtk7/UOBNmOg==" spinCount="100000" sheet="1" formatCells="0" formatColumns="0" formatRows="0" sort="0" autoFilter="0" pivotTables="0"/>
  <autoFilter ref="A1:M85" xr:uid="{C175ED8F-DA9F-46F6-9A5B-2EC514B6EAF7}">
    <filterColumn colId="5">
      <filters>
        <filter val="HRD"/>
      </filters>
    </filterColumn>
  </autoFilter>
  <conditionalFormatting sqref="A2:AB85">
    <cfRule type="expression" dxfId="11" priority="1">
      <formula>MONTH($I2)=MONTH(TODAY()-29)</formula>
    </cfRule>
  </conditionalFormatting>
  <pageMargins left="0.7" right="0.7" top="0.75" bottom="0.75" header="0.3" footer="0.3"/>
  <headerFooter>
    <oddHeader>&amp;C&amp;"Calibri"&amp;10&amp;KFF0000 CONFIDENTIAL&amp;1#_x000D_</oddHead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47AC1-7702-4F0C-B6B5-ACA190564E7D}">
  <sheetPr codeName="Sheet12"/>
  <dimension ref="A1:W41"/>
  <sheetViews>
    <sheetView topLeftCell="O1" zoomScale="85" zoomScaleNormal="85" workbookViewId="0">
      <pane ySplit="1" topLeftCell="A29" activePane="bottomLeft" state="frozen"/>
      <selection activeCell="D69" sqref="D69"/>
      <selection pane="bottomLeft" activeCell="R32" sqref="R32"/>
    </sheetView>
  </sheetViews>
  <sheetFormatPr defaultColWidth="8.109375" defaultRowHeight="16.2"/>
  <cols>
    <col min="1" max="1" width="15.109375" style="67" customWidth="1"/>
    <col min="2" max="2" width="31.88671875" style="48" customWidth="1"/>
    <col min="3" max="3" width="5.109375" style="67" bestFit="1" customWidth="1"/>
    <col min="4" max="4" width="16.88671875" style="74" customWidth="1"/>
    <col min="5" max="5" width="11.109375" style="88" customWidth="1"/>
    <col min="6" max="6" width="8.109375" style="67" customWidth="1"/>
    <col min="7" max="7" width="13.44140625" style="67" customWidth="1"/>
    <col min="8" max="8" width="11.6640625" style="51" customWidth="1"/>
    <col min="9" max="9" width="12.109375" style="67" customWidth="1"/>
    <col min="10" max="10" width="10.109375" style="51" customWidth="1"/>
    <col min="11" max="11" width="10" style="893" customWidth="1"/>
    <col min="12" max="12" width="14.6640625" style="897" customWidth="1"/>
    <col min="13" max="13" width="13.6640625" style="897" customWidth="1"/>
    <col min="14" max="14" width="11.109375" style="743" customWidth="1"/>
    <col min="15" max="15" width="54.109375" style="743" customWidth="1"/>
    <col min="16" max="16" width="36.6640625" style="743" customWidth="1"/>
    <col min="17" max="17" width="9.109375" style="743" customWidth="1"/>
    <col min="18" max="18" width="21.6640625" style="743" customWidth="1"/>
    <col min="19" max="19" width="54.109375" style="743" customWidth="1"/>
    <col min="20" max="20" width="32.109375" style="1522" customWidth="1"/>
    <col min="21" max="23" width="8.109375" style="743"/>
  </cols>
  <sheetData>
    <row r="1" spans="1:23" ht="45">
      <c r="A1" s="33" t="s">
        <v>1</v>
      </c>
      <c r="B1" s="33" t="s">
        <v>19</v>
      </c>
      <c r="C1" s="33" t="s">
        <v>93</v>
      </c>
      <c r="D1" s="33" t="s">
        <v>21</v>
      </c>
      <c r="E1" s="34" t="s">
        <v>22</v>
      </c>
      <c r="F1" s="35" t="s">
        <v>23</v>
      </c>
      <c r="G1" s="35" t="s">
        <v>24</v>
      </c>
      <c r="H1" s="35" t="s">
        <v>25</v>
      </c>
      <c r="I1" s="35" t="s">
        <v>26</v>
      </c>
      <c r="J1" s="1525" t="s">
        <v>27</v>
      </c>
      <c r="K1" s="867" t="s">
        <v>28</v>
      </c>
      <c r="L1" s="866" t="s">
        <v>29</v>
      </c>
      <c r="M1" s="1564" t="s">
        <v>30</v>
      </c>
      <c r="N1" s="867" t="s">
        <v>31</v>
      </c>
      <c r="O1" s="869" t="s">
        <v>32</v>
      </c>
      <c r="P1" s="868" t="s">
        <v>33</v>
      </c>
      <c r="Q1" s="869" t="s">
        <v>34</v>
      </c>
      <c r="R1" s="870" t="s">
        <v>35</v>
      </c>
      <c r="S1" s="868" t="s">
        <v>501</v>
      </c>
      <c r="T1" s="1468" t="s">
        <v>308</v>
      </c>
    </row>
    <row r="2" spans="1:23" s="68" customFormat="1" ht="86.4">
      <c r="A2" s="101" t="s">
        <v>502</v>
      </c>
      <c r="B2" s="100" t="s">
        <v>503</v>
      </c>
      <c r="C2" s="95">
        <v>1</v>
      </c>
      <c r="D2" s="97" t="s">
        <v>504</v>
      </c>
      <c r="E2" s="75" t="s">
        <v>505</v>
      </c>
      <c r="F2" s="76" t="s">
        <v>109</v>
      </c>
      <c r="G2" s="76" t="s">
        <v>40</v>
      </c>
      <c r="H2" s="102" t="s">
        <v>506</v>
      </c>
      <c r="I2" s="1526">
        <v>45748</v>
      </c>
      <c r="J2" s="1527">
        <v>0</v>
      </c>
      <c r="K2" s="907">
        <v>0</v>
      </c>
      <c r="L2" s="1469">
        <v>0</v>
      </c>
      <c r="M2" s="1469">
        <v>0</v>
      </c>
      <c r="N2" s="872"/>
      <c r="O2" s="909"/>
      <c r="P2" s="912"/>
      <c r="Q2" s="912"/>
      <c r="R2" s="912"/>
      <c r="S2" s="905" t="s">
        <v>507</v>
      </c>
      <c r="T2" s="1470" t="s">
        <v>41</v>
      </c>
      <c r="U2" s="904"/>
      <c r="V2" s="904"/>
      <c r="W2" s="904"/>
    </row>
    <row r="3" spans="1:23" s="68" customFormat="1" ht="28.8">
      <c r="A3" s="101" t="s">
        <v>502</v>
      </c>
      <c r="B3" s="100" t="s">
        <v>503</v>
      </c>
      <c r="C3" s="95">
        <v>2</v>
      </c>
      <c r="D3" s="97" t="s">
        <v>508</v>
      </c>
      <c r="E3" s="75" t="s">
        <v>509</v>
      </c>
      <c r="F3" s="76" t="s">
        <v>510</v>
      </c>
      <c r="G3" s="76" t="s">
        <v>40</v>
      </c>
      <c r="H3" s="102" t="s">
        <v>511</v>
      </c>
      <c r="I3" s="1526">
        <v>45748</v>
      </c>
      <c r="J3" s="1528">
        <v>350</v>
      </c>
      <c r="K3" s="901">
        <v>150</v>
      </c>
      <c r="L3" s="901">
        <f>J3</f>
        <v>350</v>
      </c>
      <c r="M3" s="901">
        <v>150</v>
      </c>
      <c r="N3" s="872"/>
      <c r="O3" s="1471" t="s">
        <v>512</v>
      </c>
      <c r="P3" s="1472" t="s">
        <v>513</v>
      </c>
      <c r="Q3" s="1473" t="s">
        <v>182</v>
      </c>
      <c r="R3" s="1473" t="s">
        <v>182</v>
      </c>
      <c r="S3" s="1474" t="s">
        <v>514</v>
      </c>
      <c r="T3" s="1470" t="s">
        <v>515</v>
      </c>
      <c r="U3" s="904"/>
      <c r="V3" s="904"/>
      <c r="W3" s="904"/>
    </row>
    <row r="4" spans="1:23" s="68" customFormat="1" ht="48">
      <c r="A4" s="101" t="s">
        <v>502</v>
      </c>
      <c r="B4" s="100" t="s">
        <v>516</v>
      </c>
      <c r="C4" s="95">
        <v>3</v>
      </c>
      <c r="D4" s="97" t="s">
        <v>41</v>
      </c>
      <c r="E4" s="75" t="s">
        <v>517</v>
      </c>
      <c r="F4" s="76" t="s">
        <v>510</v>
      </c>
      <c r="G4" s="76" t="s">
        <v>40</v>
      </c>
      <c r="H4" s="96">
        <v>70</v>
      </c>
      <c r="I4" s="1526">
        <v>45748</v>
      </c>
      <c r="J4" s="1529">
        <v>4</v>
      </c>
      <c r="K4" s="1475">
        <v>4</v>
      </c>
      <c r="L4" s="1475">
        <v>4</v>
      </c>
      <c r="M4" s="1475">
        <v>4</v>
      </c>
      <c r="N4" s="872"/>
      <c r="O4" s="904"/>
      <c r="P4" s="912"/>
      <c r="Q4" s="912"/>
      <c r="R4" s="912"/>
      <c r="S4" s="1476" t="s">
        <v>518</v>
      </c>
      <c r="T4" s="1477" t="s">
        <v>519</v>
      </c>
      <c r="U4" s="904"/>
      <c r="V4" s="904"/>
      <c r="W4" s="904"/>
    </row>
    <row r="5" spans="1:23" s="68" customFormat="1" ht="86.4">
      <c r="A5" s="101" t="s">
        <v>502</v>
      </c>
      <c r="B5" s="100" t="s">
        <v>503</v>
      </c>
      <c r="C5" s="95">
        <v>1</v>
      </c>
      <c r="D5" s="97" t="s">
        <v>504</v>
      </c>
      <c r="E5" s="75" t="s">
        <v>505</v>
      </c>
      <c r="F5" s="76" t="s">
        <v>109</v>
      </c>
      <c r="G5" s="76" t="s">
        <v>40</v>
      </c>
      <c r="H5" s="102" t="s">
        <v>506</v>
      </c>
      <c r="I5" s="1526">
        <v>45778</v>
      </c>
      <c r="J5" s="1527">
        <v>0</v>
      </c>
      <c r="K5" s="907">
        <v>0</v>
      </c>
      <c r="L5" s="908">
        <f t="shared" ref="L5:M7" si="0">L2+J5</f>
        <v>0</v>
      </c>
      <c r="M5" s="908">
        <f t="shared" si="0"/>
        <v>0</v>
      </c>
      <c r="N5" s="872"/>
      <c r="O5" s="1478"/>
      <c r="P5" s="912"/>
      <c r="Q5" s="912"/>
      <c r="R5" s="912"/>
      <c r="S5" s="905" t="s">
        <v>520</v>
      </c>
      <c r="T5" s="1470" t="s">
        <v>41</v>
      </c>
      <c r="U5" s="904"/>
      <c r="V5" s="904"/>
      <c r="W5" s="904"/>
    </row>
    <row r="6" spans="1:23" s="68" customFormat="1" ht="57.6">
      <c r="A6" s="101" t="s">
        <v>502</v>
      </c>
      <c r="B6" s="100" t="s">
        <v>503</v>
      </c>
      <c r="C6" s="95">
        <v>2</v>
      </c>
      <c r="D6" s="97" t="s">
        <v>508</v>
      </c>
      <c r="E6" s="75" t="s">
        <v>509</v>
      </c>
      <c r="F6" s="76"/>
      <c r="G6" s="76" t="s">
        <v>40</v>
      </c>
      <c r="H6" s="102" t="s">
        <v>511</v>
      </c>
      <c r="I6" s="1526">
        <v>45778</v>
      </c>
      <c r="J6" s="1530">
        <f>350+150</f>
        <v>500</v>
      </c>
      <c r="K6" s="900">
        <v>500</v>
      </c>
      <c r="L6" s="901">
        <f t="shared" si="0"/>
        <v>850</v>
      </c>
      <c r="M6" s="902">
        <f>M3+K6</f>
        <v>650</v>
      </c>
      <c r="N6" s="903"/>
      <c r="O6" s="904"/>
      <c r="P6" s="905" t="s">
        <v>41</v>
      </c>
      <c r="Q6" s="906" t="s">
        <v>41</v>
      </c>
      <c r="R6" s="1479" t="s">
        <v>41</v>
      </c>
      <c r="S6" s="1480" t="s">
        <v>521</v>
      </c>
      <c r="T6" s="1470" t="s">
        <v>515</v>
      </c>
      <c r="U6" s="904"/>
      <c r="V6" s="904"/>
      <c r="W6" s="904"/>
    </row>
    <row r="7" spans="1:23" s="68" customFormat="1" ht="75.599999999999994">
      <c r="A7" s="101" t="s">
        <v>502</v>
      </c>
      <c r="B7" s="100" t="s">
        <v>516</v>
      </c>
      <c r="C7" s="95">
        <v>3</v>
      </c>
      <c r="D7" s="97" t="s">
        <v>41</v>
      </c>
      <c r="E7" s="75" t="s">
        <v>517</v>
      </c>
      <c r="F7" s="76" t="s">
        <v>510</v>
      </c>
      <c r="G7" s="76"/>
      <c r="H7" s="96">
        <v>70</v>
      </c>
      <c r="I7" s="1526">
        <v>45778</v>
      </c>
      <c r="J7" s="1530">
        <v>4</v>
      </c>
      <c r="K7" s="900">
        <v>4</v>
      </c>
      <c r="L7" s="901">
        <f t="shared" si="0"/>
        <v>8</v>
      </c>
      <c r="M7" s="902">
        <f t="shared" si="0"/>
        <v>8</v>
      </c>
      <c r="N7" s="872"/>
      <c r="O7" s="1481" t="s">
        <v>522</v>
      </c>
      <c r="P7" s="912"/>
      <c r="Q7" s="912"/>
      <c r="R7" s="912"/>
      <c r="S7" s="1476" t="s">
        <v>523</v>
      </c>
      <c r="T7" s="1477" t="s">
        <v>519</v>
      </c>
      <c r="U7" s="904"/>
      <c r="V7" s="904"/>
      <c r="W7" s="904"/>
    </row>
    <row r="8" spans="1:23" s="68" customFormat="1" ht="86.4">
      <c r="A8" s="101" t="s">
        <v>502</v>
      </c>
      <c r="B8" s="100" t="s">
        <v>503</v>
      </c>
      <c r="C8" s="95">
        <v>1</v>
      </c>
      <c r="D8" s="97" t="s">
        <v>504</v>
      </c>
      <c r="E8" s="75" t="s">
        <v>505</v>
      </c>
      <c r="F8" s="76" t="s">
        <v>109</v>
      </c>
      <c r="G8" s="76" t="s">
        <v>40</v>
      </c>
      <c r="H8" s="102" t="s">
        <v>506</v>
      </c>
      <c r="I8" s="1526">
        <v>45809</v>
      </c>
      <c r="J8" s="1527">
        <v>0</v>
      </c>
      <c r="K8" s="907">
        <v>0</v>
      </c>
      <c r="L8" s="908">
        <v>0</v>
      </c>
      <c r="M8" s="908">
        <v>0</v>
      </c>
      <c r="N8" s="872"/>
      <c r="O8" s="909"/>
      <c r="P8" s="912"/>
      <c r="Q8" s="912"/>
      <c r="R8" s="912"/>
      <c r="S8" s="905" t="s">
        <v>520</v>
      </c>
      <c r="T8" s="1470" t="s">
        <v>41</v>
      </c>
      <c r="U8" s="904"/>
      <c r="V8" s="904"/>
      <c r="W8" s="904"/>
    </row>
    <row r="9" spans="1:23" s="68" customFormat="1" ht="69">
      <c r="A9" s="101" t="s">
        <v>502</v>
      </c>
      <c r="B9" s="100" t="s">
        <v>503</v>
      </c>
      <c r="C9" s="95">
        <v>2</v>
      </c>
      <c r="D9" s="97" t="s">
        <v>508</v>
      </c>
      <c r="E9" s="75" t="s">
        <v>509</v>
      </c>
      <c r="F9" s="76"/>
      <c r="G9" s="76" t="s">
        <v>40</v>
      </c>
      <c r="H9" s="102" t="s">
        <v>511</v>
      </c>
      <c r="I9" s="1526">
        <v>45809</v>
      </c>
      <c r="J9" s="1530">
        <v>1000</v>
      </c>
      <c r="K9" s="900">
        <v>1500</v>
      </c>
      <c r="L9" s="907">
        <f>J9+L6</f>
        <v>1850</v>
      </c>
      <c r="M9" s="908">
        <f>K9+M6</f>
        <v>2150</v>
      </c>
      <c r="N9" s="908">
        <f>M6+L9</f>
        <v>2500</v>
      </c>
      <c r="O9" s="1482" t="s">
        <v>524</v>
      </c>
      <c r="P9" s="1483" t="s">
        <v>525</v>
      </c>
      <c r="Q9" s="1484"/>
      <c r="R9" s="1484"/>
      <c r="S9" s="1485" t="s">
        <v>526</v>
      </c>
      <c r="T9" s="1470" t="s">
        <v>515</v>
      </c>
      <c r="U9" s="904"/>
      <c r="V9" s="904"/>
      <c r="W9" s="904"/>
    </row>
    <row r="10" spans="1:23" s="68" customFormat="1" ht="158.4">
      <c r="A10" s="101" t="s">
        <v>502</v>
      </c>
      <c r="B10" s="100" t="s">
        <v>516</v>
      </c>
      <c r="C10" s="95">
        <v>3</v>
      </c>
      <c r="D10" s="97" t="s">
        <v>41</v>
      </c>
      <c r="E10" s="75" t="s">
        <v>517</v>
      </c>
      <c r="F10" s="76" t="s">
        <v>510</v>
      </c>
      <c r="G10" s="76"/>
      <c r="H10" s="96">
        <v>70</v>
      </c>
      <c r="I10" s="1526">
        <v>45809</v>
      </c>
      <c r="J10" s="1530">
        <v>8</v>
      </c>
      <c r="K10" s="901">
        <v>8</v>
      </c>
      <c r="L10" s="901">
        <f t="shared" ref="L10:M10" si="1">L7+J10</f>
        <v>16</v>
      </c>
      <c r="M10" s="902">
        <f t="shared" si="1"/>
        <v>16</v>
      </c>
      <c r="N10" s="909"/>
      <c r="O10" s="1486" t="s">
        <v>527</v>
      </c>
      <c r="P10" s="1487"/>
      <c r="Q10" s="912"/>
      <c r="R10" s="912"/>
      <c r="S10" s="1476" t="s">
        <v>528</v>
      </c>
      <c r="T10" s="1477" t="s">
        <v>519</v>
      </c>
      <c r="U10" s="904"/>
      <c r="V10" s="904"/>
      <c r="W10" s="904"/>
    </row>
    <row r="11" spans="1:23" s="68" customFormat="1" ht="57.6">
      <c r="A11" s="101" t="s">
        <v>502</v>
      </c>
      <c r="B11" s="100" t="s">
        <v>503</v>
      </c>
      <c r="C11" s="95">
        <v>1</v>
      </c>
      <c r="D11" s="97" t="s">
        <v>504</v>
      </c>
      <c r="E11" s="75" t="s">
        <v>505</v>
      </c>
      <c r="F11" s="76" t="s">
        <v>109</v>
      </c>
      <c r="G11" s="76" t="s">
        <v>40</v>
      </c>
      <c r="H11" s="102" t="s">
        <v>506</v>
      </c>
      <c r="I11" s="1526">
        <v>45839</v>
      </c>
      <c r="J11" s="1527">
        <v>0</v>
      </c>
      <c r="K11" s="907">
        <v>0</v>
      </c>
      <c r="L11" s="908">
        <v>0</v>
      </c>
      <c r="M11" s="908">
        <v>0</v>
      </c>
      <c r="N11" s="872"/>
      <c r="O11" s="1488"/>
      <c r="P11" s="1489"/>
      <c r="Q11" s="1489"/>
      <c r="R11" s="1489"/>
      <c r="S11" s="1490" t="s">
        <v>529</v>
      </c>
      <c r="T11" s="1470" t="s">
        <v>41</v>
      </c>
      <c r="U11" s="904"/>
      <c r="V11" s="904"/>
      <c r="W11" s="904"/>
    </row>
    <row r="12" spans="1:23" s="68" customFormat="1" ht="43.2">
      <c r="A12" s="101" t="s">
        <v>502</v>
      </c>
      <c r="B12" s="100" t="s">
        <v>503</v>
      </c>
      <c r="C12" s="95">
        <v>2</v>
      </c>
      <c r="D12" s="97" t="s">
        <v>508</v>
      </c>
      <c r="E12" s="75" t="s">
        <v>509</v>
      </c>
      <c r="F12" s="76"/>
      <c r="G12" s="76" t="s">
        <v>40</v>
      </c>
      <c r="H12" s="102" t="s">
        <v>511</v>
      </c>
      <c r="I12" s="1526">
        <v>45839</v>
      </c>
      <c r="J12" s="1530">
        <v>1500</v>
      </c>
      <c r="K12" s="907">
        <v>1650</v>
      </c>
      <c r="L12" s="907">
        <f>J12+L9</f>
        <v>3350</v>
      </c>
      <c r="M12" s="908">
        <f>K12+M9</f>
        <v>3800</v>
      </c>
      <c r="N12" s="909"/>
      <c r="O12" s="1482" t="s">
        <v>530</v>
      </c>
      <c r="P12" s="912" t="s">
        <v>41</v>
      </c>
      <c r="Q12" s="1491" t="s">
        <v>41</v>
      </c>
      <c r="R12" s="1491" t="s">
        <v>41</v>
      </c>
      <c r="S12" s="1472" t="s">
        <v>531</v>
      </c>
      <c r="T12" s="1470" t="s">
        <v>515</v>
      </c>
      <c r="U12" s="904"/>
      <c r="V12" s="904"/>
      <c r="W12" s="904"/>
    </row>
    <row r="13" spans="1:23" s="68" customFormat="1" ht="72">
      <c r="A13" s="101" t="s">
        <v>502</v>
      </c>
      <c r="B13" s="100" t="s">
        <v>516</v>
      </c>
      <c r="C13" s="95">
        <v>3</v>
      </c>
      <c r="D13" s="97" t="s">
        <v>41</v>
      </c>
      <c r="E13" s="75" t="s">
        <v>517</v>
      </c>
      <c r="F13" s="76" t="s">
        <v>510</v>
      </c>
      <c r="G13" s="76"/>
      <c r="H13" s="96">
        <v>70</v>
      </c>
      <c r="I13" s="1526">
        <v>45839</v>
      </c>
      <c r="J13" s="1529">
        <v>3</v>
      </c>
      <c r="K13" s="1492">
        <v>3</v>
      </c>
      <c r="L13" s="901">
        <f t="shared" ref="L13:M13" si="2">L10+J13</f>
        <v>19</v>
      </c>
      <c r="M13" s="902">
        <f t="shared" si="2"/>
        <v>19</v>
      </c>
      <c r="N13" s="872"/>
      <c r="O13" s="1493" t="s">
        <v>532</v>
      </c>
      <c r="P13" s="912"/>
      <c r="Q13" s="912"/>
      <c r="R13" s="912"/>
      <c r="S13" s="912"/>
      <c r="T13" s="1477" t="s">
        <v>519</v>
      </c>
      <c r="U13" s="904"/>
      <c r="V13" s="904"/>
      <c r="W13" s="904"/>
    </row>
    <row r="14" spans="1:23" s="68" customFormat="1" ht="100.8">
      <c r="A14" s="101" t="s">
        <v>502</v>
      </c>
      <c r="B14" s="100" t="s">
        <v>503</v>
      </c>
      <c r="C14" s="95">
        <v>1</v>
      </c>
      <c r="D14" s="97" t="s">
        <v>504</v>
      </c>
      <c r="E14" s="75" t="s">
        <v>505</v>
      </c>
      <c r="F14" s="76" t="s">
        <v>109</v>
      </c>
      <c r="G14" s="76" t="s">
        <v>40</v>
      </c>
      <c r="H14" s="102" t="s">
        <v>506</v>
      </c>
      <c r="I14" s="1526">
        <v>45870</v>
      </c>
      <c r="J14" s="1527">
        <v>15.45</v>
      </c>
      <c r="K14" s="1494">
        <v>131.4</v>
      </c>
      <c r="L14" s="908">
        <f>J14+K11</f>
        <v>15.45</v>
      </c>
      <c r="M14" s="1494">
        <v>131.4</v>
      </c>
      <c r="N14" s="872"/>
      <c r="O14" s="1478"/>
      <c r="P14" s="912"/>
      <c r="Q14" s="912"/>
      <c r="R14" s="912"/>
      <c r="S14" s="905" t="s">
        <v>533</v>
      </c>
      <c r="T14" s="1470" t="s">
        <v>534</v>
      </c>
      <c r="U14" s="904"/>
      <c r="V14" s="904"/>
      <c r="W14" s="904"/>
    </row>
    <row r="15" spans="1:23" s="68" customFormat="1" ht="86.4">
      <c r="A15" s="101" t="s">
        <v>502</v>
      </c>
      <c r="B15" s="100" t="s">
        <v>503</v>
      </c>
      <c r="C15" s="95">
        <v>2</v>
      </c>
      <c r="D15" s="97" t="s">
        <v>508</v>
      </c>
      <c r="E15" s="75" t="s">
        <v>509</v>
      </c>
      <c r="F15" s="76"/>
      <c r="G15" s="76" t="s">
        <v>40</v>
      </c>
      <c r="H15" s="102" t="s">
        <v>511</v>
      </c>
      <c r="I15" s="1526">
        <v>45870</v>
      </c>
      <c r="J15" s="1530">
        <v>2000</v>
      </c>
      <c r="K15" s="907">
        <v>1740</v>
      </c>
      <c r="L15" s="907">
        <f>J15+L12</f>
        <v>5350</v>
      </c>
      <c r="M15" s="908">
        <f>M12+K15</f>
        <v>5540</v>
      </c>
      <c r="N15" s="909"/>
      <c r="O15" s="910" t="s">
        <v>535</v>
      </c>
      <c r="P15" s="911" t="s">
        <v>536</v>
      </c>
      <c r="Q15" s="912">
        <v>2500</v>
      </c>
      <c r="R15" s="912" t="s">
        <v>166</v>
      </c>
      <c r="S15" s="1472" t="s">
        <v>537</v>
      </c>
      <c r="T15" s="1470" t="s">
        <v>515</v>
      </c>
      <c r="U15" s="904"/>
      <c r="V15" s="904"/>
      <c r="W15" s="904"/>
    </row>
    <row r="16" spans="1:23" s="68" customFormat="1" ht="86.4">
      <c r="A16" s="101" t="s">
        <v>502</v>
      </c>
      <c r="B16" s="100" t="s">
        <v>516</v>
      </c>
      <c r="C16" s="95">
        <v>3</v>
      </c>
      <c r="D16" s="97" t="s">
        <v>41</v>
      </c>
      <c r="E16" s="75" t="s">
        <v>517</v>
      </c>
      <c r="F16" s="76" t="s">
        <v>510</v>
      </c>
      <c r="G16" s="76"/>
      <c r="H16" s="96">
        <v>70</v>
      </c>
      <c r="I16" s="1526">
        <v>45870</v>
      </c>
      <c r="J16" s="1530">
        <v>3</v>
      </c>
      <c r="K16" s="901">
        <v>3</v>
      </c>
      <c r="L16" s="901">
        <f t="shared" ref="L16" si="3">L13+J16</f>
        <v>22</v>
      </c>
      <c r="M16" s="902">
        <f>M13+K16</f>
        <v>22</v>
      </c>
      <c r="N16" s="872"/>
      <c r="O16" s="1493" t="s">
        <v>538</v>
      </c>
      <c r="P16" s="912"/>
      <c r="Q16" s="904"/>
      <c r="R16" s="912"/>
      <c r="S16" s="912"/>
      <c r="T16" s="1477" t="s">
        <v>519</v>
      </c>
      <c r="U16" s="904"/>
      <c r="V16" s="904"/>
      <c r="W16" s="904"/>
    </row>
    <row r="17" spans="1:23" s="68" customFormat="1" ht="115.2">
      <c r="A17" s="101" t="s">
        <v>502</v>
      </c>
      <c r="B17" s="100" t="s">
        <v>503</v>
      </c>
      <c r="C17" s="95">
        <v>1</v>
      </c>
      <c r="D17" s="97" t="s">
        <v>504</v>
      </c>
      <c r="E17" s="75" t="s">
        <v>505</v>
      </c>
      <c r="F17" s="76" t="s">
        <v>109</v>
      </c>
      <c r="G17" s="76" t="s">
        <v>40</v>
      </c>
      <c r="H17" s="102" t="s">
        <v>506</v>
      </c>
      <c r="I17" s="1526">
        <v>45901</v>
      </c>
      <c r="J17" s="1527">
        <v>245.35</v>
      </c>
      <c r="K17" s="1494">
        <v>100</v>
      </c>
      <c r="L17" s="907">
        <f>J17+L14</f>
        <v>260.8</v>
      </c>
      <c r="M17" s="1495">
        <f>M14+K17</f>
        <v>231.4</v>
      </c>
      <c r="N17" s="1496"/>
      <c r="O17" s="1497" t="s">
        <v>539</v>
      </c>
      <c r="P17" s="1485" t="s">
        <v>540</v>
      </c>
      <c r="Q17" s="906"/>
      <c r="R17" s="912"/>
      <c r="S17" s="905" t="s">
        <v>541</v>
      </c>
      <c r="T17" s="1470" t="s">
        <v>542</v>
      </c>
      <c r="U17" s="904"/>
      <c r="V17" s="904"/>
      <c r="W17" s="904"/>
    </row>
    <row r="18" spans="1:23" s="68" customFormat="1" ht="100.8">
      <c r="A18" s="101" t="s">
        <v>502</v>
      </c>
      <c r="B18" s="100" t="s">
        <v>503</v>
      </c>
      <c r="C18" s="95">
        <v>2</v>
      </c>
      <c r="D18" s="97" t="s">
        <v>508</v>
      </c>
      <c r="E18" s="75" t="s">
        <v>509</v>
      </c>
      <c r="F18" s="76"/>
      <c r="G18" s="76" t="s">
        <v>40</v>
      </c>
      <c r="H18" s="102" t="s">
        <v>511</v>
      </c>
      <c r="I18" s="1526">
        <v>45901</v>
      </c>
      <c r="J18" s="1531">
        <v>4000</v>
      </c>
      <c r="K18" s="901">
        <v>2044</v>
      </c>
      <c r="L18" s="1498">
        <f>J18+L15</f>
        <v>9350</v>
      </c>
      <c r="M18" s="1499">
        <f>K18+M15</f>
        <v>7584</v>
      </c>
      <c r="N18" s="1500"/>
      <c r="O18" s="1501" t="s">
        <v>543</v>
      </c>
      <c r="P18" s="1502" t="s">
        <v>544</v>
      </c>
      <c r="Q18" s="1503" t="s">
        <v>41</v>
      </c>
      <c r="R18" s="1503" t="s">
        <v>41</v>
      </c>
      <c r="S18" s="906"/>
      <c r="T18" s="1470" t="s">
        <v>515</v>
      </c>
      <c r="U18" s="904"/>
      <c r="V18" s="904"/>
      <c r="W18" s="904"/>
    </row>
    <row r="19" spans="1:23" s="68" customFormat="1" ht="86.4">
      <c r="A19" s="101" t="s">
        <v>502</v>
      </c>
      <c r="B19" s="100" t="s">
        <v>516</v>
      </c>
      <c r="C19" s="95">
        <v>3</v>
      </c>
      <c r="D19" s="97" t="s">
        <v>41</v>
      </c>
      <c r="E19" s="75" t="s">
        <v>517</v>
      </c>
      <c r="F19" s="76" t="s">
        <v>510</v>
      </c>
      <c r="G19" s="76"/>
      <c r="H19" s="96">
        <v>70</v>
      </c>
      <c r="I19" s="1526">
        <v>45901</v>
      </c>
      <c r="J19" s="1530">
        <v>6</v>
      </c>
      <c r="K19" s="901">
        <v>6</v>
      </c>
      <c r="L19" s="902">
        <f t="shared" ref="L19" si="4">L16+J19</f>
        <v>28</v>
      </c>
      <c r="M19" s="902">
        <f>M16+K19</f>
        <v>28</v>
      </c>
      <c r="N19" s="872"/>
      <c r="O19" s="1504"/>
      <c r="P19" s="1505" t="s">
        <v>41</v>
      </c>
      <c r="Q19" s="1503" t="s">
        <v>41</v>
      </c>
      <c r="R19" s="1503" t="s">
        <v>41</v>
      </c>
      <c r="S19" s="1506" t="s">
        <v>545</v>
      </c>
      <c r="T19" s="1477" t="s">
        <v>519</v>
      </c>
      <c r="U19" s="904"/>
      <c r="V19" s="904"/>
      <c r="W19" s="904"/>
    </row>
    <row r="20" spans="1:23" s="68" customFormat="1" ht="69">
      <c r="A20" s="101" t="s">
        <v>502</v>
      </c>
      <c r="B20" s="100" t="s">
        <v>503</v>
      </c>
      <c r="C20" s="95">
        <v>1</v>
      </c>
      <c r="D20" s="97" t="s">
        <v>504</v>
      </c>
      <c r="E20" s="75" t="s">
        <v>505</v>
      </c>
      <c r="F20" s="76" t="s">
        <v>109</v>
      </c>
      <c r="G20" s="76" t="s">
        <v>40</v>
      </c>
      <c r="H20" s="102" t="s">
        <v>506</v>
      </c>
      <c r="I20" s="1526">
        <v>45931</v>
      </c>
      <c r="J20" s="1527">
        <v>509.16</v>
      </c>
      <c r="K20" s="907">
        <v>810</v>
      </c>
      <c r="L20" s="1473">
        <f>J20+L17</f>
        <v>769.96</v>
      </c>
      <c r="M20" s="1507">
        <f>M17+K20</f>
        <v>1041.4000000000001</v>
      </c>
      <c r="N20" s="872"/>
      <c r="O20" s="1508" t="s">
        <v>546</v>
      </c>
      <c r="P20" s="1508" t="s">
        <v>547</v>
      </c>
      <c r="Q20" s="912"/>
      <c r="R20" s="912"/>
      <c r="S20" s="905" t="s">
        <v>548</v>
      </c>
      <c r="T20" s="1470" t="s">
        <v>549</v>
      </c>
      <c r="U20" s="904"/>
      <c r="V20" s="904"/>
      <c r="W20" s="904"/>
    </row>
    <row r="21" spans="1:23" s="68" customFormat="1" ht="129.6">
      <c r="A21" s="101" t="s">
        <v>502</v>
      </c>
      <c r="B21" s="100" t="s">
        <v>503</v>
      </c>
      <c r="C21" s="95">
        <v>2</v>
      </c>
      <c r="D21" s="97" t="s">
        <v>508</v>
      </c>
      <c r="E21" s="75" t="s">
        <v>509</v>
      </c>
      <c r="F21" s="76"/>
      <c r="G21" s="76" t="s">
        <v>40</v>
      </c>
      <c r="H21" s="102" t="s">
        <v>511</v>
      </c>
      <c r="I21" s="1526">
        <v>45931</v>
      </c>
      <c r="J21" s="1530">
        <v>4500</v>
      </c>
      <c r="K21" s="1509">
        <v>3670</v>
      </c>
      <c r="L21" s="907">
        <f>J21+L18</f>
        <v>13850</v>
      </c>
      <c r="M21" s="1510">
        <f>M18+K21</f>
        <v>11254</v>
      </c>
      <c r="N21" s="909"/>
      <c r="O21" s="910" t="s">
        <v>550</v>
      </c>
      <c r="P21" s="1511"/>
      <c r="Q21" s="912"/>
      <c r="R21" s="912"/>
      <c r="S21" s="1472" t="s">
        <v>551</v>
      </c>
      <c r="T21" s="1470" t="s">
        <v>515</v>
      </c>
      <c r="U21" s="904"/>
      <c r="V21" s="904"/>
      <c r="W21" s="904"/>
    </row>
    <row r="22" spans="1:23" s="68" customFormat="1" ht="100.8">
      <c r="A22" s="101" t="s">
        <v>502</v>
      </c>
      <c r="B22" s="100" t="s">
        <v>516</v>
      </c>
      <c r="C22" s="95">
        <v>3</v>
      </c>
      <c r="D22" s="97" t="s">
        <v>41</v>
      </c>
      <c r="E22" s="75" t="s">
        <v>517</v>
      </c>
      <c r="F22" s="76" t="s">
        <v>510</v>
      </c>
      <c r="G22" s="76"/>
      <c r="H22" s="96">
        <v>70</v>
      </c>
      <c r="I22" s="1526">
        <v>45931</v>
      </c>
      <c r="J22" s="1530">
        <v>7</v>
      </c>
      <c r="K22" s="901">
        <v>7</v>
      </c>
      <c r="L22" s="902">
        <f t="shared" ref="L22" si="5">L19+J22</f>
        <v>35</v>
      </c>
      <c r="M22" s="902">
        <f>K22+M19</f>
        <v>35</v>
      </c>
      <c r="N22" s="872"/>
      <c r="O22" s="1493"/>
      <c r="P22" s="912"/>
      <c r="Q22" s="912"/>
      <c r="R22" s="912"/>
      <c r="S22" s="905" t="s">
        <v>552</v>
      </c>
      <c r="T22" s="1477" t="s">
        <v>519</v>
      </c>
      <c r="U22" s="904"/>
      <c r="V22" s="904"/>
      <c r="W22" s="904"/>
    </row>
    <row r="23" spans="1:23" s="68" customFormat="1" ht="43.2">
      <c r="A23" s="101" t="s">
        <v>502</v>
      </c>
      <c r="B23" s="100" t="s">
        <v>503</v>
      </c>
      <c r="C23" s="95">
        <v>1</v>
      </c>
      <c r="D23" s="97" t="s">
        <v>504</v>
      </c>
      <c r="E23" s="75" t="s">
        <v>505</v>
      </c>
      <c r="F23" s="76" t="s">
        <v>109</v>
      </c>
      <c r="G23" s="76" t="s">
        <v>40</v>
      </c>
      <c r="H23" s="102" t="s">
        <v>506</v>
      </c>
      <c r="I23" s="1526">
        <v>45962</v>
      </c>
      <c r="J23" s="1532">
        <v>338.12</v>
      </c>
      <c r="K23" s="907">
        <v>346.2</v>
      </c>
      <c r="L23" s="908">
        <f t="shared" ref="L23:L36" si="6">J23+L20</f>
        <v>1108.08</v>
      </c>
      <c r="M23" s="1513">
        <v>1108.08</v>
      </c>
      <c r="N23" s="872"/>
      <c r="O23" s="1514" t="s">
        <v>553</v>
      </c>
      <c r="P23" s="916" t="s">
        <v>554</v>
      </c>
      <c r="Q23" s="912"/>
      <c r="R23" s="912"/>
      <c r="S23" s="905" t="s">
        <v>555</v>
      </c>
      <c r="T23" s="1470" t="s">
        <v>556</v>
      </c>
      <c r="U23" s="904"/>
      <c r="V23" s="904"/>
      <c r="W23" s="904"/>
    </row>
    <row r="24" spans="1:23" s="68" customFormat="1" ht="388.8">
      <c r="A24" s="101" t="s">
        <v>502</v>
      </c>
      <c r="B24" s="100" t="s">
        <v>503</v>
      </c>
      <c r="C24" s="95">
        <v>2</v>
      </c>
      <c r="D24" s="97" t="s">
        <v>508</v>
      </c>
      <c r="E24" s="75" t="s">
        <v>509</v>
      </c>
      <c r="F24" s="76"/>
      <c r="G24" s="76" t="s">
        <v>40</v>
      </c>
      <c r="H24" s="102" t="s">
        <v>511</v>
      </c>
      <c r="I24" s="1526">
        <v>45962</v>
      </c>
      <c r="J24" s="1530">
        <v>5000</v>
      </c>
      <c r="K24" s="913">
        <v>3076</v>
      </c>
      <c r="L24" s="914">
        <f t="shared" si="6"/>
        <v>18850</v>
      </c>
      <c r="M24" s="915">
        <f>M21+K24</f>
        <v>14330</v>
      </c>
      <c r="N24" s="909"/>
      <c r="O24" s="910" t="s">
        <v>557</v>
      </c>
      <c r="P24" s="916" t="s">
        <v>558</v>
      </c>
      <c r="Q24" s="905" t="s">
        <v>559</v>
      </c>
      <c r="R24" s="1515" t="s">
        <v>560</v>
      </c>
      <c r="S24" s="912"/>
      <c r="T24" s="1470" t="s">
        <v>515</v>
      </c>
      <c r="U24" s="904"/>
      <c r="V24" s="904"/>
      <c r="W24" s="904"/>
    </row>
    <row r="25" spans="1:23" s="68" customFormat="1" ht="110.4">
      <c r="A25" s="101" t="s">
        <v>502</v>
      </c>
      <c r="B25" s="100" t="s">
        <v>516</v>
      </c>
      <c r="C25" s="95">
        <v>3</v>
      </c>
      <c r="D25" s="97" t="s">
        <v>41</v>
      </c>
      <c r="E25" s="75" t="s">
        <v>517</v>
      </c>
      <c r="F25" s="76" t="s">
        <v>510</v>
      </c>
      <c r="G25" s="76"/>
      <c r="H25" s="96">
        <v>70</v>
      </c>
      <c r="I25" s="1526">
        <v>45962</v>
      </c>
      <c r="J25" s="1530">
        <v>7</v>
      </c>
      <c r="K25" s="900">
        <v>7</v>
      </c>
      <c r="L25" s="902">
        <f t="shared" si="6"/>
        <v>42</v>
      </c>
      <c r="M25" s="902">
        <f>M22+K25</f>
        <v>42</v>
      </c>
      <c r="N25" s="872"/>
      <c r="O25" s="1516"/>
      <c r="P25" s="912"/>
      <c r="Q25" s="912"/>
      <c r="R25" s="912"/>
      <c r="S25" s="1517" t="s">
        <v>561</v>
      </c>
      <c r="T25" s="1477" t="s">
        <v>519</v>
      </c>
      <c r="U25" s="904"/>
      <c r="V25" s="904"/>
      <c r="W25" s="904"/>
    </row>
    <row r="26" spans="1:23" s="68" customFormat="1" ht="32.4">
      <c r="A26" s="101" t="s">
        <v>502</v>
      </c>
      <c r="B26" s="100" t="s">
        <v>503</v>
      </c>
      <c r="C26" s="95">
        <v>1</v>
      </c>
      <c r="D26" s="97" t="s">
        <v>504</v>
      </c>
      <c r="E26" s="75" t="s">
        <v>505</v>
      </c>
      <c r="F26" s="76" t="s">
        <v>109</v>
      </c>
      <c r="G26" s="76" t="s">
        <v>40</v>
      </c>
      <c r="H26" s="102" t="s">
        <v>506</v>
      </c>
      <c r="I26" s="1526">
        <v>45992</v>
      </c>
      <c r="J26" s="1527">
        <v>418.73</v>
      </c>
      <c r="K26" s="1509">
        <v>419.12</v>
      </c>
      <c r="L26" s="1473">
        <f>J26+L23</f>
        <v>1526.81</v>
      </c>
      <c r="M26" s="1518">
        <f>M23+K26</f>
        <v>1527.1999999999998</v>
      </c>
      <c r="N26" s="872"/>
      <c r="O26" s="1478"/>
      <c r="P26" s="912"/>
      <c r="Q26" s="912"/>
      <c r="R26" s="912"/>
      <c r="S26" s="905" t="s">
        <v>562</v>
      </c>
      <c r="T26" s="1470" t="s">
        <v>563</v>
      </c>
      <c r="U26" s="904"/>
      <c r="V26" s="904"/>
      <c r="W26" s="904"/>
    </row>
    <row r="27" spans="1:23" s="68" customFormat="1" ht="43.2">
      <c r="A27" s="101" t="s">
        <v>502</v>
      </c>
      <c r="B27" s="100" t="s">
        <v>503</v>
      </c>
      <c r="C27" s="95">
        <v>2</v>
      </c>
      <c r="D27" s="97" t="s">
        <v>508</v>
      </c>
      <c r="E27" s="75" t="s">
        <v>509</v>
      </c>
      <c r="F27" s="76"/>
      <c r="G27" s="76" t="s">
        <v>40</v>
      </c>
      <c r="H27" s="102" t="s">
        <v>511</v>
      </c>
      <c r="I27" s="1526">
        <v>45992</v>
      </c>
      <c r="J27" s="1530">
        <v>5000</v>
      </c>
      <c r="K27" s="901">
        <v>5941</v>
      </c>
      <c r="L27" s="901">
        <f t="shared" si="6"/>
        <v>23850</v>
      </c>
      <c r="M27" s="902">
        <f>M21+K27</f>
        <v>17195</v>
      </c>
      <c r="N27" s="909"/>
      <c r="O27" s="917"/>
      <c r="P27" s="912"/>
      <c r="Q27" s="912"/>
      <c r="R27" s="912"/>
      <c r="S27" s="1472" t="s">
        <v>564</v>
      </c>
      <c r="T27" s="1470" t="s">
        <v>515</v>
      </c>
      <c r="U27" s="904"/>
      <c r="V27" s="904"/>
      <c r="W27" s="904"/>
    </row>
    <row r="28" spans="1:23" s="68" customFormat="1" ht="115.2">
      <c r="A28" s="101" t="s">
        <v>502</v>
      </c>
      <c r="B28" s="100" t="s">
        <v>516</v>
      </c>
      <c r="C28" s="95">
        <v>3</v>
      </c>
      <c r="D28" s="97" t="s">
        <v>41</v>
      </c>
      <c r="E28" s="75" t="s">
        <v>517</v>
      </c>
      <c r="F28" s="76" t="s">
        <v>510</v>
      </c>
      <c r="G28" s="76"/>
      <c r="H28" s="96">
        <v>70</v>
      </c>
      <c r="I28" s="1526">
        <v>45992</v>
      </c>
      <c r="J28" s="1530">
        <v>7</v>
      </c>
      <c r="K28" s="901">
        <v>7</v>
      </c>
      <c r="L28" s="902">
        <f>J28+L25</f>
        <v>49</v>
      </c>
      <c r="M28" s="1519">
        <f>M25+K28</f>
        <v>49</v>
      </c>
      <c r="N28" s="872"/>
      <c r="O28" s="909"/>
      <c r="P28" s="912"/>
      <c r="Q28" s="912"/>
      <c r="R28" s="912"/>
      <c r="S28" s="905" t="s">
        <v>565</v>
      </c>
      <c r="T28" s="1477" t="s">
        <v>519</v>
      </c>
      <c r="U28" s="904"/>
      <c r="V28" s="904"/>
      <c r="W28" s="904"/>
    </row>
    <row r="29" spans="1:23" s="68" customFormat="1" ht="86.4">
      <c r="A29" s="101" t="s">
        <v>502</v>
      </c>
      <c r="B29" s="100" t="s">
        <v>503</v>
      </c>
      <c r="C29" s="95">
        <v>1</v>
      </c>
      <c r="D29" s="97" t="s">
        <v>504</v>
      </c>
      <c r="E29" s="75" t="s">
        <v>505</v>
      </c>
      <c r="F29" s="76" t="s">
        <v>109</v>
      </c>
      <c r="G29" s="76" t="s">
        <v>40</v>
      </c>
      <c r="H29" s="102" t="s">
        <v>506</v>
      </c>
      <c r="I29" s="1526">
        <v>46023</v>
      </c>
      <c r="J29" s="1527">
        <v>379.54</v>
      </c>
      <c r="K29" s="907">
        <v>379.7</v>
      </c>
      <c r="L29" s="1473">
        <f>J29+L26</f>
        <v>1906.35</v>
      </c>
      <c r="M29" s="1518">
        <f>M26+K29</f>
        <v>1906.8999999999999</v>
      </c>
      <c r="N29" s="872"/>
      <c r="O29" s="1478"/>
      <c r="P29" s="912"/>
      <c r="Q29" s="912"/>
      <c r="R29" s="912"/>
      <c r="S29" s="905" t="s">
        <v>566</v>
      </c>
      <c r="T29" s="1470" t="s">
        <v>567</v>
      </c>
      <c r="U29" s="904"/>
      <c r="V29" s="904"/>
      <c r="W29" s="904"/>
    </row>
    <row r="30" spans="1:23" s="68" customFormat="1" ht="28.8">
      <c r="A30" s="101" t="s">
        <v>502</v>
      </c>
      <c r="B30" s="100" t="s">
        <v>503</v>
      </c>
      <c r="C30" s="95">
        <v>2</v>
      </c>
      <c r="D30" s="97" t="s">
        <v>508</v>
      </c>
      <c r="E30" s="75" t="s">
        <v>509</v>
      </c>
      <c r="F30" s="76"/>
      <c r="G30" s="76" t="s">
        <v>40</v>
      </c>
      <c r="H30" s="102" t="s">
        <v>511</v>
      </c>
      <c r="I30" s="1526">
        <v>46023</v>
      </c>
      <c r="J30" s="1530">
        <v>5000</v>
      </c>
      <c r="K30" s="907">
        <v>4632</v>
      </c>
      <c r="L30" s="907">
        <f t="shared" si="6"/>
        <v>28850</v>
      </c>
      <c r="M30" s="902">
        <f>M24+K30</f>
        <v>18962</v>
      </c>
      <c r="N30" s="909"/>
      <c r="O30" s="1575" t="s">
        <v>568</v>
      </c>
      <c r="P30" s="912"/>
      <c r="Q30" s="912"/>
      <c r="R30" s="912"/>
      <c r="S30" s="912"/>
      <c r="T30" s="1470" t="s">
        <v>515</v>
      </c>
      <c r="U30" s="904"/>
      <c r="V30" s="904"/>
      <c r="W30" s="904"/>
    </row>
    <row r="31" spans="1:23" s="68" customFormat="1" ht="100.8">
      <c r="A31" s="101" t="s">
        <v>502</v>
      </c>
      <c r="B31" s="100" t="s">
        <v>516</v>
      </c>
      <c r="C31" s="95">
        <v>3</v>
      </c>
      <c r="D31" s="97" t="s">
        <v>41</v>
      </c>
      <c r="E31" s="75" t="s">
        <v>517</v>
      </c>
      <c r="F31" s="76" t="s">
        <v>510</v>
      </c>
      <c r="G31" s="76"/>
      <c r="H31" s="96">
        <v>70</v>
      </c>
      <c r="I31" s="1526">
        <v>46023</v>
      </c>
      <c r="J31" s="1530">
        <v>7</v>
      </c>
      <c r="K31" s="901">
        <v>7</v>
      </c>
      <c r="L31" s="902">
        <f t="shared" si="6"/>
        <v>56</v>
      </c>
      <c r="M31" s="1519">
        <f>M28+K31</f>
        <v>56</v>
      </c>
      <c r="N31" s="872"/>
      <c r="O31" s="1563"/>
      <c r="P31" s="912"/>
      <c r="Q31" s="912"/>
      <c r="R31" s="912"/>
      <c r="S31" s="911" t="s">
        <v>569</v>
      </c>
      <c r="T31" s="1477" t="s">
        <v>519</v>
      </c>
      <c r="U31" s="904"/>
      <c r="V31" s="904"/>
      <c r="W31" s="904"/>
    </row>
    <row r="32" spans="1:23" s="68" customFormat="1" ht="111.75" customHeight="1">
      <c r="A32" s="101" t="s">
        <v>502</v>
      </c>
      <c r="B32" s="100" t="s">
        <v>503</v>
      </c>
      <c r="C32" s="95">
        <v>1</v>
      </c>
      <c r="D32" s="97" t="s">
        <v>504</v>
      </c>
      <c r="E32" s="75" t="s">
        <v>505</v>
      </c>
      <c r="F32" s="76" t="s">
        <v>109</v>
      </c>
      <c r="G32" s="76" t="s">
        <v>40</v>
      </c>
      <c r="H32" s="102" t="s">
        <v>506</v>
      </c>
      <c r="I32" s="1526">
        <v>46054</v>
      </c>
      <c r="J32" s="1527">
        <v>1122.77</v>
      </c>
      <c r="K32" s="907">
        <v>401.33</v>
      </c>
      <c r="L32" s="908">
        <f t="shared" si="6"/>
        <v>3029.12</v>
      </c>
      <c r="M32" s="2547">
        <f>M29+K32</f>
        <v>2308.23</v>
      </c>
      <c r="N32" s="872"/>
      <c r="O32" s="1497" t="s">
        <v>570</v>
      </c>
      <c r="P32" s="1497" t="s">
        <v>571</v>
      </c>
      <c r="Q32" s="912"/>
      <c r="R32" s="1472" t="s">
        <v>572</v>
      </c>
      <c r="S32" s="905" t="s">
        <v>573</v>
      </c>
      <c r="T32" s="1470" t="s">
        <v>574</v>
      </c>
      <c r="U32" s="904"/>
      <c r="V32" s="904"/>
      <c r="W32" s="904"/>
    </row>
    <row r="33" spans="1:23" s="68" customFormat="1" ht="91.65" customHeight="1">
      <c r="A33" s="101" t="s">
        <v>502</v>
      </c>
      <c r="B33" s="100" t="s">
        <v>503</v>
      </c>
      <c r="C33" s="95">
        <v>2</v>
      </c>
      <c r="D33" s="97" t="s">
        <v>508</v>
      </c>
      <c r="E33" s="75" t="s">
        <v>509</v>
      </c>
      <c r="F33" s="76"/>
      <c r="G33" s="76" t="s">
        <v>40</v>
      </c>
      <c r="H33" s="102" t="s">
        <v>511</v>
      </c>
      <c r="I33" s="1526">
        <v>46054</v>
      </c>
      <c r="J33" s="1530">
        <v>6500</v>
      </c>
      <c r="K33" s="907">
        <v>6320</v>
      </c>
      <c r="L33" s="907">
        <f t="shared" si="6"/>
        <v>35350</v>
      </c>
      <c r="M33" s="902">
        <f>M30+K33</f>
        <v>25282</v>
      </c>
      <c r="N33" s="909"/>
      <c r="O33" s="910" t="s">
        <v>575</v>
      </c>
      <c r="P33" s="1506" t="s">
        <v>576</v>
      </c>
      <c r="Q33" s="912"/>
      <c r="R33" s="912"/>
      <c r="S33" s="911" t="s">
        <v>577</v>
      </c>
      <c r="T33" s="1470" t="s">
        <v>515</v>
      </c>
      <c r="U33" s="904"/>
      <c r="V33" s="904"/>
      <c r="W33" s="904"/>
    </row>
    <row r="34" spans="1:23" s="68" customFormat="1" ht="74.400000000000006" customHeight="1">
      <c r="A34" s="101" t="s">
        <v>502</v>
      </c>
      <c r="B34" s="100" t="s">
        <v>516</v>
      </c>
      <c r="C34" s="95">
        <v>3</v>
      </c>
      <c r="D34" s="97" t="s">
        <v>41</v>
      </c>
      <c r="E34" s="75" t="s">
        <v>517</v>
      </c>
      <c r="F34" s="76" t="s">
        <v>510</v>
      </c>
      <c r="G34" s="76"/>
      <c r="H34" s="96">
        <v>70</v>
      </c>
      <c r="I34" s="1526">
        <v>46054</v>
      </c>
      <c r="J34" s="1530">
        <v>7</v>
      </c>
      <c r="K34" s="901">
        <v>7</v>
      </c>
      <c r="L34" s="902">
        <f t="shared" si="6"/>
        <v>63</v>
      </c>
      <c r="M34" s="902">
        <f>M31+K34</f>
        <v>63</v>
      </c>
      <c r="N34" s="872"/>
      <c r="O34" s="904"/>
      <c r="P34" s="912"/>
      <c r="Q34" s="912"/>
      <c r="R34" s="912"/>
      <c r="S34" s="912"/>
      <c r="T34" s="1477" t="s">
        <v>519</v>
      </c>
      <c r="U34" s="904"/>
      <c r="V34" s="904"/>
      <c r="W34" s="904"/>
    </row>
    <row r="35" spans="1:23" s="68" customFormat="1" ht="57.6">
      <c r="A35" s="101" t="s">
        <v>502</v>
      </c>
      <c r="B35" s="100" t="s">
        <v>503</v>
      </c>
      <c r="C35" s="95">
        <v>1</v>
      </c>
      <c r="D35" s="97" t="s">
        <v>504</v>
      </c>
      <c r="E35" s="75" t="s">
        <v>505</v>
      </c>
      <c r="F35" s="2533" t="s">
        <v>109</v>
      </c>
      <c r="G35" s="2533" t="s">
        <v>40</v>
      </c>
      <c r="H35" s="102" t="s">
        <v>506</v>
      </c>
      <c r="I35" s="1526">
        <v>46082</v>
      </c>
      <c r="J35" s="1527">
        <v>621.70000000000005</v>
      </c>
      <c r="K35" s="907"/>
      <c r="L35" s="908">
        <f t="shared" si="6"/>
        <v>3650.8199999999997</v>
      </c>
      <c r="M35" s="908"/>
      <c r="N35" s="872"/>
      <c r="O35" s="1478"/>
      <c r="P35" s="912"/>
      <c r="Q35" s="912"/>
      <c r="R35" s="912"/>
      <c r="S35" s="905" t="s">
        <v>578</v>
      </c>
      <c r="T35" s="1470" t="s">
        <v>579</v>
      </c>
      <c r="U35" s="904"/>
      <c r="V35" s="904"/>
      <c r="W35" s="904"/>
    </row>
    <row r="36" spans="1:23" s="68" customFormat="1" ht="19.2">
      <c r="A36" s="101" t="s">
        <v>502</v>
      </c>
      <c r="B36" s="100" t="s">
        <v>503</v>
      </c>
      <c r="C36" s="95">
        <v>2</v>
      </c>
      <c r="D36" s="97" t="s">
        <v>508</v>
      </c>
      <c r="E36" s="75" t="s">
        <v>509</v>
      </c>
      <c r="F36" s="2533"/>
      <c r="G36" s="2533" t="s">
        <v>40</v>
      </c>
      <c r="H36" s="102" t="s">
        <v>511</v>
      </c>
      <c r="I36" s="1526">
        <v>46082</v>
      </c>
      <c r="J36" s="1530">
        <v>7000</v>
      </c>
      <c r="K36" s="1512"/>
      <c r="L36" s="907">
        <f t="shared" si="6"/>
        <v>42350</v>
      </c>
      <c r="M36" s="906"/>
      <c r="N36" s="909"/>
      <c r="O36" s="1520"/>
      <c r="P36" s="912"/>
      <c r="Q36" s="912"/>
      <c r="R36" s="912"/>
      <c r="S36" s="2534" t="s">
        <v>580</v>
      </c>
      <c r="T36" s="1470" t="s">
        <v>515</v>
      </c>
      <c r="U36" s="904"/>
      <c r="V36" s="904"/>
      <c r="W36" s="904"/>
    </row>
    <row r="37" spans="1:23" s="68" customFormat="1" ht="19.2">
      <c r="A37" s="101" t="s">
        <v>502</v>
      </c>
      <c r="B37" s="100" t="s">
        <v>516</v>
      </c>
      <c r="C37" s="95">
        <v>3</v>
      </c>
      <c r="D37" s="97" t="s">
        <v>41</v>
      </c>
      <c r="E37" s="75" t="s">
        <v>517</v>
      </c>
      <c r="F37" s="2533" t="s">
        <v>510</v>
      </c>
      <c r="G37" s="2533"/>
      <c r="H37" s="96">
        <v>70</v>
      </c>
      <c r="I37" s="1526">
        <v>46082</v>
      </c>
      <c r="J37" s="1530">
        <v>7</v>
      </c>
      <c r="K37" s="1512"/>
      <c r="L37" s="902">
        <f t="shared" ref="L37" si="7">L34+J37</f>
        <v>70</v>
      </c>
      <c r="M37" s="906"/>
      <c r="N37" s="872"/>
      <c r="O37" s="1521"/>
      <c r="P37" s="912"/>
      <c r="Q37" s="912"/>
      <c r="R37" s="912"/>
      <c r="S37" s="912"/>
      <c r="T37" s="1477" t="s">
        <v>519</v>
      </c>
      <c r="U37" s="904"/>
      <c r="V37" s="904"/>
      <c r="W37" s="904"/>
    </row>
    <row r="39" spans="1:23">
      <c r="I39" s="1533" t="s">
        <v>581</v>
      </c>
      <c r="J39" s="1534">
        <f>SUM(J5,J8,J11,J14,J17,J20,J23,J26,J29,J32,J35)</f>
        <v>3650.8199999999997</v>
      </c>
      <c r="K39" s="1523" t="s">
        <v>505</v>
      </c>
      <c r="N39" s="743">
        <f>(70-25)/6</f>
        <v>7.5</v>
      </c>
    </row>
    <row r="40" spans="1:23">
      <c r="T40" s="1524"/>
    </row>
    <row r="41" spans="1:23">
      <c r="M41" s="2532"/>
    </row>
  </sheetData>
  <sheetProtection algorithmName="SHA-512" hashValue="1awtpGQGmHSY9tBC8BevJd1phktVXY2+uccNUeGiMc0yPXd8FpIHbolDWsm16bU6qtP1dXPE52B5LZrLPN0/0Q==" saltValue="DSdblYO4YD4jGLUqTWhlHw==" spinCount="100000" sheet="1" formatCells="0" formatColumns="0" formatRows="0" sort="0" autoFilter="0" pivotTables="0"/>
  <conditionalFormatting sqref="E2:T13 A2:D37 E14:J14 L14 N14:S14 T14:T23 E15:S15 E16:P16 R16:S16 L16:L17 E17:J17 N17:S17 E18:S19 E20:L20 N20:S20 E21:S22 E23:L23 E24:T37">
    <cfRule type="expression" dxfId="10" priority="3">
      <formula>MONTH($I2)=MONTH(TODAY()-29)</formula>
    </cfRule>
  </conditionalFormatting>
  <conditionalFormatting sqref="N1:N37">
    <cfRule type="expression" dxfId="9" priority="5">
      <formula>MONTH(I1)&lt;&gt;MONTH(TODAY())</formula>
    </cfRule>
  </conditionalFormatting>
  <conditionalFormatting sqref="N23:S23">
    <cfRule type="expression" dxfId="8" priority="2">
      <formula>MONTH($I23)=MONTH(TODAY()-29)</formula>
    </cfRule>
  </conditionalFormatting>
  <pageMargins left="0.7" right="0.7" top="0.75" bottom="0.75" header="0.3" footer="0.3"/>
  <headerFooter>
    <oddHeader>&amp;C&amp;"Calibri"&amp;10&amp;KFF0000 CONFIDENTIAL&amp;1#_x000D_</oddHeader>
  </headerFooter>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E1F90-F1B2-4F9E-A955-F77DB4EE2FDB}">
  <sheetPr codeName="Sheet13"/>
  <dimension ref="A1:AP109"/>
  <sheetViews>
    <sheetView showGridLines="0" topLeftCell="E1" zoomScale="70" zoomScaleNormal="70" workbookViewId="0">
      <pane ySplit="1" topLeftCell="A2" activePane="bottomLeft" state="frozen"/>
      <selection activeCell="D69" sqref="D69"/>
      <selection pane="bottomLeft" activeCell="AH31" sqref="AH31"/>
    </sheetView>
  </sheetViews>
  <sheetFormatPr defaultColWidth="8.109375" defaultRowHeight="34.35" customHeight="1"/>
  <cols>
    <col min="1" max="1" width="13.109375" style="1649" customWidth="1"/>
    <col min="2" max="2" width="26.6640625" style="1699" customWidth="1"/>
    <col min="3" max="3" width="5.33203125" style="1649" customWidth="1"/>
    <col min="4" max="4" width="15.88671875" style="1700" customWidth="1"/>
    <col min="5" max="5" width="22.109375" style="1700" customWidth="1"/>
    <col min="6" max="6" width="11.109375" style="1701" bestFit="1" customWidth="1"/>
    <col min="7" max="7" width="8.6640625" style="1649" customWidth="1"/>
    <col min="8" max="8" width="10.88671875" style="1649" customWidth="1"/>
    <col min="9" max="9" width="8.88671875" style="1701" customWidth="1"/>
    <col min="10" max="10" width="12.109375" style="1648" customWidth="1"/>
    <col min="11" max="21" width="8.109375" style="1648" customWidth="1"/>
    <col min="22" max="42" width="8.109375" style="1648"/>
    <col min="43" max="16384" width="8.109375" style="1649"/>
  </cols>
  <sheetData>
    <row r="1" spans="1:42" s="1635" customFormat="1" ht="60" customHeight="1">
      <c r="A1" s="1622" t="s">
        <v>1</v>
      </c>
      <c r="B1" s="1622" t="s">
        <v>19</v>
      </c>
      <c r="C1" s="1622" t="s">
        <v>93</v>
      </c>
      <c r="D1" s="1622" t="s">
        <v>21</v>
      </c>
      <c r="E1" s="1622" t="s">
        <v>308</v>
      </c>
      <c r="F1" s="1622" t="s">
        <v>22</v>
      </c>
      <c r="G1" s="1623" t="s">
        <v>23</v>
      </c>
      <c r="H1" s="1624" t="s">
        <v>24</v>
      </c>
      <c r="I1" s="1625" t="s">
        <v>25</v>
      </c>
      <c r="J1" s="1626" t="s">
        <v>26</v>
      </c>
      <c r="K1" s="1627" t="s">
        <v>94</v>
      </c>
      <c r="L1" s="1628" t="s">
        <v>95</v>
      </c>
      <c r="M1" s="1628" t="s">
        <v>582</v>
      </c>
      <c r="N1" s="1628" t="s">
        <v>96</v>
      </c>
      <c r="O1" s="1628" t="s">
        <v>97</v>
      </c>
      <c r="P1" s="1628" t="s">
        <v>98</v>
      </c>
      <c r="Q1" s="1628" t="s">
        <v>99</v>
      </c>
      <c r="R1" s="1628" t="s">
        <v>100</v>
      </c>
      <c r="S1" s="1628" t="s">
        <v>101</v>
      </c>
      <c r="T1" s="1628" t="s">
        <v>102</v>
      </c>
      <c r="U1" s="1629" t="s">
        <v>103</v>
      </c>
      <c r="V1" s="1630" t="s">
        <v>104</v>
      </c>
      <c r="W1" s="1631" t="s">
        <v>105</v>
      </c>
      <c r="X1" s="1631" t="s">
        <v>106</v>
      </c>
      <c r="Y1" s="1631" t="s">
        <v>115</v>
      </c>
      <c r="Z1" s="1632" t="s">
        <v>126</v>
      </c>
      <c r="AA1" s="1631" t="s">
        <v>108</v>
      </c>
      <c r="AB1" s="1631" t="s">
        <v>109</v>
      </c>
      <c r="AC1" s="1631" t="s">
        <v>110</v>
      </c>
      <c r="AD1" s="1631" t="s">
        <v>111</v>
      </c>
      <c r="AE1" s="1631" t="s">
        <v>110</v>
      </c>
      <c r="AF1" s="1631" t="s">
        <v>39</v>
      </c>
      <c r="AG1" s="1633" t="s">
        <v>583</v>
      </c>
      <c r="AH1" s="1634"/>
      <c r="AI1" s="1634"/>
      <c r="AJ1" s="1634"/>
      <c r="AK1" s="1634"/>
      <c r="AL1" s="1634"/>
      <c r="AM1" s="1634"/>
      <c r="AN1" s="1634"/>
      <c r="AO1" s="1634"/>
      <c r="AP1" s="1634"/>
    </row>
    <row r="2" spans="1:42" ht="34.35" customHeight="1">
      <c r="A2" s="1636" t="s">
        <v>502</v>
      </c>
      <c r="B2" s="1636" t="s">
        <v>503</v>
      </c>
      <c r="C2" s="1637">
        <v>1</v>
      </c>
      <c r="D2" s="1638" t="s">
        <v>504</v>
      </c>
      <c r="E2" s="1639" t="s">
        <v>584</v>
      </c>
      <c r="F2" s="1637" t="s">
        <v>505</v>
      </c>
      <c r="G2" s="1640" t="s">
        <v>109</v>
      </c>
      <c r="H2" s="1641" t="s">
        <v>40</v>
      </c>
      <c r="I2" s="1642">
        <v>0.33</v>
      </c>
      <c r="J2" s="1643">
        <v>45748</v>
      </c>
      <c r="K2" s="1644"/>
      <c r="L2" s="1645"/>
      <c r="M2" s="1645"/>
      <c r="N2" s="1645"/>
      <c r="O2" s="1645"/>
      <c r="P2" s="1645"/>
      <c r="Q2" s="1645"/>
      <c r="R2" s="1645"/>
      <c r="S2" s="1645"/>
      <c r="T2" s="1645"/>
      <c r="U2" s="1646"/>
      <c r="V2" s="1644"/>
      <c r="W2" s="1645"/>
      <c r="X2" s="1645"/>
      <c r="Y2" s="1645"/>
      <c r="Z2" s="1645"/>
      <c r="AA2" s="1645"/>
      <c r="AB2" s="1645"/>
      <c r="AC2" s="1645"/>
      <c r="AD2" s="1645"/>
      <c r="AE2" s="1645"/>
      <c r="AF2" s="1645"/>
      <c r="AG2" s="1647"/>
      <c r="AH2" s="1648">
        <f>SUBTOTAL(9,K2:AG2)</f>
        <v>0</v>
      </c>
    </row>
    <row r="3" spans="1:42" ht="34.35" customHeight="1">
      <c r="A3" s="1650" t="s">
        <v>502</v>
      </c>
      <c r="B3" s="1651" t="s">
        <v>503</v>
      </c>
      <c r="C3" s="1652">
        <v>2</v>
      </c>
      <c r="D3" s="1653" t="s">
        <v>508</v>
      </c>
      <c r="E3" s="1654" t="s">
        <v>585</v>
      </c>
      <c r="F3" s="1652" t="s">
        <v>505</v>
      </c>
      <c r="G3" s="1655" t="s">
        <v>510</v>
      </c>
      <c r="H3" s="1656" t="s">
        <v>40</v>
      </c>
      <c r="I3" s="1657">
        <v>0.1</v>
      </c>
      <c r="J3" s="1658">
        <v>45748</v>
      </c>
      <c r="K3" s="1659"/>
      <c r="L3" s="1660"/>
      <c r="M3" s="1660"/>
      <c r="N3" s="1660"/>
      <c r="O3" s="1660"/>
      <c r="P3" s="1660"/>
      <c r="Q3" s="1660"/>
      <c r="R3" s="1660"/>
      <c r="S3" s="1660"/>
      <c r="T3" s="1660"/>
      <c r="U3" s="1661"/>
      <c r="V3" s="1659"/>
      <c r="W3" s="1660"/>
      <c r="X3" s="1660"/>
      <c r="Y3" s="1660"/>
      <c r="Z3" s="1660"/>
      <c r="AA3" s="1660">
        <v>20</v>
      </c>
      <c r="AB3" s="1660"/>
      <c r="AC3" s="1660"/>
      <c r="AD3" s="1660"/>
      <c r="AE3" s="1660"/>
      <c r="AF3" s="1660"/>
      <c r="AG3" s="1662">
        <f>150-20</f>
        <v>130</v>
      </c>
    </row>
    <row r="4" spans="1:42" ht="34.35" customHeight="1">
      <c r="A4" s="1663" t="s">
        <v>502</v>
      </c>
      <c r="B4" s="1664" t="s">
        <v>516</v>
      </c>
      <c r="C4" s="1665">
        <v>3</v>
      </c>
      <c r="D4" s="1666" t="s">
        <v>41</v>
      </c>
      <c r="E4" s="1667" t="s">
        <v>519</v>
      </c>
      <c r="F4" s="1665" t="s">
        <v>38</v>
      </c>
      <c r="G4" s="1668" t="s">
        <v>510</v>
      </c>
      <c r="H4" s="1669" t="s">
        <v>40</v>
      </c>
      <c r="I4" s="1670">
        <v>70</v>
      </c>
      <c r="J4" s="1671">
        <v>45748</v>
      </c>
      <c r="K4" s="1672"/>
      <c r="L4" s="1673"/>
      <c r="M4" s="1673"/>
      <c r="N4" s="1673"/>
      <c r="O4" s="1673"/>
      <c r="P4" s="1673"/>
      <c r="Q4" s="1673"/>
      <c r="R4" s="1673"/>
      <c r="S4" s="1673"/>
      <c r="T4" s="1673"/>
      <c r="U4" s="1674"/>
      <c r="V4" s="1672"/>
      <c r="W4" s="1673">
        <v>1</v>
      </c>
      <c r="X4" s="1673"/>
      <c r="Y4" s="1673"/>
      <c r="Z4" s="1673"/>
      <c r="AA4" s="1673">
        <v>2</v>
      </c>
      <c r="AB4" s="1673"/>
      <c r="AC4" s="1673"/>
      <c r="AD4" s="1673"/>
      <c r="AE4" s="1673"/>
      <c r="AF4" s="1673">
        <v>1</v>
      </c>
      <c r="AG4" s="1675"/>
    </row>
    <row r="5" spans="1:42" ht="34.35" customHeight="1">
      <c r="A5" s="1676" t="s">
        <v>502</v>
      </c>
      <c r="B5" s="1677" t="s">
        <v>503</v>
      </c>
      <c r="C5" s="1678">
        <v>1</v>
      </c>
      <c r="D5" s="1679" t="s">
        <v>504</v>
      </c>
      <c r="E5" s="1680" t="s">
        <v>584</v>
      </c>
      <c r="F5" s="1681" t="s">
        <v>505</v>
      </c>
      <c r="G5" s="1682" t="s">
        <v>109</v>
      </c>
      <c r="H5" s="1683" t="s">
        <v>40</v>
      </c>
      <c r="I5" s="1684">
        <v>0.33</v>
      </c>
      <c r="J5" s="1685">
        <v>45778</v>
      </c>
      <c r="K5" s="1686"/>
      <c r="L5" s="1687"/>
      <c r="M5" s="1687"/>
      <c r="N5" s="1687"/>
      <c r="O5" s="1687"/>
      <c r="P5" s="1687"/>
      <c r="Q5" s="1687"/>
      <c r="R5" s="1687"/>
      <c r="S5" s="1687"/>
      <c r="T5" s="1687"/>
      <c r="U5" s="1688"/>
      <c r="V5" s="1686"/>
      <c r="W5" s="1687"/>
      <c r="X5" s="1687"/>
      <c r="Y5" s="1687"/>
      <c r="Z5" s="1687"/>
      <c r="AA5" s="1687"/>
      <c r="AB5" s="1687"/>
      <c r="AC5" s="1687"/>
      <c r="AD5" s="1687"/>
      <c r="AE5" s="1687"/>
      <c r="AF5" s="1687"/>
      <c r="AG5" s="1689"/>
      <c r="AH5" s="1648">
        <f>SUM(K5:AE5)</f>
        <v>0</v>
      </c>
    </row>
    <row r="6" spans="1:42" ht="34.35" customHeight="1">
      <c r="A6" s="1650" t="s">
        <v>502</v>
      </c>
      <c r="B6" s="1651" t="s">
        <v>503</v>
      </c>
      <c r="C6" s="1690">
        <v>2</v>
      </c>
      <c r="D6" s="1691" t="s">
        <v>508</v>
      </c>
      <c r="E6" s="1654" t="s">
        <v>585</v>
      </c>
      <c r="F6" s="1652" t="s">
        <v>505</v>
      </c>
      <c r="G6" s="1655" t="s">
        <v>510</v>
      </c>
      <c r="H6" s="1656" t="s">
        <v>40</v>
      </c>
      <c r="I6" s="1657">
        <v>0.1</v>
      </c>
      <c r="J6" s="1692">
        <v>45778</v>
      </c>
      <c r="K6" s="1659"/>
      <c r="L6" s="1660"/>
      <c r="M6" s="1660"/>
      <c r="N6" s="1660"/>
      <c r="O6" s="1660"/>
      <c r="P6" s="1660"/>
      <c r="Q6" s="1660"/>
      <c r="R6" s="1660"/>
      <c r="S6" s="1660"/>
      <c r="T6" s="1660"/>
      <c r="U6" s="1661"/>
      <c r="V6" s="1659"/>
      <c r="W6" s="1660"/>
      <c r="X6" s="1660"/>
      <c r="Y6" s="1660"/>
      <c r="Z6" s="1660"/>
      <c r="AA6" s="1660">
        <v>275</v>
      </c>
      <c r="AB6" s="1660"/>
      <c r="AC6" s="1660"/>
      <c r="AD6" s="1660"/>
      <c r="AE6" s="1660"/>
      <c r="AF6" s="1660"/>
      <c r="AG6" s="1662">
        <v>225</v>
      </c>
    </row>
    <row r="7" spans="1:42" ht="34.35" customHeight="1">
      <c r="A7" s="1663" t="s">
        <v>502</v>
      </c>
      <c r="B7" s="1693" t="s">
        <v>516</v>
      </c>
      <c r="C7" s="1665">
        <v>3</v>
      </c>
      <c r="D7" s="1694" t="s">
        <v>41</v>
      </c>
      <c r="E7" s="1667" t="s">
        <v>519</v>
      </c>
      <c r="F7" s="1665" t="s">
        <v>38</v>
      </c>
      <c r="G7" s="1668" t="s">
        <v>510</v>
      </c>
      <c r="H7" s="1669" t="s">
        <v>40</v>
      </c>
      <c r="I7" s="1670">
        <v>70</v>
      </c>
      <c r="J7" s="1671">
        <v>45778</v>
      </c>
      <c r="K7" s="1672"/>
      <c r="L7" s="1673"/>
      <c r="M7" s="1673"/>
      <c r="N7" s="1673"/>
      <c r="O7" s="1673"/>
      <c r="P7" s="1673"/>
      <c r="Q7" s="1673"/>
      <c r="R7" s="1673"/>
      <c r="S7" s="1673"/>
      <c r="T7" s="1673"/>
      <c r="U7" s="1674"/>
      <c r="V7" s="1672"/>
      <c r="W7" s="1673">
        <v>3</v>
      </c>
      <c r="X7" s="1673"/>
      <c r="Y7" s="1673"/>
      <c r="Z7" s="1673"/>
      <c r="AA7" s="1673"/>
      <c r="AB7" s="1673">
        <v>1</v>
      </c>
      <c r="AC7" s="1673"/>
      <c r="AD7" s="1673">
        <v>1</v>
      </c>
      <c r="AE7" s="1673"/>
      <c r="AF7" s="1673"/>
      <c r="AG7" s="1675"/>
    </row>
    <row r="8" spans="1:42" ht="34.35" customHeight="1">
      <c r="A8" s="1677" t="s">
        <v>502</v>
      </c>
      <c r="B8" s="1677" t="s">
        <v>503</v>
      </c>
      <c r="C8" s="1681">
        <v>1</v>
      </c>
      <c r="D8" s="1679" t="s">
        <v>504</v>
      </c>
      <c r="E8" s="1680" t="s">
        <v>584</v>
      </c>
      <c r="F8" s="1681" t="s">
        <v>505</v>
      </c>
      <c r="G8" s="1682" t="s">
        <v>109</v>
      </c>
      <c r="H8" s="1683" t="s">
        <v>40</v>
      </c>
      <c r="I8" s="1684">
        <v>0.33</v>
      </c>
      <c r="J8" s="1685">
        <v>45809</v>
      </c>
      <c r="K8" s="1686"/>
      <c r="L8" s="1687"/>
      <c r="M8" s="1687"/>
      <c r="N8" s="1687"/>
      <c r="O8" s="1687"/>
      <c r="P8" s="1687"/>
      <c r="Q8" s="1687"/>
      <c r="R8" s="1687"/>
      <c r="S8" s="1687"/>
      <c r="T8" s="1687"/>
      <c r="U8" s="1695"/>
      <c r="V8" s="1686"/>
      <c r="W8" s="1687"/>
      <c r="X8" s="1687"/>
      <c r="Y8" s="1687"/>
      <c r="Z8" s="1687"/>
      <c r="AA8" s="1687"/>
      <c r="AB8" s="1687"/>
      <c r="AC8" s="1687"/>
      <c r="AD8" s="1687"/>
      <c r="AE8" s="1687"/>
      <c r="AF8" s="1687"/>
      <c r="AG8" s="1689"/>
      <c r="AH8" s="1648">
        <f>SUM(K8:AE8)</f>
        <v>0</v>
      </c>
    </row>
    <row r="9" spans="1:42" ht="34.35" customHeight="1">
      <c r="A9" s="1696" t="s">
        <v>502</v>
      </c>
      <c r="B9" s="1651" t="s">
        <v>503</v>
      </c>
      <c r="C9" s="1652">
        <v>2</v>
      </c>
      <c r="D9" s="1691" t="s">
        <v>508</v>
      </c>
      <c r="E9" s="1654" t="s">
        <v>585</v>
      </c>
      <c r="F9" s="1652" t="s">
        <v>505</v>
      </c>
      <c r="G9" s="1655" t="s">
        <v>510</v>
      </c>
      <c r="H9" s="1656" t="s">
        <v>40</v>
      </c>
      <c r="I9" s="1657">
        <v>0.1</v>
      </c>
      <c r="J9" s="1658">
        <v>45809</v>
      </c>
      <c r="K9" s="1659"/>
      <c r="L9" s="1660"/>
      <c r="M9" s="1660"/>
      <c r="N9" s="1660"/>
      <c r="O9" s="1660"/>
      <c r="P9" s="1660"/>
      <c r="Q9" s="1660"/>
      <c r="R9" s="1660"/>
      <c r="S9" s="1660"/>
      <c r="T9" s="1660"/>
      <c r="U9" s="1661"/>
      <c r="V9" s="1659"/>
      <c r="W9" s="1660"/>
      <c r="X9" s="1660"/>
      <c r="Y9" s="1660"/>
      <c r="Z9" s="1660"/>
      <c r="AA9" s="1660">
        <f>AA3+AA6+2+23</f>
        <v>320</v>
      </c>
      <c r="AB9" s="1660"/>
      <c r="AC9" s="1660"/>
      <c r="AD9" s="1660">
        <v>160</v>
      </c>
      <c r="AE9" s="1660"/>
      <c r="AF9" s="1660"/>
      <c r="AG9" s="1662">
        <f>AG3+AG6+265</f>
        <v>620</v>
      </c>
    </row>
    <row r="10" spans="1:42" ht="34.35" customHeight="1">
      <c r="A10" s="1663" t="s">
        <v>502</v>
      </c>
      <c r="B10" s="1697" t="s">
        <v>516</v>
      </c>
      <c r="C10" s="1665">
        <v>3</v>
      </c>
      <c r="D10" s="1694" t="s">
        <v>41</v>
      </c>
      <c r="E10" s="1667" t="s">
        <v>519</v>
      </c>
      <c r="F10" s="1665" t="s">
        <v>38</v>
      </c>
      <c r="G10" s="1668" t="s">
        <v>510</v>
      </c>
      <c r="H10" s="1669" t="s">
        <v>40</v>
      </c>
      <c r="I10" s="1670">
        <v>70</v>
      </c>
      <c r="J10" s="1671">
        <v>45809</v>
      </c>
      <c r="K10" s="1672"/>
      <c r="L10" s="1673"/>
      <c r="M10" s="1673"/>
      <c r="N10" s="1673"/>
      <c r="O10" s="1673"/>
      <c r="P10" s="1673"/>
      <c r="Q10" s="1673"/>
      <c r="R10" s="1673"/>
      <c r="S10" s="1673">
        <v>1</v>
      </c>
      <c r="T10" s="1673">
        <v>1</v>
      </c>
      <c r="U10" s="1698"/>
      <c r="V10" s="1672"/>
      <c r="W10" s="1673"/>
      <c r="X10" s="1673"/>
      <c r="Y10" s="1673"/>
      <c r="Z10" s="1673"/>
      <c r="AA10" s="1673">
        <v>3</v>
      </c>
      <c r="AB10" s="1673">
        <v>3</v>
      </c>
      <c r="AC10" s="1673"/>
      <c r="AD10" s="1673"/>
      <c r="AE10" s="1673"/>
      <c r="AF10" s="1673"/>
      <c r="AG10" s="1675"/>
    </row>
    <row r="11" spans="1:42" ht="34.35" customHeight="1">
      <c r="A11" s="1677" t="s">
        <v>502</v>
      </c>
      <c r="B11" s="1677" t="s">
        <v>503</v>
      </c>
      <c r="C11" s="1681">
        <v>1</v>
      </c>
      <c r="D11" s="1679" t="s">
        <v>504</v>
      </c>
      <c r="E11" s="1680" t="s">
        <v>584</v>
      </c>
      <c r="F11" s="1681" t="s">
        <v>505</v>
      </c>
      <c r="G11" s="1682" t="s">
        <v>109</v>
      </c>
      <c r="H11" s="1683" t="s">
        <v>40</v>
      </c>
      <c r="I11" s="1684">
        <v>0.33</v>
      </c>
      <c r="J11" s="1685">
        <v>45839</v>
      </c>
      <c r="K11" s="1686"/>
      <c r="L11" s="1687"/>
      <c r="M11" s="1687"/>
      <c r="N11" s="1687"/>
      <c r="O11" s="1687"/>
      <c r="P11" s="1687"/>
      <c r="Q11" s="1687"/>
      <c r="R11" s="1687"/>
      <c r="S11" s="1687"/>
      <c r="T11" s="1687"/>
      <c r="U11" s="1695"/>
      <c r="V11" s="1686"/>
      <c r="W11" s="1687"/>
      <c r="X11" s="1687"/>
      <c r="Y11" s="1687"/>
      <c r="Z11" s="1687"/>
      <c r="AA11" s="1687"/>
      <c r="AB11" s="1687"/>
      <c r="AC11" s="1687"/>
      <c r="AD11" s="1687"/>
      <c r="AE11" s="1687"/>
      <c r="AF11" s="1687"/>
      <c r="AG11" s="1689"/>
      <c r="AH11" s="1648">
        <f>SUM(K11:AE11)</f>
        <v>0</v>
      </c>
    </row>
    <row r="12" spans="1:42" ht="34.35" customHeight="1">
      <c r="A12" s="1696" t="s">
        <v>502</v>
      </c>
      <c r="B12" s="1651" t="s">
        <v>503</v>
      </c>
      <c r="C12" s="1652">
        <v>2</v>
      </c>
      <c r="D12" s="1691" t="s">
        <v>508</v>
      </c>
      <c r="E12" s="1654" t="s">
        <v>585</v>
      </c>
      <c r="F12" s="1652"/>
      <c r="G12" s="1655"/>
      <c r="H12" s="1656" t="s">
        <v>40</v>
      </c>
      <c r="I12" s="1657">
        <v>0.1</v>
      </c>
      <c r="J12" s="1658">
        <v>45839</v>
      </c>
      <c r="K12" s="1659"/>
      <c r="L12" s="1660"/>
      <c r="M12" s="1660"/>
      <c r="N12" s="1660"/>
      <c r="O12" s="1660"/>
      <c r="P12" s="1660"/>
      <c r="Q12" s="1660"/>
      <c r="R12" s="1660"/>
      <c r="S12" s="1660"/>
      <c r="T12" s="1660"/>
      <c r="U12" s="1661"/>
      <c r="V12" s="1659"/>
      <c r="W12" s="1660"/>
      <c r="X12" s="1660">
        <v>25</v>
      </c>
      <c r="Y12" s="1660"/>
      <c r="Z12" s="1660"/>
      <c r="AA12" s="1660">
        <v>250</v>
      </c>
      <c r="AB12" s="1660"/>
      <c r="AC12" s="1660"/>
      <c r="AD12" s="1660"/>
      <c r="AE12" s="1660"/>
      <c r="AF12" s="1660"/>
      <c r="AG12" s="1662">
        <v>1375</v>
      </c>
    </row>
    <row r="13" spans="1:42" ht="34.35" customHeight="1">
      <c r="A13" s="1663" t="s">
        <v>502</v>
      </c>
      <c r="B13" s="1697" t="s">
        <v>516</v>
      </c>
      <c r="C13" s="1665">
        <v>3</v>
      </c>
      <c r="D13" s="1694" t="s">
        <v>41</v>
      </c>
      <c r="E13" s="1667" t="s">
        <v>519</v>
      </c>
      <c r="F13" s="1665" t="s">
        <v>38</v>
      </c>
      <c r="G13" s="1668" t="s">
        <v>510</v>
      </c>
      <c r="H13" s="1669"/>
      <c r="I13" s="1670">
        <v>70</v>
      </c>
      <c r="J13" s="1671">
        <v>45839</v>
      </c>
      <c r="K13" s="1672"/>
      <c r="L13" s="1673"/>
      <c r="M13" s="1673"/>
      <c r="N13" s="1673"/>
      <c r="O13" s="1673"/>
      <c r="P13" s="1673"/>
      <c r="Q13" s="1673"/>
      <c r="R13" s="1673"/>
      <c r="S13" s="1673"/>
      <c r="T13" s="1673"/>
      <c r="U13" s="1698"/>
      <c r="V13" s="1672"/>
      <c r="W13" s="1673"/>
      <c r="X13" s="1673"/>
      <c r="Y13" s="1673"/>
      <c r="Z13" s="1673"/>
      <c r="AA13" s="1673"/>
      <c r="AB13" s="1673"/>
      <c r="AC13" s="1673"/>
      <c r="AD13" s="1673"/>
      <c r="AE13" s="1673"/>
      <c r="AF13" s="1673"/>
      <c r="AG13" s="1675"/>
    </row>
    <row r="14" spans="1:42" ht="34.35" customHeight="1">
      <c r="A14" s="1677" t="s">
        <v>502</v>
      </c>
      <c r="B14" s="1677" t="s">
        <v>503</v>
      </c>
      <c r="C14" s="1681">
        <v>1</v>
      </c>
      <c r="D14" s="1679" t="s">
        <v>504</v>
      </c>
      <c r="E14" s="1680" t="s">
        <v>584</v>
      </c>
      <c r="F14" s="1681" t="s">
        <v>505</v>
      </c>
      <c r="G14" s="1682" t="s">
        <v>109</v>
      </c>
      <c r="H14" s="1683" t="s">
        <v>40</v>
      </c>
      <c r="I14" s="1684">
        <v>0.33</v>
      </c>
      <c r="J14" s="1685">
        <v>45870</v>
      </c>
      <c r="K14" s="1686">
        <f>2.97+1.8</f>
        <v>4.7700000000000005</v>
      </c>
      <c r="L14" s="1687"/>
      <c r="M14" s="1687"/>
      <c r="N14" s="1687"/>
      <c r="O14" s="1687"/>
      <c r="P14" s="1687"/>
      <c r="Q14" s="1687"/>
      <c r="R14" s="1687">
        <f>4.3+6.39</f>
        <v>10.69</v>
      </c>
      <c r="S14" s="1687"/>
      <c r="T14" s="1687"/>
      <c r="U14" s="1695"/>
      <c r="V14" s="1686"/>
      <c r="W14" s="1687"/>
      <c r="X14" s="1687"/>
      <c r="Y14" s="1687"/>
      <c r="Z14" s="1687"/>
      <c r="AA14" s="1687"/>
      <c r="AB14" s="1687"/>
      <c r="AC14" s="1687"/>
      <c r="AD14" s="1687"/>
      <c r="AE14" s="1687"/>
      <c r="AF14" s="1687"/>
      <c r="AG14" s="1689"/>
      <c r="AH14" s="1648">
        <f>SUM(K14:AE14)</f>
        <v>15.46</v>
      </c>
    </row>
    <row r="15" spans="1:42" ht="34.35" customHeight="1">
      <c r="A15" s="1696" t="s">
        <v>502</v>
      </c>
      <c r="B15" s="1651" t="s">
        <v>503</v>
      </c>
      <c r="C15" s="1652">
        <v>2</v>
      </c>
      <c r="D15" s="1691" t="s">
        <v>508</v>
      </c>
      <c r="E15" s="1654" t="s">
        <v>585</v>
      </c>
      <c r="F15" s="1652"/>
      <c r="G15" s="1655"/>
      <c r="H15" s="1656" t="s">
        <v>40</v>
      </c>
      <c r="I15" s="1657">
        <v>0.1</v>
      </c>
      <c r="J15" s="1692">
        <v>45870</v>
      </c>
      <c r="K15" s="1659"/>
      <c r="L15" s="1660"/>
      <c r="M15" s="1660"/>
      <c r="N15" s="1660"/>
      <c r="O15" s="1660"/>
      <c r="P15" s="1660"/>
      <c r="Q15" s="1660"/>
      <c r="R15" s="1660"/>
      <c r="S15" s="1660"/>
      <c r="T15" s="1660"/>
      <c r="U15" s="1661"/>
      <c r="V15" s="1659"/>
      <c r="W15" s="1660"/>
      <c r="X15" s="1660">
        <v>75</v>
      </c>
      <c r="Y15" s="1660"/>
      <c r="Z15" s="1660"/>
      <c r="AA15" s="1660">
        <v>100</v>
      </c>
      <c r="AB15" s="1660"/>
      <c r="AC15" s="1660"/>
      <c r="AD15" s="1660"/>
      <c r="AE15" s="1660"/>
      <c r="AF15" s="1660"/>
      <c r="AG15" s="1662">
        <v>310</v>
      </c>
    </row>
    <row r="16" spans="1:42" ht="34.35" customHeight="1">
      <c r="A16" s="1663" t="s">
        <v>502</v>
      </c>
      <c r="B16" s="1697" t="s">
        <v>516</v>
      </c>
      <c r="C16" s="1665">
        <v>3</v>
      </c>
      <c r="D16" s="1694" t="s">
        <v>41</v>
      </c>
      <c r="E16" s="1667" t="s">
        <v>519</v>
      </c>
      <c r="F16" s="1665" t="s">
        <v>38</v>
      </c>
      <c r="G16" s="1668" t="s">
        <v>510</v>
      </c>
      <c r="H16" s="1669"/>
      <c r="I16" s="1670">
        <v>70</v>
      </c>
      <c r="J16" s="1671">
        <v>45870</v>
      </c>
      <c r="K16" s="1672"/>
      <c r="L16" s="1673"/>
      <c r="M16" s="1673"/>
      <c r="N16" s="1673"/>
      <c r="O16" s="1673"/>
      <c r="P16" s="1673"/>
      <c r="Q16" s="1673"/>
      <c r="R16" s="1673"/>
      <c r="S16" s="1673"/>
      <c r="T16" s="1673"/>
      <c r="U16" s="1698"/>
      <c r="V16" s="1672"/>
      <c r="W16" s="1673"/>
      <c r="X16" s="1673"/>
      <c r="Y16" s="1673"/>
      <c r="Z16" s="1673"/>
      <c r="AA16" s="1673"/>
      <c r="AB16" s="1673"/>
      <c r="AC16" s="1673"/>
      <c r="AD16" s="1673"/>
      <c r="AE16" s="1673"/>
      <c r="AF16" s="1673"/>
      <c r="AG16" s="1675"/>
    </row>
    <row r="17" spans="1:34" ht="34.35" customHeight="1">
      <c r="A17" s="1677" t="s">
        <v>502</v>
      </c>
      <c r="B17" s="1677" t="s">
        <v>503</v>
      </c>
      <c r="C17" s="1681">
        <v>1</v>
      </c>
      <c r="D17" s="1679" t="s">
        <v>504</v>
      </c>
      <c r="E17" s="1680" t="s">
        <v>584</v>
      </c>
      <c r="F17" s="1681" t="s">
        <v>505</v>
      </c>
      <c r="G17" s="1682" t="s">
        <v>109</v>
      </c>
      <c r="H17" s="1683" t="s">
        <v>40</v>
      </c>
      <c r="I17" s="1684">
        <v>0.33</v>
      </c>
      <c r="J17" s="1685">
        <v>45901</v>
      </c>
      <c r="K17" s="1686"/>
      <c r="L17" s="1687"/>
      <c r="M17" s="1687"/>
      <c r="N17" s="1687">
        <f>232.47</f>
        <v>232.47</v>
      </c>
      <c r="O17" s="1687"/>
      <c r="P17" s="1687"/>
      <c r="Q17" s="1687"/>
      <c r="R17" s="1687">
        <f>7.06</f>
        <v>7.06</v>
      </c>
      <c r="S17" s="1687"/>
      <c r="T17" s="1687">
        <v>5.82</v>
      </c>
      <c r="U17" s="1695"/>
      <c r="V17" s="1686"/>
      <c r="W17" s="1687"/>
      <c r="X17" s="1687"/>
      <c r="Y17" s="1687"/>
      <c r="Z17" s="1687"/>
      <c r="AA17" s="1687">
        <v>1</v>
      </c>
      <c r="AB17" s="1687">
        <v>1</v>
      </c>
      <c r="AC17" s="1687"/>
      <c r="AD17" s="1687"/>
      <c r="AE17" s="1687"/>
      <c r="AF17" s="1687">
        <v>1</v>
      </c>
      <c r="AG17" s="1689"/>
      <c r="AH17" s="1648">
        <f>SUM(K17:AE17)</f>
        <v>247.35</v>
      </c>
    </row>
    <row r="18" spans="1:34" ht="34.35" customHeight="1">
      <c r="A18" s="1696" t="s">
        <v>502</v>
      </c>
      <c r="B18" s="1651" t="s">
        <v>503</v>
      </c>
      <c r="C18" s="1652">
        <v>2</v>
      </c>
      <c r="D18" s="1691" t="s">
        <v>508</v>
      </c>
      <c r="E18" s="1654" t="s">
        <v>585</v>
      </c>
      <c r="F18" s="1652"/>
      <c r="G18" s="1655"/>
      <c r="H18" s="1656" t="s">
        <v>40</v>
      </c>
      <c r="I18" s="1657">
        <v>0.1</v>
      </c>
      <c r="J18" s="1658">
        <v>45901</v>
      </c>
      <c r="K18" s="1659"/>
      <c r="L18" s="1660"/>
      <c r="M18" s="1660"/>
      <c r="N18" s="1660"/>
      <c r="O18" s="1660"/>
      <c r="P18" s="1660"/>
      <c r="Q18" s="1660"/>
      <c r="R18" s="1660"/>
      <c r="S18" s="1660"/>
      <c r="T18" s="1660"/>
      <c r="U18" s="1661"/>
      <c r="V18" s="1659"/>
      <c r="W18" s="1660"/>
      <c r="X18" s="1660">
        <v>75</v>
      </c>
      <c r="Y18" s="1660"/>
      <c r="Z18" s="1660"/>
      <c r="AA18" s="1660">
        <v>212</v>
      </c>
      <c r="AB18" s="1660"/>
      <c r="AC18" s="1660"/>
      <c r="AD18" s="1660"/>
      <c r="AE18" s="1660"/>
      <c r="AF18" s="1660"/>
      <c r="AG18" s="1662">
        <v>1757</v>
      </c>
    </row>
    <row r="19" spans="1:34" ht="34.35" customHeight="1">
      <c r="A19" s="1663" t="s">
        <v>502</v>
      </c>
      <c r="B19" s="1697" t="s">
        <v>516</v>
      </c>
      <c r="C19" s="1665">
        <v>3</v>
      </c>
      <c r="D19" s="1694" t="s">
        <v>41</v>
      </c>
      <c r="E19" s="1667" t="s">
        <v>519</v>
      </c>
      <c r="F19" s="1665" t="s">
        <v>38</v>
      </c>
      <c r="G19" s="1668" t="s">
        <v>510</v>
      </c>
      <c r="H19" s="1669"/>
      <c r="I19" s="1670">
        <v>70</v>
      </c>
      <c r="J19" s="1671">
        <v>45901</v>
      </c>
      <c r="K19" s="1672"/>
      <c r="L19" s="1673"/>
      <c r="M19" s="1673"/>
      <c r="N19" s="1673"/>
      <c r="O19" s="1673"/>
      <c r="P19" s="1673"/>
      <c r="Q19" s="1673"/>
      <c r="R19" s="1673"/>
      <c r="S19" s="1673"/>
      <c r="T19" s="1673"/>
      <c r="U19" s="1698"/>
      <c r="V19" s="1672"/>
      <c r="W19" s="1673"/>
      <c r="X19" s="1673"/>
      <c r="Y19" s="1673"/>
      <c r="Z19" s="1673"/>
      <c r="AA19" s="1673"/>
      <c r="AB19" s="1673"/>
      <c r="AC19" s="1673"/>
      <c r="AD19" s="1673"/>
      <c r="AE19" s="1673"/>
      <c r="AF19" s="1673"/>
      <c r="AG19" s="1675"/>
    </row>
    <row r="20" spans="1:34" ht="34.35" customHeight="1">
      <c r="A20" s="1677" t="s">
        <v>502</v>
      </c>
      <c r="B20" s="1677" t="s">
        <v>503</v>
      </c>
      <c r="C20" s="1681">
        <v>1</v>
      </c>
      <c r="D20" s="1679" t="s">
        <v>504</v>
      </c>
      <c r="E20" s="1680" t="s">
        <v>584</v>
      </c>
      <c r="F20" s="1681" t="s">
        <v>505</v>
      </c>
      <c r="G20" s="1682" t="s">
        <v>109</v>
      </c>
      <c r="H20" s="1683" t="s">
        <v>40</v>
      </c>
      <c r="I20" s="1684">
        <v>0.33</v>
      </c>
      <c r="J20" s="1685">
        <v>45931</v>
      </c>
      <c r="K20" s="1686"/>
      <c r="L20" s="1687"/>
      <c r="M20" s="1687"/>
      <c r="N20" s="1687">
        <v>496.89</v>
      </c>
      <c r="O20" s="1687"/>
      <c r="P20" s="1687"/>
      <c r="Q20" s="1687"/>
      <c r="R20" s="1687"/>
      <c r="S20" s="1687"/>
      <c r="T20" s="1687">
        <f>1.42+2.99+3.53+4.32</f>
        <v>12.26</v>
      </c>
      <c r="U20" s="1695"/>
      <c r="V20" s="1686"/>
      <c r="W20" s="1687"/>
      <c r="X20" s="1687"/>
      <c r="Y20" s="1687"/>
      <c r="Z20" s="1687"/>
      <c r="AA20" s="1687"/>
      <c r="AB20" s="1687"/>
      <c r="AC20" s="1687"/>
      <c r="AD20" s="1687"/>
      <c r="AE20" s="1687"/>
      <c r="AF20" s="1687"/>
      <c r="AG20" s="1689"/>
      <c r="AH20" s="1648">
        <f>SUM(K20:AE20)</f>
        <v>509.15</v>
      </c>
    </row>
    <row r="21" spans="1:34" ht="34.35" customHeight="1">
      <c r="A21" s="1696" t="s">
        <v>502</v>
      </c>
      <c r="B21" s="1651" t="s">
        <v>503</v>
      </c>
      <c r="C21" s="1652">
        <v>2</v>
      </c>
      <c r="D21" s="1691" t="s">
        <v>508</v>
      </c>
      <c r="E21" s="1654" t="s">
        <v>585</v>
      </c>
      <c r="F21" s="1652"/>
      <c r="G21" s="1655"/>
      <c r="H21" s="1656" t="s">
        <v>40</v>
      </c>
      <c r="I21" s="1657">
        <v>0.1</v>
      </c>
      <c r="J21" s="1658">
        <v>45931</v>
      </c>
      <c r="K21" s="1659"/>
      <c r="L21" s="1660"/>
      <c r="M21" s="1660"/>
      <c r="N21" s="1660"/>
      <c r="O21" s="1660"/>
      <c r="P21" s="1660"/>
      <c r="Q21" s="1660"/>
      <c r="R21" s="1660"/>
      <c r="S21" s="1660"/>
      <c r="T21" s="1660"/>
      <c r="U21" s="1661"/>
      <c r="V21" s="1659"/>
      <c r="W21" s="1660">
        <v>850</v>
      </c>
      <c r="X21" s="1660"/>
      <c r="Y21" s="1660"/>
      <c r="Z21" s="1660"/>
      <c r="AA21" s="1660">
        <v>677</v>
      </c>
      <c r="AB21" s="1660"/>
      <c r="AC21" s="1660"/>
      <c r="AD21" s="1660">
        <v>1050</v>
      </c>
      <c r="AE21" s="1660"/>
      <c r="AF21" s="1660"/>
      <c r="AG21" s="1662">
        <v>1093</v>
      </c>
      <c r="AH21" s="1648">
        <f>SUM(V21:AG21)</f>
        <v>3670</v>
      </c>
    </row>
    <row r="22" spans="1:34" ht="34.35" customHeight="1">
      <c r="A22" s="1663" t="s">
        <v>502</v>
      </c>
      <c r="B22" s="1697" t="s">
        <v>516</v>
      </c>
      <c r="C22" s="1665">
        <v>3</v>
      </c>
      <c r="D22" s="1694" t="s">
        <v>41</v>
      </c>
      <c r="E22" s="1667" t="s">
        <v>519</v>
      </c>
      <c r="F22" s="1665" t="s">
        <v>38</v>
      </c>
      <c r="G22" s="1668" t="s">
        <v>510</v>
      </c>
      <c r="H22" s="1669"/>
      <c r="I22" s="1670">
        <v>70</v>
      </c>
      <c r="J22" s="1671">
        <v>45931</v>
      </c>
      <c r="K22" s="1672"/>
      <c r="L22" s="1673"/>
      <c r="M22" s="1673"/>
      <c r="N22" s="1673"/>
      <c r="O22" s="1673"/>
      <c r="P22" s="1673"/>
      <c r="Q22" s="1673"/>
      <c r="R22" s="1673"/>
      <c r="S22" s="1673"/>
      <c r="T22" s="1673"/>
      <c r="U22" s="1698"/>
      <c r="V22" s="1672"/>
      <c r="W22" s="1673"/>
      <c r="X22" s="1673"/>
      <c r="Y22" s="1673"/>
      <c r="Z22" s="1673"/>
      <c r="AA22" s="1673"/>
      <c r="AB22" s="1673"/>
      <c r="AC22" s="1673"/>
      <c r="AD22" s="1673"/>
      <c r="AE22" s="1673"/>
      <c r="AF22" s="1673"/>
      <c r="AG22" s="1675"/>
    </row>
    <row r="23" spans="1:34" ht="34.35" customHeight="1">
      <c r="A23" s="1677" t="s">
        <v>502</v>
      </c>
      <c r="B23" s="1677" t="s">
        <v>503</v>
      </c>
      <c r="C23" s="1681">
        <v>1</v>
      </c>
      <c r="D23" s="1679" t="s">
        <v>504</v>
      </c>
      <c r="E23" s="1680" t="s">
        <v>584</v>
      </c>
      <c r="F23" s="1681" t="s">
        <v>505</v>
      </c>
      <c r="G23" s="1682" t="s">
        <v>109</v>
      </c>
      <c r="H23" s="1683" t="s">
        <v>40</v>
      </c>
      <c r="I23" s="1684">
        <v>0.33</v>
      </c>
      <c r="J23" s="1685">
        <v>45962</v>
      </c>
      <c r="K23" s="1686"/>
      <c r="L23" s="1687"/>
      <c r="M23" s="1687"/>
      <c r="N23" s="1687">
        <f>114.8+223.32</f>
        <v>338.12</v>
      </c>
      <c r="O23" s="1687"/>
      <c r="P23" s="1687"/>
      <c r="Q23" s="1687"/>
      <c r="R23" s="1687"/>
      <c r="S23" s="1687"/>
      <c r="T23" s="1687"/>
      <c r="U23" s="1695"/>
      <c r="V23" s="1686"/>
      <c r="W23" s="1687">
        <v>250</v>
      </c>
      <c r="X23" s="1687">
        <v>75</v>
      </c>
      <c r="Y23" s="1687"/>
      <c r="Z23" s="1687">
        <v>35</v>
      </c>
      <c r="AA23" s="1687">
        <v>677</v>
      </c>
      <c r="AB23" s="1687"/>
      <c r="AC23" s="1687"/>
      <c r="AD23" s="1687">
        <v>374</v>
      </c>
      <c r="AE23" s="1687"/>
      <c r="AF23" s="1687">
        <v>122</v>
      </c>
      <c r="AG23" s="1689">
        <v>1029</v>
      </c>
      <c r="AH23" s="1648">
        <f>SUM(K23:AE23)</f>
        <v>1749.12</v>
      </c>
    </row>
    <row r="24" spans="1:34" ht="34.35" customHeight="1">
      <c r="A24" s="1696" t="s">
        <v>502</v>
      </c>
      <c r="B24" s="1651" t="s">
        <v>503</v>
      </c>
      <c r="C24" s="1652">
        <v>2</v>
      </c>
      <c r="D24" s="1691" t="s">
        <v>508</v>
      </c>
      <c r="E24" s="1654" t="s">
        <v>585</v>
      </c>
      <c r="F24" s="1652"/>
      <c r="G24" s="1655"/>
      <c r="H24" s="1656" t="s">
        <v>40</v>
      </c>
      <c r="I24" s="1657">
        <v>0.1</v>
      </c>
      <c r="J24" s="1692">
        <v>45962</v>
      </c>
      <c r="K24" s="1659"/>
      <c r="L24" s="1660"/>
      <c r="M24" s="1660"/>
      <c r="N24" s="1660"/>
      <c r="O24" s="1660"/>
      <c r="P24" s="1660"/>
      <c r="Q24" s="1660"/>
      <c r="R24" s="1660"/>
      <c r="S24" s="1660"/>
      <c r="T24" s="1660"/>
      <c r="U24" s="1661"/>
      <c r="V24" s="1659"/>
      <c r="W24" s="1660"/>
      <c r="X24" s="1660"/>
      <c r="Y24" s="1660"/>
      <c r="Z24" s="1660"/>
      <c r="AA24" s="1660"/>
      <c r="AB24" s="1660"/>
      <c r="AC24" s="1660"/>
      <c r="AD24" s="1660"/>
      <c r="AE24" s="1660"/>
      <c r="AF24" s="1660"/>
      <c r="AG24" s="1662"/>
    </row>
    <row r="25" spans="1:34" ht="34.35" customHeight="1">
      <c r="A25" s="1663" t="s">
        <v>502</v>
      </c>
      <c r="B25" s="1697" t="s">
        <v>516</v>
      </c>
      <c r="C25" s="1665">
        <v>3</v>
      </c>
      <c r="D25" s="1694" t="s">
        <v>41</v>
      </c>
      <c r="E25" s="1667" t="s">
        <v>519</v>
      </c>
      <c r="F25" s="1665" t="s">
        <v>38</v>
      </c>
      <c r="G25" s="1668" t="s">
        <v>510</v>
      </c>
      <c r="H25" s="1669"/>
      <c r="I25" s="1670">
        <v>70</v>
      </c>
      <c r="J25" s="1671">
        <v>45962</v>
      </c>
      <c r="K25" s="1672"/>
      <c r="L25" s="1673"/>
      <c r="M25" s="1673"/>
      <c r="N25" s="1673"/>
      <c r="O25" s="1673"/>
      <c r="P25" s="1673"/>
      <c r="Q25" s="1673"/>
      <c r="R25" s="1673"/>
      <c r="S25" s="1673"/>
      <c r="T25" s="1673"/>
      <c r="U25" s="1698"/>
      <c r="V25" s="1672"/>
      <c r="W25" s="1673"/>
      <c r="X25" s="1673"/>
      <c r="Y25" s="1673"/>
      <c r="Z25" s="1673"/>
      <c r="AA25" s="1673"/>
      <c r="AB25" s="1673"/>
      <c r="AC25" s="1673"/>
      <c r="AD25" s="1673"/>
      <c r="AE25" s="1673"/>
      <c r="AF25" s="1673"/>
      <c r="AG25" s="1675"/>
    </row>
    <row r="26" spans="1:34" ht="34.35" customHeight="1">
      <c r="A26" s="1677" t="s">
        <v>502</v>
      </c>
      <c r="B26" s="1677" t="s">
        <v>503</v>
      </c>
      <c r="C26" s="1681">
        <v>1</v>
      </c>
      <c r="D26" s="1679" t="s">
        <v>504</v>
      </c>
      <c r="E26" s="1680" t="s">
        <v>584</v>
      </c>
      <c r="F26" s="1681" t="s">
        <v>505</v>
      </c>
      <c r="G26" s="1682" t="s">
        <v>109</v>
      </c>
      <c r="H26" s="1683" t="s">
        <v>40</v>
      </c>
      <c r="I26" s="1684">
        <v>0.33</v>
      </c>
      <c r="J26" s="1685">
        <v>45992</v>
      </c>
      <c r="K26" s="1686">
        <f>418.73</f>
        <v>418.73</v>
      </c>
      <c r="L26" s="1687"/>
      <c r="M26" s="1687"/>
      <c r="N26" s="1687"/>
      <c r="O26" s="1687"/>
      <c r="P26" s="1687"/>
      <c r="Q26" s="1687"/>
      <c r="R26" s="1687"/>
      <c r="S26" s="1687"/>
      <c r="T26" s="1687"/>
      <c r="U26" s="1695"/>
      <c r="V26" s="1686"/>
      <c r="W26" s="1687"/>
      <c r="X26" s="1687"/>
      <c r="Y26" s="1687"/>
      <c r="Z26" s="1687"/>
      <c r="AA26" s="1687"/>
      <c r="AB26" s="1687"/>
      <c r="AC26" s="1687"/>
      <c r="AD26" s="1687"/>
      <c r="AE26" s="1687"/>
      <c r="AF26" s="1687"/>
      <c r="AG26" s="1689"/>
      <c r="AH26" s="1648">
        <f>SUM(K26:AE26)</f>
        <v>418.73</v>
      </c>
    </row>
    <row r="27" spans="1:34" ht="34.35" customHeight="1">
      <c r="A27" s="1696" t="s">
        <v>502</v>
      </c>
      <c r="B27" s="1651" t="s">
        <v>503</v>
      </c>
      <c r="C27" s="1652">
        <v>2</v>
      </c>
      <c r="D27" s="1691" t="s">
        <v>508</v>
      </c>
      <c r="E27" s="1654" t="s">
        <v>585</v>
      </c>
      <c r="F27" s="1652"/>
      <c r="G27" s="1655"/>
      <c r="H27" s="1656" t="s">
        <v>40</v>
      </c>
      <c r="I27" s="1657">
        <v>0.1</v>
      </c>
      <c r="J27" s="1658">
        <v>45992</v>
      </c>
      <c r="K27" s="1659"/>
      <c r="L27" s="1660"/>
      <c r="M27" s="1660"/>
      <c r="N27" s="1660"/>
      <c r="O27" s="1660"/>
      <c r="P27" s="1660"/>
      <c r="Q27" s="1660"/>
      <c r="R27" s="1660"/>
      <c r="S27" s="1660"/>
      <c r="T27" s="1660"/>
      <c r="U27" s="1661"/>
      <c r="V27" s="1659"/>
      <c r="W27" s="1660">
        <f>150+85</f>
        <v>235</v>
      </c>
      <c r="X27" s="1660">
        <v>75</v>
      </c>
      <c r="Y27" s="1660"/>
      <c r="Z27" s="1660">
        <v>267</v>
      </c>
      <c r="AA27" s="1660">
        <v>821</v>
      </c>
      <c r="AB27" s="1660"/>
      <c r="AC27" s="1660"/>
      <c r="AD27" s="1660">
        <f>208+166</f>
        <v>374</v>
      </c>
      <c r="AE27" s="1660"/>
      <c r="AF27" s="1660"/>
      <c r="AG27" s="1662">
        <f>3188+981</f>
        <v>4169</v>
      </c>
      <c r="AH27" s="1648">
        <f>SUM(V27:AG27)</f>
        <v>5941</v>
      </c>
    </row>
    <row r="28" spans="1:34" ht="34.35" customHeight="1">
      <c r="A28" s="1663" t="s">
        <v>502</v>
      </c>
      <c r="B28" s="1697" t="s">
        <v>516</v>
      </c>
      <c r="C28" s="1665">
        <v>3</v>
      </c>
      <c r="D28" s="1694" t="s">
        <v>41</v>
      </c>
      <c r="E28" s="1667" t="s">
        <v>519</v>
      </c>
      <c r="F28" s="1665" t="s">
        <v>38</v>
      </c>
      <c r="G28" s="1668" t="s">
        <v>510</v>
      </c>
      <c r="H28" s="1669"/>
      <c r="I28" s="1670">
        <v>70</v>
      </c>
      <c r="J28" s="1671">
        <v>45992</v>
      </c>
      <c r="K28" s="1672"/>
      <c r="L28" s="1673"/>
      <c r="M28" s="1673"/>
      <c r="N28" s="1673"/>
      <c r="O28" s="1673"/>
      <c r="P28" s="1673"/>
      <c r="Q28" s="1673"/>
      <c r="R28" s="1673"/>
      <c r="S28" s="1673"/>
      <c r="T28" s="1673"/>
      <c r="U28" s="1698"/>
      <c r="V28" s="1672"/>
      <c r="W28" s="1673"/>
      <c r="X28" s="1673"/>
      <c r="Y28" s="1673"/>
      <c r="Z28" s="1673"/>
      <c r="AA28" s="1673">
        <v>7</v>
      </c>
      <c r="AB28" s="1673"/>
      <c r="AC28" s="1673"/>
      <c r="AD28" s="1673"/>
      <c r="AE28" s="1673"/>
      <c r="AF28" s="1673"/>
      <c r="AG28" s="1675"/>
    </row>
    <row r="29" spans="1:34" ht="34.35" customHeight="1">
      <c r="A29" s="1677" t="s">
        <v>502</v>
      </c>
      <c r="B29" s="1677" t="s">
        <v>503</v>
      </c>
      <c r="C29" s="1681">
        <v>1</v>
      </c>
      <c r="D29" s="1679" t="s">
        <v>504</v>
      </c>
      <c r="E29" s="1680" t="s">
        <v>584</v>
      </c>
      <c r="F29" s="1681" t="s">
        <v>505</v>
      </c>
      <c r="G29" s="1682" t="s">
        <v>109</v>
      </c>
      <c r="H29" s="1683" t="s">
        <v>40</v>
      </c>
      <c r="I29" s="1684">
        <v>0.33</v>
      </c>
      <c r="J29" s="1685">
        <v>46023</v>
      </c>
      <c r="K29" s="1686">
        <f>215.25</f>
        <v>215.25</v>
      </c>
      <c r="L29" s="1687"/>
      <c r="M29" s="1687">
        <v>128.41</v>
      </c>
      <c r="N29" s="1687"/>
      <c r="O29" s="1687"/>
      <c r="P29" s="1687"/>
      <c r="Q29" s="1687"/>
      <c r="R29" s="1687">
        <f>20.89</f>
        <v>20.89</v>
      </c>
      <c r="S29" s="1687"/>
      <c r="T29" s="1687">
        <f>4.28+0.98+0.81+0.81+2.57+1.15+3.05+1.35</f>
        <v>15.000000000000002</v>
      </c>
      <c r="U29" s="1695"/>
      <c r="V29" s="1686"/>
      <c r="W29" s="1687"/>
      <c r="X29" s="1687"/>
      <c r="Y29" s="1687"/>
      <c r="Z29" s="1687"/>
      <c r="AA29" s="1687"/>
      <c r="AB29" s="1687"/>
      <c r="AC29" s="1687"/>
      <c r="AD29" s="1687"/>
      <c r="AE29" s="1687"/>
      <c r="AF29" s="1687"/>
      <c r="AG29" s="1689"/>
      <c r="AH29" s="1648">
        <f>SUM(K29:AE29)</f>
        <v>379.54999999999995</v>
      </c>
    </row>
    <row r="30" spans="1:34" ht="34.35" customHeight="1">
      <c r="A30" s="1696" t="s">
        <v>502</v>
      </c>
      <c r="B30" s="1651" t="s">
        <v>503</v>
      </c>
      <c r="C30" s="1652">
        <v>2</v>
      </c>
      <c r="D30" s="1691" t="s">
        <v>508</v>
      </c>
      <c r="E30" s="1654" t="s">
        <v>585</v>
      </c>
      <c r="F30" s="1652" t="s">
        <v>505</v>
      </c>
      <c r="G30" s="1655" t="s">
        <v>510</v>
      </c>
      <c r="H30" s="1656" t="s">
        <v>40</v>
      </c>
      <c r="I30" s="1657">
        <v>0.1</v>
      </c>
      <c r="J30" s="1658">
        <v>46023</v>
      </c>
      <c r="K30" s="1659"/>
      <c r="L30" s="1660"/>
      <c r="M30" s="1660"/>
      <c r="N30" s="1660"/>
      <c r="O30" s="1660"/>
      <c r="P30" s="1660"/>
      <c r="Q30" s="1660"/>
      <c r="R30" s="1660"/>
      <c r="S30" s="1660"/>
      <c r="T30" s="1660"/>
      <c r="U30" s="1661"/>
      <c r="V30" s="1659"/>
      <c r="W30" s="1660">
        <v>240</v>
      </c>
      <c r="X30" s="1660">
        <v>280</v>
      </c>
      <c r="Y30" s="1660"/>
      <c r="Z30" s="1660">
        <v>267</v>
      </c>
      <c r="AA30" s="1660">
        <v>870</v>
      </c>
      <c r="AB30" s="1660"/>
      <c r="AC30" s="1660"/>
      <c r="AD30" s="1660">
        <v>374</v>
      </c>
      <c r="AE30" s="1660"/>
      <c r="AF30" s="1660">
        <v>150</v>
      </c>
      <c r="AG30" s="1662">
        <f>2020+431</f>
        <v>2451</v>
      </c>
    </row>
    <row r="31" spans="1:34" ht="34.35" customHeight="1">
      <c r="A31" s="1663" t="s">
        <v>502</v>
      </c>
      <c r="B31" s="1697" t="s">
        <v>516</v>
      </c>
      <c r="C31" s="1665">
        <v>3</v>
      </c>
      <c r="D31" s="1694" t="s">
        <v>41</v>
      </c>
      <c r="E31" s="1667" t="s">
        <v>519</v>
      </c>
      <c r="F31" s="1665" t="s">
        <v>38</v>
      </c>
      <c r="G31" s="1668" t="s">
        <v>510</v>
      </c>
      <c r="H31" s="1669" t="s">
        <v>40</v>
      </c>
      <c r="I31" s="1670">
        <v>70</v>
      </c>
      <c r="J31" s="1671">
        <v>46023</v>
      </c>
      <c r="K31" s="1672"/>
      <c r="L31" s="1673"/>
      <c r="M31" s="1673"/>
      <c r="N31" s="1673"/>
      <c r="O31" s="1673"/>
      <c r="P31" s="1673"/>
      <c r="Q31" s="1673"/>
      <c r="R31" s="1673"/>
      <c r="S31" s="1673"/>
      <c r="T31" s="1673"/>
      <c r="U31" s="1698"/>
      <c r="V31" s="1672"/>
      <c r="W31" s="1673"/>
      <c r="X31" s="1673"/>
      <c r="Y31" s="1673"/>
      <c r="Z31" s="1673"/>
      <c r="AA31" s="1673">
        <v>4</v>
      </c>
      <c r="AB31" s="1673"/>
      <c r="AC31" s="1673"/>
      <c r="AD31" s="1673"/>
      <c r="AE31" s="1673"/>
      <c r="AF31" s="1673"/>
      <c r="AG31" s="1675"/>
    </row>
    <row r="32" spans="1:34" ht="34.35" customHeight="1">
      <c r="A32" s="1677" t="s">
        <v>502</v>
      </c>
      <c r="B32" s="1677" t="s">
        <v>503</v>
      </c>
      <c r="C32" s="1681">
        <v>1</v>
      </c>
      <c r="D32" s="1679" t="s">
        <v>504</v>
      </c>
      <c r="E32" s="1680" t="s">
        <v>584</v>
      </c>
      <c r="F32" s="1681" t="s">
        <v>505</v>
      </c>
      <c r="G32" s="1682" t="s">
        <v>109</v>
      </c>
      <c r="H32" s="1683" t="s">
        <v>40</v>
      </c>
      <c r="I32" s="1684">
        <v>0.33</v>
      </c>
      <c r="J32" s="1685">
        <v>46054</v>
      </c>
      <c r="K32" s="1686"/>
      <c r="L32" s="1687"/>
      <c r="M32" s="1687"/>
      <c r="N32" s="1687">
        <v>921.78</v>
      </c>
      <c r="O32" s="1687"/>
      <c r="P32" s="1687"/>
      <c r="Q32" s="1687"/>
      <c r="R32" s="1687"/>
      <c r="S32" s="1687"/>
      <c r="T32" s="1687">
        <v>200.99</v>
      </c>
      <c r="U32" s="1695"/>
      <c r="V32" s="1686"/>
      <c r="W32" s="1687"/>
      <c r="X32" s="1687"/>
      <c r="Y32" s="1687"/>
      <c r="Z32" s="1687"/>
      <c r="AA32" s="1687"/>
      <c r="AB32" s="1687"/>
      <c r="AC32" s="1687"/>
      <c r="AD32" s="1687"/>
      <c r="AE32" s="1687"/>
      <c r="AF32" s="1687"/>
      <c r="AG32" s="1689"/>
      <c r="AH32" s="1648">
        <f>SUM(K32:AE32)</f>
        <v>1122.77</v>
      </c>
    </row>
    <row r="33" spans="1:34" ht="34.35" customHeight="1">
      <c r="A33" s="1696" t="s">
        <v>502</v>
      </c>
      <c r="B33" s="1651" t="s">
        <v>503</v>
      </c>
      <c r="C33" s="1652">
        <v>2</v>
      </c>
      <c r="D33" s="1691" t="s">
        <v>508</v>
      </c>
      <c r="E33" s="1654" t="s">
        <v>585</v>
      </c>
      <c r="F33" s="1652" t="s">
        <v>505</v>
      </c>
      <c r="G33" s="1655" t="s">
        <v>510</v>
      </c>
      <c r="H33" s="1656" t="s">
        <v>40</v>
      </c>
      <c r="I33" s="1657">
        <v>0.1</v>
      </c>
      <c r="J33" s="1692">
        <v>46054</v>
      </c>
      <c r="K33" s="1659"/>
      <c r="L33" s="1660"/>
      <c r="M33" s="1660"/>
      <c r="N33" s="1660"/>
      <c r="O33" s="1660"/>
      <c r="P33" s="1660"/>
      <c r="Q33" s="1660"/>
      <c r="R33" s="1660"/>
      <c r="S33" s="1660"/>
      <c r="T33" s="1660"/>
      <c r="U33" s="1661"/>
      <c r="V33" s="1659"/>
      <c r="W33" s="1660"/>
      <c r="X33" s="1660"/>
      <c r="Y33" s="1660"/>
      <c r="Z33" s="1660"/>
      <c r="AA33" s="1660"/>
      <c r="AB33" s="1660"/>
      <c r="AC33" s="1660"/>
      <c r="AD33" s="1660"/>
      <c r="AE33" s="1660"/>
      <c r="AF33" s="1660"/>
      <c r="AG33" s="1662"/>
    </row>
    <row r="34" spans="1:34" ht="34.35" customHeight="1">
      <c r="A34" s="1663" t="s">
        <v>502</v>
      </c>
      <c r="B34" s="1697" t="s">
        <v>516</v>
      </c>
      <c r="C34" s="1665">
        <v>3</v>
      </c>
      <c r="D34" s="1694" t="s">
        <v>41</v>
      </c>
      <c r="E34" s="1667" t="s">
        <v>519</v>
      </c>
      <c r="F34" s="1665" t="s">
        <v>38</v>
      </c>
      <c r="G34" s="1668" t="s">
        <v>510</v>
      </c>
      <c r="H34" s="1669" t="s">
        <v>40</v>
      </c>
      <c r="I34" s="1670">
        <v>70</v>
      </c>
      <c r="J34" s="1671">
        <v>46054</v>
      </c>
      <c r="K34" s="1672"/>
      <c r="L34" s="1673"/>
      <c r="M34" s="1673"/>
      <c r="N34" s="1673"/>
      <c r="O34" s="1673"/>
      <c r="P34" s="1673"/>
      <c r="Q34" s="1673"/>
      <c r="R34" s="1673"/>
      <c r="S34" s="1673"/>
      <c r="T34" s="1673"/>
      <c r="U34" s="1698"/>
      <c r="V34" s="1672"/>
      <c r="W34" s="1673"/>
      <c r="X34" s="1673"/>
      <c r="Y34" s="1673"/>
      <c r="Z34" s="1673"/>
      <c r="AA34" s="1673"/>
      <c r="AB34" s="1673"/>
      <c r="AC34" s="1673"/>
      <c r="AD34" s="1673"/>
      <c r="AE34" s="1673"/>
      <c r="AF34" s="1673"/>
      <c r="AG34" s="1675"/>
    </row>
    <row r="35" spans="1:34" ht="34.35" customHeight="1">
      <c r="A35" s="1677" t="s">
        <v>502</v>
      </c>
      <c r="B35" s="1677" t="s">
        <v>503</v>
      </c>
      <c r="C35" s="1681">
        <v>1</v>
      </c>
      <c r="D35" s="1679" t="s">
        <v>504</v>
      </c>
      <c r="E35" s="1680" t="s">
        <v>584</v>
      </c>
      <c r="F35" s="1681" t="s">
        <v>505</v>
      </c>
      <c r="G35" s="1682" t="s">
        <v>109</v>
      </c>
      <c r="H35" s="1683" t="s">
        <v>40</v>
      </c>
      <c r="I35" s="1684">
        <v>0.33</v>
      </c>
      <c r="J35" s="1685">
        <v>46082</v>
      </c>
      <c r="K35" s="1686"/>
      <c r="L35" s="1687"/>
      <c r="M35" s="1687">
        <v>66.010000000000005</v>
      </c>
      <c r="N35" s="1687">
        <v>455.2</v>
      </c>
      <c r="O35" s="1687"/>
      <c r="P35" s="1687"/>
      <c r="Q35" s="1687"/>
      <c r="R35" s="1687">
        <v>100.49</v>
      </c>
      <c r="S35" s="1687"/>
      <c r="T35" s="1687"/>
      <c r="U35" s="1695"/>
      <c r="V35" s="1686"/>
      <c r="W35" s="1687"/>
      <c r="X35" s="1687"/>
      <c r="Y35" s="1687"/>
      <c r="Z35" s="1687"/>
      <c r="AA35" s="1687"/>
      <c r="AB35" s="1687"/>
      <c r="AC35" s="1687"/>
      <c r="AD35" s="1687"/>
      <c r="AE35" s="1687"/>
      <c r="AF35" s="1687"/>
      <c r="AG35" s="1689"/>
      <c r="AH35" s="1648">
        <f>SUM(K35:AE35)</f>
        <v>621.70000000000005</v>
      </c>
    </row>
    <row r="36" spans="1:34" ht="34.35" customHeight="1">
      <c r="A36" s="1696" t="s">
        <v>502</v>
      </c>
      <c r="B36" s="1651" t="s">
        <v>503</v>
      </c>
      <c r="C36" s="1652">
        <v>2</v>
      </c>
      <c r="D36" s="1691" t="s">
        <v>508</v>
      </c>
      <c r="E36" s="1654" t="s">
        <v>585</v>
      </c>
      <c r="F36" s="1652" t="s">
        <v>505</v>
      </c>
      <c r="G36" s="1655" t="s">
        <v>510</v>
      </c>
      <c r="H36" s="1656" t="s">
        <v>40</v>
      </c>
      <c r="I36" s="1657">
        <v>0.1</v>
      </c>
      <c r="J36" s="1658">
        <v>46082</v>
      </c>
      <c r="K36" s="1659"/>
      <c r="L36" s="1660"/>
      <c r="M36" s="1660"/>
      <c r="N36" s="1660"/>
      <c r="O36" s="1660"/>
      <c r="P36" s="1660"/>
      <c r="Q36" s="1660"/>
      <c r="R36" s="1660"/>
      <c r="S36" s="1660"/>
      <c r="T36" s="1660"/>
      <c r="U36" s="1661"/>
      <c r="V36" s="1659"/>
      <c r="W36" s="1660"/>
      <c r="X36" s="1660"/>
      <c r="Y36" s="1660"/>
      <c r="Z36" s="1660"/>
      <c r="AA36" s="1660"/>
      <c r="AB36" s="1660"/>
      <c r="AC36" s="1660"/>
      <c r="AD36" s="1660"/>
      <c r="AE36" s="1660"/>
      <c r="AF36" s="1660"/>
      <c r="AG36" s="1662"/>
    </row>
    <row r="37" spans="1:34" ht="34.35" customHeight="1">
      <c r="A37" s="1663" t="s">
        <v>502</v>
      </c>
      <c r="B37" s="1697" t="s">
        <v>516</v>
      </c>
      <c r="C37" s="1665">
        <v>3</v>
      </c>
      <c r="D37" s="1694" t="s">
        <v>41</v>
      </c>
      <c r="E37" s="1667" t="s">
        <v>519</v>
      </c>
      <c r="F37" s="1665" t="s">
        <v>38</v>
      </c>
      <c r="G37" s="1668" t="s">
        <v>510</v>
      </c>
      <c r="H37" s="1669" t="s">
        <v>40</v>
      </c>
      <c r="I37" s="1670">
        <v>70</v>
      </c>
      <c r="J37" s="1671">
        <v>46082</v>
      </c>
      <c r="K37" s="1672"/>
      <c r="L37" s="1673"/>
      <c r="M37" s="1673"/>
      <c r="N37" s="1673"/>
      <c r="O37" s="1673"/>
      <c r="P37" s="1673"/>
      <c r="Q37" s="1673"/>
      <c r="R37" s="1673"/>
      <c r="S37" s="1673"/>
      <c r="T37" s="1673"/>
      <c r="U37" s="1698"/>
      <c r="V37" s="1672"/>
      <c r="W37" s="1673"/>
      <c r="X37" s="1673"/>
      <c r="Y37" s="1673"/>
      <c r="Z37" s="1673"/>
      <c r="AA37" s="1673"/>
      <c r="AB37" s="1673"/>
      <c r="AC37" s="1673"/>
      <c r="AD37" s="1673"/>
      <c r="AE37" s="1673"/>
      <c r="AF37" s="1673"/>
      <c r="AG37" s="1675"/>
    </row>
    <row r="38" spans="1:34" ht="34.35" customHeight="1">
      <c r="J38" s="1649"/>
    </row>
    <row r="39" spans="1:34" ht="34.35" customHeight="1">
      <c r="J39" s="1649"/>
    </row>
    <row r="40" spans="1:34" ht="34.35" customHeight="1">
      <c r="J40" s="1649"/>
    </row>
    <row r="41" spans="1:34" ht="34.35" customHeight="1">
      <c r="J41" s="1649"/>
    </row>
    <row r="43" spans="1:34" ht="34.35" customHeight="1">
      <c r="J43" s="1649"/>
    </row>
    <row r="44" spans="1:34" ht="34.35" customHeight="1">
      <c r="J44" s="1649"/>
    </row>
    <row r="45" spans="1:34" ht="34.35" customHeight="1">
      <c r="J45" s="1649"/>
    </row>
    <row r="46" spans="1:34" ht="34.35" customHeight="1">
      <c r="J46" s="1649"/>
    </row>
    <row r="47" spans="1:34" ht="34.35" customHeight="1">
      <c r="J47" s="1649"/>
    </row>
    <row r="48" spans="1:34" ht="34.35" customHeight="1">
      <c r="J48" s="1649"/>
    </row>
    <row r="49" spans="10:10" ht="34.35" customHeight="1">
      <c r="J49" s="1649"/>
    </row>
    <row r="50" spans="10:10" ht="34.35" customHeight="1">
      <c r="J50" s="1649"/>
    </row>
    <row r="52" spans="10:10" ht="34.35" customHeight="1">
      <c r="J52" s="1649"/>
    </row>
    <row r="53" spans="10:10" ht="34.35" customHeight="1">
      <c r="J53" s="1649"/>
    </row>
    <row r="54" spans="10:10" ht="34.35" customHeight="1">
      <c r="J54" s="1649"/>
    </row>
    <row r="55" spans="10:10" ht="34.35" customHeight="1">
      <c r="J55" s="1649"/>
    </row>
    <row r="56" spans="10:10" ht="34.35" customHeight="1">
      <c r="J56" s="1649"/>
    </row>
    <row r="57" spans="10:10" ht="34.35" customHeight="1">
      <c r="J57" s="1649"/>
    </row>
    <row r="58" spans="10:10" ht="34.35" customHeight="1">
      <c r="J58" s="1649"/>
    </row>
    <row r="59" spans="10:10" ht="34.35" customHeight="1">
      <c r="J59" s="1649"/>
    </row>
    <row r="61" spans="10:10" ht="34.35" customHeight="1">
      <c r="J61" s="1649"/>
    </row>
    <row r="62" spans="10:10" ht="34.35" customHeight="1">
      <c r="J62" s="1649"/>
    </row>
    <row r="63" spans="10:10" ht="34.35" customHeight="1">
      <c r="J63" s="1649"/>
    </row>
    <row r="64" spans="10:10" ht="34.35" customHeight="1">
      <c r="J64" s="1649"/>
    </row>
    <row r="65" spans="10:10" ht="34.35" customHeight="1">
      <c r="J65" s="1649"/>
    </row>
    <row r="66" spans="10:10" ht="34.35" customHeight="1">
      <c r="J66" s="1649"/>
    </row>
    <row r="67" spans="10:10" ht="34.35" customHeight="1">
      <c r="J67" s="1649"/>
    </row>
    <row r="68" spans="10:10" ht="34.35" customHeight="1">
      <c r="J68" s="1649"/>
    </row>
    <row r="70" spans="10:10" ht="34.35" customHeight="1">
      <c r="J70" s="1649"/>
    </row>
    <row r="71" spans="10:10" ht="34.35" customHeight="1">
      <c r="J71" s="1649"/>
    </row>
    <row r="72" spans="10:10" ht="34.35" customHeight="1">
      <c r="J72" s="1649"/>
    </row>
    <row r="73" spans="10:10" ht="34.35" customHeight="1">
      <c r="J73" s="1649"/>
    </row>
    <row r="74" spans="10:10" ht="34.35" customHeight="1">
      <c r="J74" s="1649"/>
    </row>
    <row r="75" spans="10:10" ht="34.35" customHeight="1">
      <c r="J75" s="1649"/>
    </row>
    <row r="76" spans="10:10" ht="34.35" customHeight="1">
      <c r="J76" s="1649"/>
    </row>
    <row r="77" spans="10:10" ht="34.35" customHeight="1">
      <c r="J77" s="1649"/>
    </row>
    <row r="79" spans="10:10" ht="34.35" customHeight="1">
      <c r="J79" s="1649"/>
    </row>
    <row r="80" spans="10:10" ht="34.35" customHeight="1">
      <c r="J80" s="1649"/>
    </row>
    <row r="81" spans="10:10" ht="34.35" customHeight="1">
      <c r="J81" s="1649"/>
    </row>
    <row r="82" spans="10:10" ht="34.35" customHeight="1">
      <c r="J82" s="1649"/>
    </row>
    <row r="83" spans="10:10" ht="34.35" customHeight="1">
      <c r="J83" s="1649"/>
    </row>
    <row r="84" spans="10:10" ht="34.35" customHeight="1">
      <c r="J84" s="1649"/>
    </row>
    <row r="85" spans="10:10" ht="34.35" customHeight="1">
      <c r="J85" s="1649"/>
    </row>
    <row r="86" spans="10:10" ht="34.35" customHeight="1">
      <c r="J86" s="1649"/>
    </row>
    <row r="88" spans="10:10" ht="34.35" customHeight="1">
      <c r="J88" s="1649"/>
    </row>
    <row r="89" spans="10:10" ht="34.35" customHeight="1">
      <c r="J89" s="1649"/>
    </row>
    <row r="90" spans="10:10" ht="34.35" customHeight="1">
      <c r="J90" s="1649"/>
    </row>
    <row r="91" spans="10:10" ht="34.35" customHeight="1">
      <c r="J91" s="1649"/>
    </row>
    <row r="92" spans="10:10" ht="34.35" customHeight="1">
      <c r="J92" s="1649"/>
    </row>
    <row r="93" spans="10:10" ht="34.35" customHeight="1">
      <c r="J93" s="1649"/>
    </row>
    <row r="94" spans="10:10" ht="34.35" customHeight="1">
      <c r="J94" s="1649"/>
    </row>
    <row r="95" spans="10:10" ht="34.35" customHeight="1">
      <c r="J95" s="1649"/>
    </row>
    <row r="97" spans="10:10" ht="34.35" customHeight="1">
      <c r="J97" s="1649"/>
    </row>
    <row r="98" spans="10:10" ht="34.35" customHeight="1">
      <c r="J98" s="1649"/>
    </row>
    <row r="99" spans="10:10" ht="34.35" customHeight="1">
      <c r="J99" s="1649"/>
    </row>
    <row r="100" spans="10:10" ht="34.35" customHeight="1">
      <c r="J100" s="1649"/>
    </row>
    <row r="101" spans="10:10" ht="34.35" customHeight="1">
      <c r="J101" s="1649"/>
    </row>
    <row r="102" spans="10:10" ht="34.35" customHeight="1">
      <c r="J102" s="1649"/>
    </row>
    <row r="103" spans="10:10" ht="34.35" customHeight="1">
      <c r="J103" s="1649"/>
    </row>
    <row r="104" spans="10:10" ht="34.35" customHeight="1">
      <c r="J104" s="1649"/>
    </row>
    <row r="106" spans="10:10" ht="34.35" customHeight="1">
      <c r="J106" s="1649"/>
    </row>
    <row r="107" spans="10:10" ht="34.35" customHeight="1">
      <c r="J107" s="1649"/>
    </row>
    <row r="108" spans="10:10" ht="34.35" customHeight="1">
      <c r="J108" s="1649"/>
    </row>
    <row r="109" spans="10:10" ht="34.35" customHeight="1">
      <c r="J109" s="1649"/>
    </row>
  </sheetData>
  <sheetProtection algorithmName="SHA-512" hashValue="sWD1ue6sPKB5oKxnIDplMUXSJPrV10L+Vm3FWRsn/zoSfJJQ7c6Kb5XhkjM+CEmM4XFw787sp8ogZiyRli9r/A==" saltValue="rRdpt3oDqPZSg3CgEyKC8w==" spinCount="100000" sheet="1" formatCells="0" formatColumns="0" formatRows="0" sort="0" autoFilter="0" pivotTables="0"/>
  <autoFilter ref="A1:O37" xr:uid="{C175ED8F-DA9F-46F6-9A5B-2EC514B6EAF7}"/>
  <conditionalFormatting sqref="A2:AG37">
    <cfRule type="expression" dxfId="7" priority="1">
      <formula>MONTH($J2)=MONTH(TODAY()-29)</formula>
    </cfRule>
  </conditionalFormatting>
  <pageMargins left="0.7" right="0.7" top="0.75" bottom="0.75" header="0.3" footer="0.3"/>
  <headerFooter>
    <oddHeader>&amp;C&amp;"Calibri"&amp;10&amp;KFF0000 CONFIDENTIAL&amp;1#_x000D_</oddHeader>
  </headerFooter>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072B7-82EE-4F10-B428-F14455492A4A}">
  <sheetPr codeName="Sheet14" filterMode="1"/>
  <dimension ref="A1:AO135"/>
  <sheetViews>
    <sheetView showGridLines="0" topLeftCell="A110" zoomScale="55" zoomScaleNormal="55" workbookViewId="0">
      <selection activeCell="K134" sqref="K134"/>
    </sheetView>
  </sheetViews>
  <sheetFormatPr defaultColWidth="8.109375" defaultRowHeight="34.35" customHeight="1"/>
  <cols>
    <col min="1" max="1" width="18.109375" style="1889" customWidth="1"/>
    <col min="2" max="2" width="16.44140625" style="1892" customWidth="1"/>
    <col min="3" max="3" width="5.88671875" style="1889" customWidth="1"/>
    <col min="4" max="4" width="31.109375" style="1893" customWidth="1"/>
    <col min="5" max="5" width="32.109375" style="1893" customWidth="1"/>
    <col min="6" max="6" width="11.109375" style="1894" customWidth="1"/>
    <col min="7" max="8" width="10.109375" style="1889" customWidth="1"/>
    <col min="9" max="9" width="11.33203125" style="1895" customWidth="1"/>
    <col min="10" max="11" width="11.33203125" style="1888" customWidth="1"/>
    <col min="12" max="13" width="11.33203125" style="1897" customWidth="1"/>
    <col min="14" max="15" width="11.33203125" style="1888" customWidth="1"/>
    <col min="16" max="23" width="8.109375" style="1888"/>
    <col min="24" max="16384" width="8.109375" style="1889"/>
  </cols>
  <sheetData>
    <row r="1" spans="1:23" s="2166" customFormat="1" ht="47.85" customHeight="1">
      <c r="A1" s="1728" t="s">
        <v>1</v>
      </c>
      <c r="B1" s="1728" t="s">
        <v>19</v>
      </c>
      <c r="C1" s="1728" t="s">
        <v>93</v>
      </c>
      <c r="D1" s="1728" t="s">
        <v>21</v>
      </c>
      <c r="E1" s="1728" t="s">
        <v>308</v>
      </c>
      <c r="F1" s="1728" t="s">
        <v>22</v>
      </c>
      <c r="G1" s="2150" t="s">
        <v>23</v>
      </c>
      <c r="H1" s="2151" t="s">
        <v>24</v>
      </c>
      <c r="I1" s="1728" t="s">
        <v>25</v>
      </c>
      <c r="J1" s="2137" t="s">
        <v>26</v>
      </c>
      <c r="K1" s="2167" t="s">
        <v>27</v>
      </c>
      <c r="L1" s="2168" t="s">
        <v>28</v>
      </c>
      <c r="M1" s="2169" t="s">
        <v>29</v>
      </c>
      <c r="N1" s="2170" t="s">
        <v>30</v>
      </c>
      <c r="O1" s="2138" t="s">
        <v>31</v>
      </c>
      <c r="P1" s="2163" t="s">
        <v>32</v>
      </c>
      <c r="Q1" s="2164" t="s">
        <v>33</v>
      </c>
      <c r="R1" s="2141" t="s">
        <v>34</v>
      </c>
      <c r="S1" s="1899" t="s">
        <v>35</v>
      </c>
      <c r="T1" s="2165"/>
      <c r="U1" s="2165"/>
      <c r="V1" s="2165"/>
      <c r="W1" s="2165"/>
    </row>
    <row r="2" spans="1:23" s="1891" customFormat="1" ht="138" customHeight="1">
      <c r="A2" s="2223" t="s">
        <v>16</v>
      </c>
      <c r="B2" s="2220" t="s">
        <v>586</v>
      </c>
      <c r="C2" s="2111">
        <v>1</v>
      </c>
      <c r="D2" s="2112" t="s">
        <v>587</v>
      </c>
      <c r="E2" s="2113" t="s">
        <v>588</v>
      </c>
      <c r="F2" s="2114" t="s">
        <v>589</v>
      </c>
      <c r="G2" s="2152" t="s">
        <v>106</v>
      </c>
      <c r="H2" s="2153" t="s">
        <v>40</v>
      </c>
      <c r="I2" s="2115">
        <v>40244</v>
      </c>
      <c r="J2" s="2116">
        <v>45748</v>
      </c>
      <c r="K2" s="2171">
        <v>2986</v>
      </c>
      <c r="L2" s="2172">
        <v>2793</v>
      </c>
      <c r="M2" s="2173">
        <v>2986</v>
      </c>
      <c r="N2" s="2174">
        <v>2793</v>
      </c>
      <c r="O2" s="2139"/>
      <c r="P2" s="2205" t="s">
        <v>590</v>
      </c>
      <c r="Q2" s="2206" t="s">
        <v>591</v>
      </c>
      <c r="R2" s="2207" t="s">
        <v>592</v>
      </c>
      <c r="S2" s="2208" t="s">
        <v>365</v>
      </c>
      <c r="T2" s="1890"/>
      <c r="U2" s="1890"/>
      <c r="V2" s="1890"/>
      <c r="W2" s="1890"/>
    </row>
    <row r="3" spans="1:23" s="1891" customFormat="1" ht="53.85" customHeight="1">
      <c r="A3" s="2224" t="s">
        <v>16</v>
      </c>
      <c r="B3" s="2225" t="s">
        <v>586</v>
      </c>
      <c r="C3" s="2117">
        <v>2</v>
      </c>
      <c r="D3" s="2118" t="s">
        <v>593</v>
      </c>
      <c r="E3" s="2209" t="s">
        <v>594</v>
      </c>
      <c r="F3" s="2119" t="s">
        <v>133</v>
      </c>
      <c r="G3" s="2154" t="s">
        <v>106</v>
      </c>
      <c r="H3" s="2155" t="s">
        <v>40</v>
      </c>
      <c r="I3" s="2120">
        <v>-0.02</v>
      </c>
      <c r="J3" s="2160">
        <v>45748</v>
      </c>
      <c r="K3" s="2175"/>
      <c r="L3" s="2181">
        <f>-15.72/100</f>
        <v>-0.15720000000000001</v>
      </c>
      <c r="M3" s="2210">
        <v>-1.6669999999999999E-3</v>
      </c>
      <c r="N3" s="2182">
        <f>L3</f>
        <v>-0.15720000000000001</v>
      </c>
      <c r="O3" s="2140"/>
      <c r="P3" s="2145" t="s">
        <v>41</v>
      </c>
      <c r="Q3" s="2146" t="s">
        <v>41</v>
      </c>
      <c r="R3" s="2142" t="s">
        <v>41</v>
      </c>
      <c r="S3" s="2121" t="s">
        <v>41</v>
      </c>
      <c r="T3" s="1890"/>
      <c r="U3" s="1890"/>
      <c r="V3" s="1890"/>
      <c r="W3" s="1890"/>
    </row>
    <row r="4" spans="1:23" s="1891" customFormat="1" ht="34.35" customHeight="1">
      <c r="A4" s="2224" t="s">
        <v>16</v>
      </c>
      <c r="B4" s="2225" t="s">
        <v>586</v>
      </c>
      <c r="C4" s="2117">
        <v>3</v>
      </c>
      <c r="D4" s="2118" t="s">
        <v>595</v>
      </c>
      <c r="E4" s="2209" t="s">
        <v>596</v>
      </c>
      <c r="F4" s="2119" t="s">
        <v>133</v>
      </c>
      <c r="G4" s="2154" t="s">
        <v>106</v>
      </c>
      <c r="H4" s="2155" t="s">
        <v>597</v>
      </c>
      <c r="I4" s="2122">
        <v>-7.0000000000000007E-2</v>
      </c>
      <c r="J4" s="2160">
        <v>45748</v>
      </c>
      <c r="K4" s="2211">
        <f>-0.2/100</f>
        <v>-2E-3</v>
      </c>
      <c r="L4" s="2181">
        <f>-0.22/100</f>
        <v>-2.2000000000000001E-3</v>
      </c>
      <c r="M4" s="2212">
        <f>K4</f>
        <v>-2E-3</v>
      </c>
      <c r="N4" s="2182">
        <f>L4</f>
        <v>-2.2000000000000001E-3</v>
      </c>
      <c r="O4" s="2140"/>
      <c r="P4" s="2145" t="s">
        <v>41</v>
      </c>
      <c r="Q4" s="2146" t="s">
        <v>41</v>
      </c>
      <c r="R4" s="2142" t="s">
        <v>41</v>
      </c>
      <c r="S4" s="2121" t="s">
        <v>41</v>
      </c>
      <c r="T4" s="1890"/>
      <c r="U4" s="1890"/>
      <c r="V4" s="1890"/>
      <c r="W4" s="1890"/>
    </row>
    <row r="5" spans="1:23" s="1891" customFormat="1" ht="34.35" customHeight="1">
      <c r="A5" s="2224" t="s">
        <v>16</v>
      </c>
      <c r="B5" s="2225" t="s">
        <v>586</v>
      </c>
      <c r="C5" s="2117">
        <v>4</v>
      </c>
      <c r="D5" s="2118" t="s">
        <v>595</v>
      </c>
      <c r="E5" s="2209" t="s">
        <v>598</v>
      </c>
      <c r="F5" s="2119" t="s">
        <v>589</v>
      </c>
      <c r="G5" s="2154" t="s">
        <v>106</v>
      </c>
      <c r="H5" s="2155" t="s">
        <v>597</v>
      </c>
      <c r="I5" s="2123">
        <v>-3020</v>
      </c>
      <c r="J5" s="2160">
        <v>45748</v>
      </c>
      <c r="K5" s="2183">
        <v>-80.72</v>
      </c>
      <c r="L5" s="2184">
        <v>-90</v>
      </c>
      <c r="M5" s="2184">
        <f>K5</f>
        <v>-80.72</v>
      </c>
      <c r="N5" s="2185">
        <v>-90</v>
      </c>
      <c r="O5" s="2186"/>
      <c r="P5" s="2145" t="s">
        <v>41</v>
      </c>
      <c r="Q5" s="2146" t="s">
        <v>41</v>
      </c>
      <c r="R5" s="2142" t="s">
        <v>41</v>
      </c>
      <c r="S5" s="2121" t="s">
        <v>41</v>
      </c>
      <c r="T5" s="1890"/>
      <c r="U5" s="1890"/>
      <c r="V5" s="1890"/>
      <c r="W5" s="1890"/>
    </row>
    <row r="6" spans="1:23" s="1891" customFormat="1" ht="49.35" customHeight="1">
      <c r="A6" s="2224" t="s">
        <v>16</v>
      </c>
      <c r="B6" s="2225" t="s">
        <v>586</v>
      </c>
      <c r="C6" s="2117">
        <v>5</v>
      </c>
      <c r="D6" s="2124" t="s">
        <v>599</v>
      </c>
      <c r="E6" s="2125">
        <v>39</v>
      </c>
      <c r="F6" s="2119" t="s">
        <v>288</v>
      </c>
      <c r="G6" s="2154" t="s">
        <v>106</v>
      </c>
      <c r="H6" s="2155" t="s">
        <v>40</v>
      </c>
      <c r="I6" s="2126">
        <v>39</v>
      </c>
      <c r="J6" s="2161">
        <v>45748</v>
      </c>
      <c r="K6" s="2187">
        <v>6</v>
      </c>
      <c r="L6" s="2177">
        <v>5</v>
      </c>
      <c r="M6" s="2179">
        <v>6</v>
      </c>
      <c r="N6" s="2178">
        <v>5</v>
      </c>
      <c r="O6" s="2188"/>
      <c r="P6" s="2213" t="s">
        <v>600</v>
      </c>
      <c r="Q6" s="2146" t="s">
        <v>41</v>
      </c>
      <c r="R6" s="2142" t="s">
        <v>41</v>
      </c>
      <c r="S6" s="2121" t="s">
        <v>41</v>
      </c>
      <c r="T6" s="1890"/>
      <c r="U6" s="1890"/>
      <c r="V6" s="1890"/>
      <c r="W6" s="1890"/>
    </row>
    <row r="7" spans="1:23" s="1891" customFormat="1" ht="49.35" customHeight="1">
      <c r="A7" s="2224" t="s">
        <v>16</v>
      </c>
      <c r="B7" s="2225" t="s">
        <v>586</v>
      </c>
      <c r="C7" s="2117">
        <v>6</v>
      </c>
      <c r="D7" s="2124" t="s">
        <v>601</v>
      </c>
      <c r="E7" s="2126" t="s">
        <v>602</v>
      </c>
      <c r="F7" s="2119" t="s">
        <v>136</v>
      </c>
      <c r="G7" s="2154" t="s">
        <v>106</v>
      </c>
      <c r="H7" s="2155" t="s">
        <v>40</v>
      </c>
      <c r="I7" s="2123">
        <v>251.99</v>
      </c>
      <c r="J7" s="2160">
        <v>45748</v>
      </c>
      <c r="K7" s="2214">
        <v>17.827000000000002</v>
      </c>
      <c r="L7" s="2189">
        <f>18262908/1000000</f>
        <v>18.262907999999999</v>
      </c>
      <c r="M7" s="2190">
        <f>K7</f>
        <v>17.827000000000002</v>
      </c>
      <c r="N7" s="2191">
        <f>L7</f>
        <v>18.262907999999999</v>
      </c>
      <c r="O7" s="2192"/>
      <c r="P7" s="2213" t="s">
        <v>603</v>
      </c>
      <c r="Q7" s="2146" t="s">
        <v>41</v>
      </c>
      <c r="R7" s="2142" t="s">
        <v>41</v>
      </c>
      <c r="S7" s="2121" t="s">
        <v>41</v>
      </c>
      <c r="T7" s="1890"/>
      <c r="U7" s="1890"/>
      <c r="V7" s="1890"/>
      <c r="W7" s="1890"/>
    </row>
    <row r="8" spans="1:23" s="1891" customFormat="1" ht="34.35" customHeight="1">
      <c r="A8" s="2224" t="s">
        <v>16</v>
      </c>
      <c r="B8" s="2221" t="s">
        <v>604</v>
      </c>
      <c r="C8" s="2117">
        <v>7</v>
      </c>
      <c r="D8" s="2124" t="s">
        <v>605</v>
      </c>
      <c r="E8" s="2126" t="s">
        <v>606</v>
      </c>
      <c r="F8" s="2119" t="s">
        <v>607</v>
      </c>
      <c r="G8" s="2154" t="s">
        <v>106</v>
      </c>
      <c r="H8" s="2155" t="s">
        <v>40</v>
      </c>
      <c r="I8" s="2123">
        <v>292915</v>
      </c>
      <c r="J8" s="2160">
        <v>45748</v>
      </c>
      <c r="K8" s="2176">
        <v>23223</v>
      </c>
      <c r="L8" s="2177">
        <v>18296</v>
      </c>
      <c r="M8" s="2179">
        <v>23223</v>
      </c>
      <c r="N8" s="2178">
        <v>18296</v>
      </c>
      <c r="O8" s="2193"/>
      <c r="P8" s="2145" t="s">
        <v>41</v>
      </c>
      <c r="Q8" s="2146" t="s">
        <v>41</v>
      </c>
      <c r="R8" s="2142" t="s">
        <v>41</v>
      </c>
      <c r="S8" s="2121" t="s">
        <v>41</v>
      </c>
      <c r="T8" s="1890"/>
      <c r="U8" s="1890"/>
      <c r="V8" s="1890"/>
      <c r="W8" s="1890"/>
    </row>
    <row r="9" spans="1:23" s="1891" customFormat="1" ht="34.35" customHeight="1">
      <c r="A9" s="2224" t="s">
        <v>16</v>
      </c>
      <c r="B9" s="2225" t="s">
        <v>604</v>
      </c>
      <c r="C9" s="2117">
        <v>8</v>
      </c>
      <c r="D9" s="2118" t="s">
        <v>608</v>
      </c>
      <c r="E9" s="2209" t="s">
        <v>609</v>
      </c>
      <c r="F9" s="2119" t="s">
        <v>133</v>
      </c>
      <c r="G9" s="2154" t="s">
        <v>106</v>
      </c>
      <c r="H9" s="2155" t="s">
        <v>610</v>
      </c>
      <c r="I9" s="2122">
        <v>-0.01</v>
      </c>
      <c r="J9" s="2160">
        <v>45748</v>
      </c>
      <c r="K9" s="2194"/>
      <c r="L9" s="2181">
        <f>-19.69/100</f>
        <v>-0.19690000000000002</v>
      </c>
      <c r="M9" s="2210">
        <v>-8.0000000000000004E-4</v>
      </c>
      <c r="N9" s="2215">
        <f>-19.69/100</f>
        <v>-0.19690000000000002</v>
      </c>
      <c r="O9" s="2140"/>
      <c r="P9" s="2145" t="s">
        <v>41</v>
      </c>
      <c r="Q9" s="2146" t="s">
        <v>41</v>
      </c>
      <c r="R9" s="2142" t="s">
        <v>41</v>
      </c>
      <c r="S9" s="2121" t="s">
        <v>41</v>
      </c>
      <c r="T9" s="1890"/>
      <c r="U9" s="1890"/>
      <c r="V9" s="1890"/>
      <c r="W9" s="1890"/>
    </row>
    <row r="10" spans="1:23" s="1891" customFormat="1" ht="34.35" customHeight="1">
      <c r="A10" s="2224" t="s">
        <v>16</v>
      </c>
      <c r="B10" s="2225" t="s">
        <v>604</v>
      </c>
      <c r="C10" s="2117">
        <v>9</v>
      </c>
      <c r="D10" s="2124" t="s">
        <v>611</v>
      </c>
      <c r="E10" s="2126" t="s">
        <v>612</v>
      </c>
      <c r="F10" s="2119" t="s">
        <v>136</v>
      </c>
      <c r="G10" s="2154" t="s">
        <v>106</v>
      </c>
      <c r="H10" s="2155" t="s">
        <v>40</v>
      </c>
      <c r="I10" s="2195">
        <v>8.84</v>
      </c>
      <c r="J10" s="2160">
        <v>45748</v>
      </c>
      <c r="K10" s="2196">
        <f>791586/1000000</f>
        <v>0.79158600000000001</v>
      </c>
      <c r="L10" s="2197">
        <v>0.57999999999999996</v>
      </c>
      <c r="M10" s="2198">
        <f>K10</f>
        <v>0.79158600000000001</v>
      </c>
      <c r="N10" s="2199">
        <f>L10</f>
        <v>0.57999999999999996</v>
      </c>
      <c r="O10" s="2200"/>
      <c r="P10" s="2145" t="s">
        <v>41</v>
      </c>
      <c r="Q10" s="2146" t="s">
        <v>41</v>
      </c>
      <c r="R10" s="2142" t="s">
        <v>41</v>
      </c>
      <c r="S10" s="2121" t="s">
        <v>41</v>
      </c>
      <c r="T10" s="1890"/>
      <c r="U10" s="1890"/>
      <c r="V10" s="1890"/>
      <c r="W10" s="1890"/>
    </row>
    <row r="11" spans="1:23" ht="34.35" customHeight="1">
      <c r="A11" s="2224" t="s">
        <v>16</v>
      </c>
      <c r="B11" s="2222" t="s">
        <v>613</v>
      </c>
      <c r="C11" s="2127">
        <v>10</v>
      </c>
      <c r="D11" s="2128" t="s">
        <v>614</v>
      </c>
      <c r="E11" s="2129" t="s">
        <v>615</v>
      </c>
      <c r="F11" s="2130" t="s">
        <v>616</v>
      </c>
      <c r="G11" s="2156" t="s">
        <v>39</v>
      </c>
      <c r="H11" s="2157" t="s">
        <v>285</v>
      </c>
      <c r="I11" s="2201">
        <v>0.192</v>
      </c>
      <c r="J11" s="2160">
        <v>45748</v>
      </c>
      <c r="K11" s="2216">
        <v>0.19389999999999999</v>
      </c>
      <c r="L11" s="2202">
        <v>0.15820000000000001</v>
      </c>
      <c r="M11" s="2202">
        <f>K11</f>
        <v>0.19389999999999999</v>
      </c>
      <c r="N11" s="2217">
        <v>0.15820000000000001</v>
      </c>
      <c r="O11" s="2218"/>
      <c r="P11" s="2219" t="s">
        <v>41</v>
      </c>
      <c r="Q11" s="2147" t="s">
        <v>41</v>
      </c>
      <c r="R11" s="2143" t="s">
        <v>41</v>
      </c>
      <c r="S11" s="2131" t="s">
        <v>41</v>
      </c>
    </row>
    <row r="12" spans="1:23" ht="34.35" customHeight="1">
      <c r="A12" s="2226" t="s">
        <v>16</v>
      </c>
      <c r="B12" s="2227" t="s">
        <v>613</v>
      </c>
      <c r="C12" s="2132">
        <v>11</v>
      </c>
      <c r="D12" s="2133" t="s">
        <v>617</v>
      </c>
      <c r="E12" s="2228" t="s">
        <v>618</v>
      </c>
      <c r="F12" s="2134" t="s">
        <v>619</v>
      </c>
      <c r="G12" s="2158" t="s">
        <v>39</v>
      </c>
      <c r="H12" s="2159" t="s">
        <v>285</v>
      </c>
      <c r="I12" s="2135">
        <v>3298</v>
      </c>
      <c r="J12" s="2229">
        <v>45748</v>
      </c>
      <c r="K12" s="2230">
        <v>260</v>
      </c>
      <c r="L12" s="2180">
        <v>209.3</v>
      </c>
      <c r="M12" s="2180">
        <f>K12</f>
        <v>260</v>
      </c>
      <c r="N12" s="2231">
        <v>209.3</v>
      </c>
      <c r="O12" s="2232"/>
      <c r="P12" s="2148" t="s">
        <v>41</v>
      </c>
      <c r="Q12" s="2149" t="s">
        <v>41</v>
      </c>
      <c r="R12" s="2144" t="s">
        <v>41</v>
      </c>
      <c r="S12" s="2136" t="s">
        <v>41</v>
      </c>
      <c r="T12" s="2204" t="s">
        <v>620</v>
      </c>
    </row>
    <row r="13" spans="1:23" s="1891" customFormat="1" ht="409.6">
      <c r="A13" s="2256" t="s">
        <v>16</v>
      </c>
      <c r="B13" s="2257" t="s">
        <v>586</v>
      </c>
      <c r="C13" s="2258">
        <v>1</v>
      </c>
      <c r="D13" s="2264" t="s">
        <v>587</v>
      </c>
      <c r="E13" s="2268" t="s">
        <v>588</v>
      </c>
      <c r="F13" s="2258" t="s">
        <v>589</v>
      </c>
      <c r="G13" s="2250" t="s">
        <v>106</v>
      </c>
      <c r="H13" s="2251" t="s">
        <v>40</v>
      </c>
      <c r="I13" s="2269">
        <v>40244</v>
      </c>
      <c r="J13" s="2270">
        <v>45778</v>
      </c>
      <c r="K13" s="2271">
        <v>3655</v>
      </c>
      <c r="L13" s="2272">
        <v>3988</v>
      </c>
      <c r="M13" s="2273">
        <f>K13+K2</f>
        <v>6641</v>
      </c>
      <c r="N13" s="2274">
        <v>6781</v>
      </c>
      <c r="O13" s="2247">
        <v>3446</v>
      </c>
      <c r="P13" s="2233" t="s">
        <v>590</v>
      </c>
      <c r="Q13" s="2234" t="s">
        <v>621</v>
      </c>
      <c r="R13" s="2235" t="s">
        <v>592</v>
      </c>
      <c r="S13" s="2236" t="s">
        <v>365</v>
      </c>
      <c r="T13" s="1890"/>
      <c r="U13" s="1890"/>
      <c r="V13" s="1890"/>
      <c r="W13" s="1890"/>
    </row>
    <row r="14" spans="1:23" s="1891" customFormat="1" ht="34.35" customHeight="1">
      <c r="A14" s="2224" t="s">
        <v>16</v>
      </c>
      <c r="B14" s="2245" t="s">
        <v>586</v>
      </c>
      <c r="C14" s="2259">
        <v>2</v>
      </c>
      <c r="D14" s="2265" t="s">
        <v>593</v>
      </c>
      <c r="E14" s="2259" t="s">
        <v>594</v>
      </c>
      <c r="F14" s="2259" t="s">
        <v>133</v>
      </c>
      <c r="G14" s="2252" t="s">
        <v>106</v>
      </c>
      <c r="H14" s="2253" t="s">
        <v>40</v>
      </c>
      <c r="I14" s="2275">
        <v>-0.02</v>
      </c>
      <c r="J14" s="2160">
        <v>45778</v>
      </c>
      <c r="K14" s="2276"/>
      <c r="L14" s="2277"/>
      <c r="M14" s="2278">
        <v>-3.3339999999999997E-3</v>
      </c>
      <c r="N14" s="2279">
        <v>-6.3640000000000002E-2</v>
      </c>
      <c r="O14" s="2248" t="s">
        <v>622</v>
      </c>
      <c r="P14" s="2145" t="s">
        <v>41</v>
      </c>
      <c r="Q14" s="2146" t="s">
        <v>41</v>
      </c>
      <c r="R14" s="2142" t="s">
        <v>41</v>
      </c>
      <c r="S14" s="2121" t="s">
        <v>41</v>
      </c>
      <c r="T14" s="1890"/>
      <c r="U14" s="1890"/>
      <c r="V14" s="1890"/>
      <c r="W14" s="1890"/>
    </row>
    <row r="15" spans="1:23" s="1891" customFormat="1" ht="34.35" customHeight="1">
      <c r="A15" s="2224" t="s">
        <v>16</v>
      </c>
      <c r="B15" s="2245" t="s">
        <v>586</v>
      </c>
      <c r="C15" s="2259">
        <v>3</v>
      </c>
      <c r="D15" s="2265" t="s">
        <v>595</v>
      </c>
      <c r="E15" s="2259" t="s">
        <v>596</v>
      </c>
      <c r="F15" s="2259" t="s">
        <v>133</v>
      </c>
      <c r="G15" s="2252" t="s">
        <v>106</v>
      </c>
      <c r="H15" s="2253" t="s">
        <v>597</v>
      </c>
      <c r="I15" s="2280">
        <v>-7.0000000000000007E-2</v>
      </c>
      <c r="J15" s="2161">
        <v>45778</v>
      </c>
      <c r="K15" s="2281">
        <f>-0.28/100</f>
        <v>-2.8000000000000004E-3</v>
      </c>
      <c r="L15" s="2282">
        <v>-3.0000000000000001E-3</v>
      </c>
      <c r="M15" s="2278">
        <f>M4+K15</f>
        <v>-4.8000000000000004E-3</v>
      </c>
      <c r="N15" s="2279">
        <v>-5.7999999999999996E-3</v>
      </c>
      <c r="O15" s="2237">
        <v>-0.3</v>
      </c>
      <c r="P15" s="2145" t="s">
        <v>41</v>
      </c>
      <c r="Q15" s="2146" t="s">
        <v>41</v>
      </c>
      <c r="R15" s="2142" t="s">
        <v>41</v>
      </c>
      <c r="S15" s="2121" t="s">
        <v>41</v>
      </c>
      <c r="T15" s="1890"/>
      <c r="U15" s="1890"/>
      <c r="V15" s="1890"/>
      <c r="W15" s="1890"/>
    </row>
    <row r="16" spans="1:23" s="1891" customFormat="1" ht="34.35" customHeight="1">
      <c r="A16" s="2224" t="s">
        <v>16</v>
      </c>
      <c r="B16" s="2245" t="s">
        <v>586</v>
      </c>
      <c r="C16" s="2259">
        <v>4</v>
      </c>
      <c r="D16" s="2265" t="s">
        <v>595</v>
      </c>
      <c r="E16" s="2259" t="s">
        <v>598</v>
      </c>
      <c r="F16" s="2259" t="s">
        <v>589</v>
      </c>
      <c r="G16" s="2252" t="s">
        <v>106</v>
      </c>
      <c r="H16" s="2253" t="s">
        <v>597</v>
      </c>
      <c r="I16" s="2283">
        <v>-3020</v>
      </c>
      <c r="J16" s="2160">
        <v>45778</v>
      </c>
      <c r="K16" s="2284">
        <v>-115.72</v>
      </c>
      <c r="L16" s="2285">
        <v>-122.84</v>
      </c>
      <c r="M16" s="2285">
        <f>K16+M5</f>
        <v>-196.44</v>
      </c>
      <c r="N16" s="2286">
        <v>-207.73</v>
      </c>
      <c r="O16" s="2238">
        <v>-121.23</v>
      </c>
      <c r="P16" s="2145" t="s">
        <v>41</v>
      </c>
      <c r="Q16" s="2146" t="s">
        <v>41</v>
      </c>
      <c r="R16" s="2142" t="s">
        <v>41</v>
      </c>
      <c r="S16" s="2121" t="s">
        <v>41</v>
      </c>
      <c r="T16" s="1890"/>
      <c r="U16" s="1890"/>
      <c r="V16" s="1890"/>
      <c r="W16" s="1890"/>
    </row>
    <row r="17" spans="1:23" s="1891" customFormat="1" ht="121.5" customHeight="1">
      <c r="A17" s="2224" t="s">
        <v>16</v>
      </c>
      <c r="B17" s="2245" t="s">
        <v>586</v>
      </c>
      <c r="C17" s="2259">
        <v>5</v>
      </c>
      <c r="D17" s="2124" t="s">
        <v>599</v>
      </c>
      <c r="E17" s="2259">
        <v>39</v>
      </c>
      <c r="F17" s="2259" t="s">
        <v>288</v>
      </c>
      <c r="G17" s="2252" t="s">
        <v>106</v>
      </c>
      <c r="H17" s="2253" t="s">
        <v>40</v>
      </c>
      <c r="I17" s="2287">
        <v>39</v>
      </c>
      <c r="J17" s="2160">
        <v>45778</v>
      </c>
      <c r="K17" s="2288">
        <v>3</v>
      </c>
      <c r="L17" s="2289">
        <v>0</v>
      </c>
      <c r="M17" s="2290">
        <f>K17+K6</f>
        <v>9</v>
      </c>
      <c r="N17" s="2291">
        <v>5</v>
      </c>
      <c r="O17" s="2239">
        <v>1</v>
      </c>
      <c r="P17" s="2240" t="s">
        <v>623</v>
      </c>
      <c r="Q17" s="2241" t="s">
        <v>624</v>
      </c>
      <c r="R17" s="2142" t="s">
        <v>182</v>
      </c>
      <c r="S17" s="2121" t="s">
        <v>365</v>
      </c>
      <c r="T17" s="1890"/>
      <c r="U17" s="1890"/>
      <c r="V17" s="1890"/>
      <c r="W17" s="1890"/>
    </row>
    <row r="18" spans="1:23" s="1891" customFormat="1" ht="71.099999999999994" customHeight="1">
      <c r="A18" s="2224" t="s">
        <v>16</v>
      </c>
      <c r="B18" s="2245" t="s">
        <v>586</v>
      </c>
      <c r="C18" s="2259">
        <v>6</v>
      </c>
      <c r="D18" s="2124" t="s">
        <v>601</v>
      </c>
      <c r="E18" s="2287" t="s">
        <v>602</v>
      </c>
      <c r="F18" s="2259" t="s">
        <v>136</v>
      </c>
      <c r="G18" s="2252" t="s">
        <v>106</v>
      </c>
      <c r="H18" s="2253" t="s">
        <v>40</v>
      </c>
      <c r="I18" s="2283">
        <v>251.99</v>
      </c>
      <c r="J18" s="2160">
        <v>45778</v>
      </c>
      <c r="K18" s="2292">
        <v>21.405999999999999</v>
      </c>
      <c r="L18" s="2293">
        <v>24.117999999999999</v>
      </c>
      <c r="M18" s="2294">
        <f>K18+K7</f>
        <v>39.233000000000004</v>
      </c>
      <c r="N18" s="2295">
        <v>42.42</v>
      </c>
      <c r="O18" s="2249">
        <v>22.58</v>
      </c>
      <c r="P18" s="2240" t="s">
        <v>625</v>
      </c>
      <c r="Q18" s="2242" t="s">
        <v>626</v>
      </c>
      <c r="R18" s="2243" t="s">
        <v>627</v>
      </c>
      <c r="S18" s="2121" t="s">
        <v>365</v>
      </c>
      <c r="T18" s="1890"/>
      <c r="U18" s="1890"/>
      <c r="V18" s="1890"/>
      <c r="W18" s="1890"/>
    </row>
    <row r="19" spans="1:23" s="1891" customFormat="1" ht="34.35" customHeight="1">
      <c r="A19" s="2224" t="s">
        <v>16</v>
      </c>
      <c r="B19" s="2262" t="s">
        <v>604</v>
      </c>
      <c r="C19" s="2259">
        <v>7</v>
      </c>
      <c r="D19" s="2124" t="s">
        <v>605</v>
      </c>
      <c r="E19" s="2287" t="s">
        <v>606</v>
      </c>
      <c r="F19" s="2259" t="s">
        <v>607</v>
      </c>
      <c r="G19" s="2252" t="s">
        <v>106</v>
      </c>
      <c r="H19" s="2253" t="s">
        <v>40</v>
      </c>
      <c r="I19" s="2283">
        <v>292915</v>
      </c>
      <c r="J19" s="2160">
        <v>45778</v>
      </c>
      <c r="K19" s="2288">
        <v>23337</v>
      </c>
      <c r="L19" s="2289">
        <v>22866</v>
      </c>
      <c r="M19" s="2290">
        <f>K19+M8</f>
        <v>46560</v>
      </c>
      <c r="N19" s="2291">
        <v>41162</v>
      </c>
      <c r="O19" s="2239">
        <v>24209</v>
      </c>
      <c r="P19" s="2145" t="s">
        <v>41</v>
      </c>
      <c r="Q19" s="2146" t="s">
        <v>41</v>
      </c>
      <c r="R19" s="2142" t="s">
        <v>41</v>
      </c>
      <c r="S19" s="2121" t="s">
        <v>41</v>
      </c>
      <c r="T19" s="1890"/>
      <c r="U19" s="1890"/>
      <c r="V19" s="1890"/>
      <c r="W19" s="1890"/>
    </row>
    <row r="20" spans="1:23" s="1891" customFormat="1" ht="45" customHeight="1">
      <c r="A20" s="2224" t="s">
        <v>16</v>
      </c>
      <c r="B20" s="2245" t="s">
        <v>604</v>
      </c>
      <c r="C20" s="2259">
        <v>8</v>
      </c>
      <c r="D20" s="2265" t="s">
        <v>608</v>
      </c>
      <c r="E20" s="2296" t="s">
        <v>609</v>
      </c>
      <c r="F20" s="2259" t="s">
        <v>133</v>
      </c>
      <c r="G20" s="2252" t="s">
        <v>106</v>
      </c>
      <c r="H20" s="2253" t="s">
        <v>610</v>
      </c>
      <c r="I20" s="2280">
        <v>-0.01</v>
      </c>
      <c r="J20" s="2160">
        <v>45778</v>
      </c>
      <c r="K20" s="2297"/>
      <c r="L20" s="2298"/>
      <c r="M20" s="2282">
        <v>-1.6659999999999999E-3</v>
      </c>
      <c r="N20" s="2279">
        <v>-0.17330000000000001</v>
      </c>
      <c r="O20" s="2244">
        <v>-1.1919999999999999</v>
      </c>
      <c r="P20" s="2145" t="s">
        <v>41</v>
      </c>
      <c r="Q20" s="2146" t="s">
        <v>41</v>
      </c>
      <c r="R20" s="2142" t="s">
        <v>41</v>
      </c>
      <c r="S20" s="2121" t="s">
        <v>41</v>
      </c>
      <c r="T20" s="1890"/>
      <c r="U20" s="1890"/>
      <c r="V20" s="1890"/>
      <c r="W20" s="1890"/>
    </row>
    <row r="21" spans="1:23" s="1891" customFormat="1" ht="34.35" customHeight="1">
      <c r="A21" s="2224" t="s">
        <v>16</v>
      </c>
      <c r="B21" s="2245" t="s">
        <v>604</v>
      </c>
      <c r="C21" s="2259">
        <v>9</v>
      </c>
      <c r="D21" s="2124" t="s">
        <v>611</v>
      </c>
      <c r="E21" s="2287" t="s">
        <v>612</v>
      </c>
      <c r="F21" s="2259" t="s">
        <v>136</v>
      </c>
      <c r="G21" s="2252" t="s">
        <v>106</v>
      </c>
      <c r="H21" s="2253" t="s">
        <v>40</v>
      </c>
      <c r="I21" s="2299">
        <v>8.84</v>
      </c>
      <c r="J21" s="2160">
        <v>45778</v>
      </c>
      <c r="K21" s="2300">
        <f>826010/1000000</f>
        <v>0.82601000000000002</v>
      </c>
      <c r="L21" s="2301">
        <v>0.78700000000000003</v>
      </c>
      <c r="M21" s="2302">
        <f>K21+K10</f>
        <v>1.617596</v>
      </c>
      <c r="N21" s="2303">
        <v>1.371</v>
      </c>
      <c r="O21" s="2203">
        <v>0.81</v>
      </c>
      <c r="P21" s="2145" t="s">
        <v>41</v>
      </c>
      <c r="Q21" s="2146" t="s">
        <v>41</v>
      </c>
      <c r="R21" s="2142" t="s">
        <v>41</v>
      </c>
      <c r="S21" s="2121" t="s">
        <v>41</v>
      </c>
      <c r="T21" s="1890"/>
      <c r="U21" s="1890"/>
      <c r="V21" s="1890"/>
      <c r="W21" s="1890"/>
    </row>
    <row r="22" spans="1:23" ht="34.35" customHeight="1">
      <c r="A22" s="2224" t="s">
        <v>16</v>
      </c>
      <c r="B22" s="2263" t="s">
        <v>613</v>
      </c>
      <c r="C22" s="2260">
        <v>10</v>
      </c>
      <c r="D22" s="2266" t="s">
        <v>614</v>
      </c>
      <c r="E22" s="2304" t="s">
        <v>615</v>
      </c>
      <c r="F22" s="2260" t="s">
        <v>616</v>
      </c>
      <c r="G22" s="2252" t="s">
        <v>39</v>
      </c>
      <c r="H22" s="2253" t="s">
        <v>285</v>
      </c>
      <c r="I22" s="2305">
        <v>0.192</v>
      </c>
      <c r="J22" s="2160">
        <v>45778</v>
      </c>
      <c r="K22" s="2306">
        <v>0.19389999999999999</v>
      </c>
      <c r="L22" s="2307">
        <v>0.18909999999999999</v>
      </c>
      <c r="M22" s="2307">
        <v>0.19389999999999999</v>
      </c>
      <c r="N22" s="2308">
        <v>0.17499999999999999</v>
      </c>
      <c r="O22" s="2218">
        <v>0.1595</v>
      </c>
      <c r="P22" s="2219" t="s">
        <v>41</v>
      </c>
      <c r="Q22" s="2147" t="s">
        <v>41</v>
      </c>
      <c r="R22" s="2143" t="s">
        <v>41</v>
      </c>
      <c r="S22" s="2131" t="s">
        <v>41</v>
      </c>
    </row>
    <row r="23" spans="1:23" ht="34.35" customHeight="1">
      <c r="A23" s="2226" t="s">
        <v>16</v>
      </c>
      <c r="B23" s="2246" t="s">
        <v>613</v>
      </c>
      <c r="C23" s="2261">
        <v>11</v>
      </c>
      <c r="D23" s="2267" t="s">
        <v>617</v>
      </c>
      <c r="E23" s="2309" t="s">
        <v>628</v>
      </c>
      <c r="F23" s="2261" t="s">
        <v>619</v>
      </c>
      <c r="G23" s="2254" t="s">
        <v>39</v>
      </c>
      <c r="H23" s="2255" t="s">
        <v>285</v>
      </c>
      <c r="I23" s="2310">
        <v>3298</v>
      </c>
      <c r="J23" s="2229">
        <v>45778</v>
      </c>
      <c r="K23" s="2311">
        <v>262</v>
      </c>
      <c r="L23" s="2312">
        <v>296.52999999999997</v>
      </c>
      <c r="M23" s="2312">
        <f>M12+K23</f>
        <v>522</v>
      </c>
      <c r="N23" s="2313">
        <f>N12+L23</f>
        <v>505.83</v>
      </c>
      <c r="O23" s="2232">
        <v>263.05</v>
      </c>
      <c r="P23" s="2148" t="s">
        <v>41</v>
      </c>
      <c r="Q23" s="2149" t="s">
        <v>41</v>
      </c>
      <c r="R23" s="2144" t="s">
        <v>41</v>
      </c>
      <c r="S23" s="2136" t="s">
        <v>41</v>
      </c>
    </row>
    <row r="24" spans="1:23" s="1891" customFormat="1" ht="95.1" customHeight="1">
      <c r="A24" s="2314" t="s">
        <v>16</v>
      </c>
      <c r="B24" s="2257" t="s">
        <v>586</v>
      </c>
      <c r="C24" s="2315">
        <v>1</v>
      </c>
      <c r="D24" s="2316" t="s">
        <v>587</v>
      </c>
      <c r="E24" s="2317" t="s">
        <v>588</v>
      </c>
      <c r="F24" s="2315" t="s">
        <v>589</v>
      </c>
      <c r="G24" s="2318" t="s">
        <v>106</v>
      </c>
      <c r="H24" s="2319" t="s">
        <v>40</v>
      </c>
      <c r="I24" s="2320">
        <v>40244</v>
      </c>
      <c r="J24" s="2321">
        <v>45809</v>
      </c>
      <c r="K24" s="2322">
        <v>3369</v>
      </c>
      <c r="L24" s="2323">
        <v>3709</v>
      </c>
      <c r="M24" s="2324">
        <f>K24+K13+K2</f>
        <v>10010</v>
      </c>
      <c r="N24" s="2325">
        <v>10490</v>
      </c>
      <c r="O24" s="2326"/>
      <c r="P24" s="2233" t="s">
        <v>629</v>
      </c>
      <c r="Q24" s="2234" t="s">
        <v>621</v>
      </c>
      <c r="R24" s="2328" t="s">
        <v>630</v>
      </c>
      <c r="S24" s="2236" t="s">
        <v>365</v>
      </c>
      <c r="T24" s="1890"/>
      <c r="U24" s="1890"/>
      <c r="V24" s="1890"/>
      <c r="W24" s="1890"/>
    </row>
    <row r="25" spans="1:23" s="1891" customFormat="1" ht="34.35" customHeight="1">
      <c r="A25" s="2329" t="s">
        <v>16</v>
      </c>
      <c r="B25" s="2330" t="s">
        <v>586</v>
      </c>
      <c r="C25" s="2331">
        <v>3</v>
      </c>
      <c r="D25" s="2332" t="s">
        <v>595</v>
      </c>
      <c r="E25" s="2331" t="s">
        <v>596</v>
      </c>
      <c r="F25" s="2331" t="s">
        <v>133</v>
      </c>
      <c r="G25" s="2333" t="s">
        <v>106</v>
      </c>
      <c r="H25" s="2334" t="s">
        <v>597</v>
      </c>
      <c r="I25" s="2335">
        <v>-7.0000000000000007E-2</v>
      </c>
      <c r="J25" s="2160">
        <v>45809</v>
      </c>
      <c r="K25" s="2336">
        <f>-0.41/100</f>
        <v>-4.0999999999999995E-3</v>
      </c>
      <c r="L25" s="2337">
        <v>-4.4000000000000003E-3</v>
      </c>
      <c r="M25" s="2338">
        <f>M15+K25</f>
        <v>-8.8999999999999999E-3</v>
      </c>
      <c r="N25" s="2339">
        <v>-9.4000000000000004E-3</v>
      </c>
      <c r="O25" s="2340"/>
      <c r="P25" s="2145"/>
      <c r="Q25" s="2146"/>
      <c r="R25" s="2121"/>
      <c r="S25" s="2121"/>
      <c r="T25" s="1890"/>
      <c r="U25" s="1890"/>
      <c r="V25" s="1890"/>
      <c r="W25" s="1890"/>
    </row>
    <row r="26" spans="1:23" s="1891" customFormat="1" ht="34.35" customHeight="1">
      <c r="A26" s="2329" t="s">
        <v>16</v>
      </c>
      <c r="B26" s="2330" t="s">
        <v>586</v>
      </c>
      <c r="C26" s="2331">
        <v>4</v>
      </c>
      <c r="D26" s="2332" t="s">
        <v>595</v>
      </c>
      <c r="E26" s="2331" t="s">
        <v>598</v>
      </c>
      <c r="F26" s="2331" t="s">
        <v>589</v>
      </c>
      <c r="G26" s="2333" t="s">
        <v>106</v>
      </c>
      <c r="H26" s="2334" t="s">
        <v>597</v>
      </c>
      <c r="I26" s="2341">
        <v>-3020</v>
      </c>
      <c r="J26" s="2160">
        <v>45809</v>
      </c>
      <c r="K26" s="2342">
        <v>-169.49</v>
      </c>
      <c r="L26" s="2343">
        <v>-178.58</v>
      </c>
      <c r="M26" s="2338">
        <f>K26+M16</f>
        <v>-365.93</v>
      </c>
      <c r="N26" s="2339">
        <v>-386.31</v>
      </c>
      <c r="O26" s="2344"/>
      <c r="P26" s="2145"/>
      <c r="Q26" s="2146"/>
      <c r="R26" s="2121"/>
      <c r="S26" s="2121"/>
      <c r="T26" s="1890"/>
      <c r="U26" s="1890"/>
      <c r="V26" s="1890"/>
      <c r="W26" s="1890"/>
    </row>
    <row r="27" spans="1:23" s="1891" customFormat="1" ht="50.85" customHeight="1">
      <c r="A27" s="2329" t="s">
        <v>16</v>
      </c>
      <c r="B27" s="2330" t="s">
        <v>586</v>
      </c>
      <c r="C27" s="2331">
        <v>5</v>
      </c>
      <c r="D27" s="2332" t="s">
        <v>599</v>
      </c>
      <c r="E27" s="2331">
        <v>39</v>
      </c>
      <c r="F27" s="2331" t="s">
        <v>288</v>
      </c>
      <c r="G27" s="2333" t="s">
        <v>106</v>
      </c>
      <c r="H27" s="2334" t="s">
        <v>40</v>
      </c>
      <c r="I27" s="2345">
        <v>39</v>
      </c>
      <c r="J27" s="2160">
        <v>45809</v>
      </c>
      <c r="K27" s="2346">
        <v>3</v>
      </c>
      <c r="L27" s="2347">
        <v>0</v>
      </c>
      <c r="M27" s="2348">
        <f>K27+K17+K6</f>
        <v>12</v>
      </c>
      <c r="N27" s="2349">
        <v>5</v>
      </c>
      <c r="O27" s="2350"/>
      <c r="P27" s="2145" t="s">
        <v>623</v>
      </c>
      <c r="Q27" s="2146" t="s">
        <v>624</v>
      </c>
      <c r="R27" s="2121" t="s">
        <v>182</v>
      </c>
      <c r="S27" s="2121" t="s">
        <v>365</v>
      </c>
      <c r="T27" s="1890"/>
      <c r="U27" s="1890"/>
      <c r="V27" s="1890"/>
      <c r="W27" s="1890"/>
    </row>
    <row r="28" spans="1:23" s="1891" customFormat="1" ht="63.6" customHeight="1">
      <c r="A28" s="2329" t="s">
        <v>16</v>
      </c>
      <c r="B28" s="2330" t="s">
        <v>586</v>
      </c>
      <c r="C28" s="2331">
        <v>6</v>
      </c>
      <c r="D28" s="2351" t="s">
        <v>601</v>
      </c>
      <c r="E28" s="2331" t="s">
        <v>602</v>
      </c>
      <c r="F28" s="2331" t="s">
        <v>136</v>
      </c>
      <c r="G28" s="2333" t="s">
        <v>106</v>
      </c>
      <c r="H28" s="2334" t="s">
        <v>40</v>
      </c>
      <c r="I28" s="2352">
        <v>251.99</v>
      </c>
      <c r="J28" s="2160">
        <v>45809</v>
      </c>
      <c r="K28" s="2353">
        <v>20.818999999999999</v>
      </c>
      <c r="L28" s="2354">
        <v>23.155000000000001</v>
      </c>
      <c r="M28" s="2355">
        <f>K28+K18+K7</f>
        <v>60.051999999999992</v>
      </c>
      <c r="N28" s="2356">
        <f>L28+N18</f>
        <v>65.575000000000003</v>
      </c>
      <c r="O28" s="2357"/>
      <c r="P28" s="2240" t="s">
        <v>631</v>
      </c>
      <c r="Q28" s="2241" t="s">
        <v>626</v>
      </c>
      <c r="R28" s="2121" t="s">
        <v>632</v>
      </c>
      <c r="S28" s="2121" t="s">
        <v>365</v>
      </c>
      <c r="T28" s="1890"/>
      <c r="U28" s="1890"/>
      <c r="V28" s="1890"/>
      <c r="W28" s="1890"/>
    </row>
    <row r="29" spans="1:23" s="1891" customFormat="1" ht="34.35" customHeight="1">
      <c r="A29" s="2329" t="s">
        <v>16</v>
      </c>
      <c r="B29" s="2358" t="s">
        <v>586</v>
      </c>
      <c r="C29" s="2331">
        <v>2</v>
      </c>
      <c r="D29" s="2351" t="s">
        <v>593</v>
      </c>
      <c r="E29" s="2352" t="s">
        <v>594</v>
      </c>
      <c r="F29" s="2331" t="s">
        <v>133</v>
      </c>
      <c r="G29" s="2333" t="s">
        <v>106</v>
      </c>
      <c r="H29" s="2334" t="s">
        <v>40</v>
      </c>
      <c r="I29" s="2345">
        <v>-0.02</v>
      </c>
      <c r="J29" s="2160">
        <v>45809</v>
      </c>
      <c r="K29" s="2292"/>
      <c r="L29" s="2359"/>
      <c r="M29" s="2360">
        <v>-5.0009999999999994E-3</v>
      </c>
      <c r="N29" s="2361">
        <v>-6.0100000000000001E-2</v>
      </c>
      <c r="O29" s="2362"/>
      <c r="P29" s="2240"/>
      <c r="Q29" s="2241"/>
      <c r="R29" s="2363"/>
      <c r="S29" s="2121"/>
      <c r="T29" s="1890"/>
      <c r="U29" s="1890"/>
      <c r="V29" s="1890"/>
      <c r="W29" s="1890"/>
    </row>
    <row r="30" spans="1:23" s="1891" customFormat="1" ht="34.35" customHeight="1">
      <c r="A30" s="2329" t="s">
        <v>16</v>
      </c>
      <c r="B30" s="2364" t="s">
        <v>604</v>
      </c>
      <c r="C30" s="2331">
        <v>7</v>
      </c>
      <c r="D30" s="2351" t="s">
        <v>605</v>
      </c>
      <c r="E30" s="2352" t="s">
        <v>606</v>
      </c>
      <c r="F30" s="2331" t="s">
        <v>607</v>
      </c>
      <c r="G30" s="2333" t="s">
        <v>106</v>
      </c>
      <c r="H30" s="2334" t="s">
        <v>40</v>
      </c>
      <c r="I30" s="2345">
        <v>292915</v>
      </c>
      <c r="J30" s="2160">
        <v>45809</v>
      </c>
      <c r="K30" s="2353">
        <v>25735</v>
      </c>
      <c r="L30" s="2354">
        <v>23916</v>
      </c>
      <c r="M30" s="2355">
        <f>K30+M19</f>
        <v>72295</v>
      </c>
      <c r="N30" s="2356">
        <v>65078</v>
      </c>
      <c r="O30" s="2357"/>
      <c r="P30" s="2145"/>
      <c r="Q30" s="2146"/>
      <c r="R30" s="2121"/>
      <c r="S30" s="2121"/>
      <c r="T30" s="1890"/>
      <c r="U30" s="1890"/>
      <c r="V30" s="1890"/>
      <c r="W30" s="1890"/>
    </row>
    <row r="31" spans="1:23" s="1891" customFormat="1" ht="34.35" customHeight="1">
      <c r="A31" s="2329" t="s">
        <v>16</v>
      </c>
      <c r="B31" s="2330" t="s">
        <v>604</v>
      </c>
      <c r="C31" s="2331">
        <v>8</v>
      </c>
      <c r="D31" s="2332" t="s">
        <v>608</v>
      </c>
      <c r="E31" s="2304" t="s">
        <v>609</v>
      </c>
      <c r="F31" s="2331" t="s">
        <v>133</v>
      </c>
      <c r="G31" s="2333" t="s">
        <v>106</v>
      </c>
      <c r="H31" s="2334" t="s">
        <v>610</v>
      </c>
      <c r="I31" s="2341">
        <v>-0.01</v>
      </c>
      <c r="J31" s="2160">
        <v>45809</v>
      </c>
      <c r="K31" s="2365"/>
      <c r="L31" s="2366"/>
      <c r="M31" s="2367">
        <v>-2.4989999999999999E-3</v>
      </c>
      <c r="N31" s="2339">
        <v>-0.15190000000000001</v>
      </c>
      <c r="O31" s="2340"/>
      <c r="P31" s="2145"/>
      <c r="Q31" s="2146"/>
      <c r="R31" s="2121"/>
      <c r="S31" s="2121"/>
      <c r="T31" s="1890"/>
      <c r="U31" s="1890"/>
      <c r="V31" s="1890"/>
      <c r="W31" s="1890"/>
    </row>
    <row r="32" spans="1:23" s="1891" customFormat="1" ht="34.35" customHeight="1">
      <c r="A32" s="2329" t="s">
        <v>16</v>
      </c>
      <c r="B32" s="2358" t="s">
        <v>604</v>
      </c>
      <c r="C32" s="2331">
        <v>9</v>
      </c>
      <c r="D32" s="2351" t="s">
        <v>611</v>
      </c>
      <c r="E32" s="2352" t="s">
        <v>612</v>
      </c>
      <c r="F32" s="2331" t="s">
        <v>136</v>
      </c>
      <c r="G32" s="2333" t="s">
        <v>106</v>
      </c>
      <c r="H32" s="2334" t="s">
        <v>40</v>
      </c>
      <c r="I32" s="2368">
        <v>8.84</v>
      </c>
      <c r="J32" s="2160">
        <v>45809</v>
      </c>
      <c r="K32" s="2306">
        <f>739753/1000000</f>
        <v>0.73975299999999999</v>
      </c>
      <c r="L32" s="2308">
        <v>0.83</v>
      </c>
      <c r="M32" s="2369">
        <f>M21+K32</f>
        <v>2.3573490000000001</v>
      </c>
      <c r="N32" s="2370">
        <v>2.2000000000000002</v>
      </c>
      <c r="O32" s="2371"/>
      <c r="P32" s="2145" t="s">
        <v>633</v>
      </c>
      <c r="Q32" s="2146" t="s">
        <v>634</v>
      </c>
      <c r="R32" s="2121" t="s">
        <v>635</v>
      </c>
      <c r="S32" s="2121" t="s">
        <v>365</v>
      </c>
      <c r="T32" s="1890"/>
      <c r="U32" s="1890"/>
      <c r="V32" s="1890"/>
      <c r="W32" s="1890"/>
    </row>
    <row r="33" spans="1:23" ht="34.35" customHeight="1">
      <c r="A33" s="2329" t="s">
        <v>16</v>
      </c>
      <c r="B33" s="2364" t="s">
        <v>613</v>
      </c>
      <c r="C33" s="2331">
        <v>10</v>
      </c>
      <c r="D33" s="2332" t="s">
        <v>614</v>
      </c>
      <c r="E33" s="2304" t="s">
        <v>615</v>
      </c>
      <c r="F33" s="2331" t="s">
        <v>616</v>
      </c>
      <c r="G33" s="2333" t="s">
        <v>39</v>
      </c>
      <c r="H33" s="2334" t="s">
        <v>285</v>
      </c>
      <c r="I33" s="2305">
        <v>0.192</v>
      </c>
      <c r="J33" s="2161">
        <v>45809</v>
      </c>
      <c r="K33" s="2372">
        <v>0.19370000000000001</v>
      </c>
      <c r="L33" s="2308">
        <v>0.15390000000000001</v>
      </c>
      <c r="M33" s="2373">
        <v>0.19370000000000001</v>
      </c>
      <c r="N33" s="2308">
        <v>0.16739999999999999</v>
      </c>
      <c r="O33" s="2374"/>
      <c r="P33" s="2145"/>
      <c r="Q33" s="2146"/>
      <c r="R33" s="2121"/>
      <c r="S33" s="2121"/>
    </row>
    <row r="34" spans="1:23" ht="34.35" customHeight="1">
      <c r="A34" s="2375" t="s">
        <v>16</v>
      </c>
      <c r="B34" s="2376" t="s">
        <v>613</v>
      </c>
      <c r="C34" s="2377">
        <v>11</v>
      </c>
      <c r="D34" s="2378" t="s">
        <v>617</v>
      </c>
      <c r="E34" s="2379" t="s">
        <v>618</v>
      </c>
      <c r="F34" s="2377" t="s">
        <v>619</v>
      </c>
      <c r="G34" s="2380" t="s">
        <v>39</v>
      </c>
      <c r="H34" s="2381" t="s">
        <v>285</v>
      </c>
      <c r="I34" s="2310">
        <v>3298</v>
      </c>
      <c r="J34" s="2229">
        <v>45809</v>
      </c>
      <c r="K34" s="2311">
        <v>289</v>
      </c>
      <c r="L34" s="2382">
        <v>247.77</v>
      </c>
      <c r="M34" s="2383">
        <f>M23+K34</f>
        <v>811</v>
      </c>
      <c r="N34" s="2313">
        <f>N23+L34</f>
        <v>753.6</v>
      </c>
      <c r="O34" s="2384"/>
      <c r="P34" s="2385"/>
      <c r="Q34" s="2386"/>
      <c r="R34" s="2387"/>
      <c r="S34" s="2387"/>
    </row>
    <row r="35" spans="1:23" s="1891" customFormat="1" ht="142.5" customHeight="1">
      <c r="A35" s="2314" t="s">
        <v>16</v>
      </c>
      <c r="B35" s="2257" t="s">
        <v>586</v>
      </c>
      <c r="C35" s="2315">
        <v>1</v>
      </c>
      <c r="D35" s="2316" t="s">
        <v>587</v>
      </c>
      <c r="E35" s="2317" t="s">
        <v>588</v>
      </c>
      <c r="F35" s="2315" t="s">
        <v>589</v>
      </c>
      <c r="G35" s="2318" t="s">
        <v>106</v>
      </c>
      <c r="H35" s="2319" t="s">
        <v>40</v>
      </c>
      <c r="I35" s="2320">
        <v>40244</v>
      </c>
      <c r="J35" s="2388">
        <v>45839</v>
      </c>
      <c r="K35" s="2389">
        <v>3278</v>
      </c>
      <c r="L35" s="2323">
        <v>3564</v>
      </c>
      <c r="M35" s="2324">
        <f>K35+K24+K13+K2</f>
        <v>13288</v>
      </c>
      <c r="N35" s="2325">
        <v>14054</v>
      </c>
      <c r="O35" s="2326"/>
      <c r="P35" s="2233" t="s">
        <v>636</v>
      </c>
      <c r="Q35" s="2234" t="s">
        <v>621</v>
      </c>
      <c r="R35" s="2328" t="s">
        <v>637</v>
      </c>
      <c r="S35" s="2236" t="s">
        <v>162</v>
      </c>
      <c r="T35" s="1890"/>
      <c r="U35" s="1890"/>
      <c r="V35" s="1890"/>
      <c r="W35" s="1890"/>
    </row>
    <row r="36" spans="1:23" s="1891" customFormat="1" ht="34.35" customHeight="1">
      <c r="A36" s="2329" t="s">
        <v>16</v>
      </c>
      <c r="B36" s="2330" t="s">
        <v>586</v>
      </c>
      <c r="C36" s="2331">
        <v>2</v>
      </c>
      <c r="D36" s="2332" t="s">
        <v>593</v>
      </c>
      <c r="E36" s="2331" t="s">
        <v>594</v>
      </c>
      <c r="F36" s="2331" t="s">
        <v>133</v>
      </c>
      <c r="G36" s="2333" t="s">
        <v>106</v>
      </c>
      <c r="H36" s="2334" t="s">
        <v>40</v>
      </c>
      <c r="I36" s="2335">
        <v>-0.02</v>
      </c>
      <c r="J36" s="2160">
        <v>45839</v>
      </c>
      <c r="K36" s="2336"/>
      <c r="L36" s="2337"/>
      <c r="M36" s="2338">
        <v>-6.6679999999999994E-3</v>
      </c>
      <c r="N36" s="2339">
        <v>-6.1899999999999997E-2</v>
      </c>
      <c r="O36" s="2340"/>
      <c r="P36" s="2145" t="s">
        <v>41</v>
      </c>
      <c r="Q36" s="2146" t="s">
        <v>41</v>
      </c>
      <c r="R36" s="2121" t="s">
        <v>41</v>
      </c>
      <c r="S36" s="2121" t="s">
        <v>41</v>
      </c>
      <c r="T36" s="1890"/>
      <c r="U36" s="1890"/>
      <c r="V36" s="1890"/>
      <c r="W36" s="1890"/>
    </row>
    <row r="37" spans="1:23" s="1891" customFormat="1" ht="34.35" customHeight="1">
      <c r="A37" s="2329" t="s">
        <v>16</v>
      </c>
      <c r="B37" s="2330" t="s">
        <v>586</v>
      </c>
      <c r="C37" s="2331">
        <v>3</v>
      </c>
      <c r="D37" s="2332" t="s">
        <v>595</v>
      </c>
      <c r="E37" s="2331" t="s">
        <v>596</v>
      </c>
      <c r="F37" s="2331" t="s">
        <v>133</v>
      </c>
      <c r="G37" s="2333" t="s">
        <v>106</v>
      </c>
      <c r="H37" s="2334" t="s">
        <v>597</v>
      </c>
      <c r="I37" s="2341">
        <v>-7.0000000000000007E-2</v>
      </c>
      <c r="J37" s="2160">
        <v>45839</v>
      </c>
      <c r="K37" s="2342">
        <f>-0.4/100</f>
        <v>-4.0000000000000001E-3</v>
      </c>
      <c r="L37" s="2343">
        <v>-8.8999999999999999E-3</v>
      </c>
      <c r="M37" s="2338">
        <f>M25+K37</f>
        <v>-1.29E-2</v>
      </c>
      <c r="N37" s="2339">
        <v>-1.83E-2</v>
      </c>
      <c r="O37" s="2344"/>
      <c r="P37" s="2145" t="s">
        <v>41</v>
      </c>
      <c r="Q37" s="2146" t="s">
        <v>41</v>
      </c>
      <c r="R37" s="2121" t="s">
        <v>41</v>
      </c>
      <c r="S37" s="2121" t="s">
        <v>41</v>
      </c>
      <c r="T37" s="1890"/>
      <c r="U37" s="1890"/>
      <c r="V37" s="1890"/>
      <c r="W37" s="1890"/>
    </row>
    <row r="38" spans="1:23" s="1891" customFormat="1" ht="34.35" customHeight="1">
      <c r="A38" s="2329" t="s">
        <v>16</v>
      </c>
      <c r="B38" s="2330" t="s">
        <v>586</v>
      </c>
      <c r="C38" s="2331">
        <v>4</v>
      </c>
      <c r="D38" s="2332" t="s">
        <v>595</v>
      </c>
      <c r="E38" s="2331" t="s">
        <v>598</v>
      </c>
      <c r="F38" s="2331" t="s">
        <v>589</v>
      </c>
      <c r="G38" s="2333" t="s">
        <v>106</v>
      </c>
      <c r="H38" s="2334" t="s">
        <v>597</v>
      </c>
      <c r="I38" s="2345">
        <v>-3020</v>
      </c>
      <c r="J38" s="2160">
        <v>45839</v>
      </c>
      <c r="K38" s="2346">
        <v>-165.49</v>
      </c>
      <c r="L38" s="2347">
        <v>-363.44</v>
      </c>
      <c r="M38" s="2348">
        <f>K38+M26</f>
        <v>-531.42000000000007</v>
      </c>
      <c r="N38" s="2349">
        <v>-749.75</v>
      </c>
      <c r="O38" s="2350"/>
      <c r="P38" s="2145" t="s">
        <v>41</v>
      </c>
      <c r="Q38" s="2146" t="s">
        <v>41</v>
      </c>
      <c r="R38" s="2121" t="s">
        <v>41</v>
      </c>
      <c r="S38" s="2121" t="s">
        <v>41</v>
      </c>
      <c r="T38" s="1890"/>
      <c r="U38" s="1890"/>
      <c r="V38" s="1890"/>
      <c r="W38" s="1890"/>
    </row>
    <row r="39" spans="1:23" s="1891" customFormat="1" ht="66.599999999999994" customHeight="1">
      <c r="A39" s="2329" t="s">
        <v>16</v>
      </c>
      <c r="B39" s="2330" t="s">
        <v>586</v>
      </c>
      <c r="C39" s="2331">
        <v>5</v>
      </c>
      <c r="D39" s="2351" t="s">
        <v>599</v>
      </c>
      <c r="E39" s="2331">
        <v>39</v>
      </c>
      <c r="F39" s="2331" t="s">
        <v>288</v>
      </c>
      <c r="G39" s="2333" t="s">
        <v>106</v>
      </c>
      <c r="H39" s="2334" t="s">
        <v>40</v>
      </c>
      <c r="I39" s="2352">
        <v>39</v>
      </c>
      <c r="J39" s="2160">
        <v>45839</v>
      </c>
      <c r="K39" s="2353">
        <v>4</v>
      </c>
      <c r="L39" s="2354">
        <v>1</v>
      </c>
      <c r="M39" s="2355">
        <f>K39+K27+K17+K6</f>
        <v>16</v>
      </c>
      <c r="N39" s="2356">
        <v>6</v>
      </c>
      <c r="O39" s="2357"/>
      <c r="P39" s="2240" t="s">
        <v>623</v>
      </c>
      <c r="Q39" s="2241" t="s">
        <v>624</v>
      </c>
      <c r="R39" s="2121" t="s">
        <v>182</v>
      </c>
      <c r="S39" s="2121" t="s">
        <v>162</v>
      </c>
      <c r="T39" s="1890"/>
      <c r="U39" s="1890"/>
      <c r="V39" s="1890"/>
      <c r="W39" s="1890"/>
    </row>
    <row r="40" spans="1:23" s="1891" customFormat="1" ht="100.35" customHeight="1">
      <c r="A40" s="2329" t="s">
        <v>16</v>
      </c>
      <c r="B40" s="2358" t="s">
        <v>586</v>
      </c>
      <c r="C40" s="2331">
        <v>6</v>
      </c>
      <c r="D40" s="2351" t="s">
        <v>601</v>
      </c>
      <c r="E40" s="2352" t="s">
        <v>602</v>
      </c>
      <c r="F40" s="2331" t="s">
        <v>136</v>
      </c>
      <c r="G40" s="2333" t="s">
        <v>106</v>
      </c>
      <c r="H40" s="2334" t="s">
        <v>40</v>
      </c>
      <c r="I40" s="2345">
        <v>251.99</v>
      </c>
      <c r="J40" s="2160">
        <v>45839</v>
      </c>
      <c r="K40" s="2292">
        <v>20.617999999999999</v>
      </c>
      <c r="L40" s="2359">
        <v>22.053000000000001</v>
      </c>
      <c r="M40" s="2360">
        <f>K40+K28+K18+K7</f>
        <v>80.67</v>
      </c>
      <c r="N40" s="2361">
        <v>87.614000000000004</v>
      </c>
      <c r="O40" s="2362"/>
      <c r="P40" s="2240" t="s">
        <v>638</v>
      </c>
      <c r="Q40" s="2242" t="s">
        <v>626</v>
      </c>
      <c r="R40" s="2363" t="s">
        <v>639</v>
      </c>
      <c r="S40" s="2121" t="s">
        <v>162</v>
      </c>
      <c r="T40" s="1890"/>
      <c r="U40" s="1890"/>
      <c r="V40" s="1890"/>
      <c r="W40" s="1890"/>
    </row>
    <row r="41" spans="1:23" s="1891" customFormat="1" ht="34.35" customHeight="1">
      <c r="A41" s="2329" t="s">
        <v>16</v>
      </c>
      <c r="B41" s="2364" t="s">
        <v>604</v>
      </c>
      <c r="C41" s="2331">
        <v>7</v>
      </c>
      <c r="D41" s="2351" t="s">
        <v>605</v>
      </c>
      <c r="E41" s="2352" t="s">
        <v>606</v>
      </c>
      <c r="F41" s="2331" t="s">
        <v>607</v>
      </c>
      <c r="G41" s="2333" t="s">
        <v>106</v>
      </c>
      <c r="H41" s="2334" t="s">
        <v>40</v>
      </c>
      <c r="I41" s="2345">
        <v>292915</v>
      </c>
      <c r="J41" s="2160">
        <v>45839</v>
      </c>
      <c r="K41" s="2353">
        <v>24193</v>
      </c>
      <c r="L41" s="2354">
        <v>21452</v>
      </c>
      <c r="M41" s="2355">
        <f>K41+M30</f>
        <v>96488</v>
      </c>
      <c r="N41" s="2356">
        <v>86530</v>
      </c>
      <c r="O41" s="2357"/>
      <c r="P41" s="2145"/>
      <c r="Q41" s="2146"/>
      <c r="R41" s="2121"/>
      <c r="S41" s="2121"/>
      <c r="T41" s="1890"/>
      <c r="U41" s="1890"/>
      <c r="V41" s="1890"/>
      <c r="W41" s="1890"/>
    </row>
    <row r="42" spans="1:23" s="1891" customFormat="1" ht="34.35" customHeight="1">
      <c r="A42" s="2329" t="s">
        <v>16</v>
      </c>
      <c r="B42" s="2330" t="s">
        <v>604</v>
      </c>
      <c r="C42" s="2331">
        <v>8</v>
      </c>
      <c r="D42" s="2332" t="s">
        <v>608</v>
      </c>
      <c r="E42" s="2304" t="s">
        <v>609</v>
      </c>
      <c r="F42" s="2331" t="s">
        <v>133</v>
      </c>
      <c r="G42" s="2333" t="s">
        <v>106</v>
      </c>
      <c r="H42" s="2334" t="s">
        <v>610</v>
      </c>
      <c r="I42" s="2341">
        <v>-0.01</v>
      </c>
      <c r="J42" s="2161">
        <v>45839</v>
      </c>
      <c r="K42" s="2390"/>
      <c r="L42" s="2366"/>
      <c r="M42" s="2367">
        <v>-3.3319999999999999E-3</v>
      </c>
      <c r="N42" s="2339">
        <v>-0.16</v>
      </c>
      <c r="O42" s="2340"/>
      <c r="P42" s="2145"/>
      <c r="Q42" s="2146"/>
      <c r="R42" s="2121"/>
      <c r="S42" s="2121"/>
      <c r="T42" s="1890"/>
      <c r="U42" s="1890"/>
      <c r="V42" s="1890"/>
      <c r="W42" s="1890"/>
    </row>
    <row r="43" spans="1:23" s="1891" customFormat="1" ht="34.35" customHeight="1">
      <c r="A43" s="2329" t="s">
        <v>16</v>
      </c>
      <c r="B43" s="2358" t="s">
        <v>604</v>
      </c>
      <c r="C43" s="2331">
        <v>9</v>
      </c>
      <c r="D43" s="2351" t="s">
        <v>611</v>
      </c>
      <c r="E43" s="2352" t="s">
        <v>612</v>
      </c>
      <c r="F43" s="2331" t="s">
        <v>136</v>
      </c>
      <c r="G43" s="2333" t="s">
        <v>106</v>
      </c>
      <c r="H43" s="2334" t="s">
        <v>40</v>
      </c>
      <c r="I43" s="2368">
        <v>8.84</v>
      </c>
      <c r="J43" s="2160">
        <v>45839</v>
      </c>
      <c r="K43" s="2306">
        <f>722887/1000000</f>
        <v>0.72288699999999995</v>
      </c>
      <c r="L43" s="2308">
        <f>(950+527768+198731.33)/1000000</f>
        <v>0.72744933000000001</v>
      </c>
      <c r="M43" s="2369">
        <f>M32+K43</f>
        <v>3.0802360000000002</v>
      </c>
      <c r="N43" s="2370">
        <v>2.93</v>
      </c>
      <c r="O43" s="2371"/>
      <c r="P43" s="2145" t="s">
        <v>640</v>
      </c>
      <c r="Q43" s="2146"/>
      <c r="R43" s="2121"/>
      <c r="S43" s="2121"/>
      <c r="T43" s="1890"/>
      <c r="U43" s="1890"/>
      <c r="V43" s="1890"/>
      <c r="W43" s="1890"/>
    </row>
    <row r="44" spans="1:23" ht="34.35" customHeight="1">
      <c r="A44" s="2329" t="s">
        <v>16</v>
      </c>
      <c r="B44" s="2364" t="s">
        <v>613</v>
      </c>
      <c r="C44" s="2331">
        <v>10</v>
      </c>
      <c r="D44" s="2332" t="s">
        <v>614</v>
      </c>
      <c r="E44" s="2304" t="s">
        <v>615</v>
      </c>
      <c r="F44" s="2331" t="s">
        <v>616</v>
      </c>
      <c r="G44" s="2333" t="s">
        <v>39</v>
      </c>
      <c r="H44" s="2334" t="s">
        <v>285</v>
      </c>
      <c r="I44" s="2305">
        <v>0.192</v>
      </c>
      <c r="J44" s="2160">
        <v>45839</v>
      </c>
      <c r="K44" s="2306">
        <v>0.19350000000000001</v>
      </c>
      <c r="L44" s="2308">
        <v>0.1797</v>
      </c>
      <c r="M44" s="2373">
        <v>0.19350000000000001</v>
      </c>
      <c r="N44" s="2308">
        <v>0.17050000000000001</v>
      </c>
      <c r="O44" s="2374">
        <v>0.17380000000000001</v>
      </c>
      <c r="P44" s="2145"/>
      <c r="Q44" s="2146"/>
      <c r="R44" s="2121"/>
      <c r="S44" s="2121"/>
    </row>
    <row r="45" spans="1:23" ht="55.35" customHeight="1">
      <c r="A45" s="2375" t="s">
        <v>16</v>
      </c>
      <c r="B45" s="2376" t="s">
        <v>613</v>
      </c>
      <c r="C45" s="2377">
        <v>11</v>
      </c>
      <c r="D45" s="2378" t="s">
        <v>617</v>
      </c>
      <c r="E45" s="2379" t="s">
        <v>618</v>
      </c>
      <c r="F45" s="2377" t="s">
        <v>619</v>
      </c>
      <c r="G45" s="2380" t="s">
        <v>39</v>
      </c>
      <c r="H45" s="2381" t="s">
        <v>285</v>
      </c>
      <c r="I45" s="2310">
        <v>3298</v>
      </c>
      <c r="J45" s="2229">
        <v>45839</v>
      </c>
      <c r="K45" s="2311">
        <v>272</v>
      </c>
      <c r="L45" s="2382">
        <v>274.16000000000003</v>
      </c>
      <c r="M45" s="2383">
        <f>M34+K45</f>
        <v>1083</v>
      </c>
      <c r="N45" s="2313">
        <f>N34+L45</f>
        <v>1027.76</v>
      </c>
      <c r="O45" s="2384">
        <v>257.66000000000003</v>
      </c>
      <c r="P45" s="2385" t="s">
        <v>641</v>
      </c>
      <c r="Q45" s="2386" t="s">
        <v>642</v>
      </c>
      <c r="R45" s="2387"/>
      <c r="S45" s="2387" t="s">
        <v>63</v>
      </c>
    </row>
    <row r="46" spans="1:23" s="1891" customFormat="1" ht="34.35" customHeight="1">
      <c r="A46" s="2314" t="s">
        <v>16</v>
      </c>
      <c r="B46" s="2257" t="s">
        <v>586</v>
      </c>
      <c r="C46" s="2315">
        <v>1</v>
      </c>
      <c r="D46" s="2316" t="s">
        <v>587</v>
      </c>
      <c r="E46" s="2317" t="s">
        <v>588</v>
      </c>
      <c r="F46" s="2315" t="s">
        <v>589</v>
      </c>
      <c r="G46" s="2318" t="s">
        <v>106</v>
      </c>
      <c r="H46" s="2319" t="s">
        <v>40</v>
      </c>
      <c r="I46" s="2320">
        <v>40244</v>
      </c>
      <c r="J46" s="2388">
        <v>45870</v>
      </c>
      <c r="K46" s="2389">
        <v>3527</v>
      </c>
      <c r="L46" s="2323">
        <v>3626</v>
      </c>
      <c r="M46" s="2324">
        <f>K46+K35+K24+K13+K2</f>
        <v>16815</v>
      </c>
      <c r="N46" s="2325">
        <v>17680</v>
      </c>
      <c r="O46" s="2326"/>
      <c r="P46" s="2233" t="s">
        <v>643</v>
      </c>
      <c r="Q46" s="2234" t="s">
        <v>621</v>
      </c>
      <c r="R46" s="2328" t="s">
        <v>644</v>
      </c>
      <c r="S46" s="2236" t="s">
        <v>645</v>
      </c>
      <c r="T46" s="1890"/>
      <c r="U46" s="1890"/>
      <c r="V46" s="1890"/>
      <c r="W46" s="1890"/>
    </row>
    <row r="47" spans="1:23" s="1891" customFormat="1" ht="34.35" customHeight="1">
      <c r="A47" s="2329" t="s">
        <v>16</v>
      </c>
      <c r="B47" s="2330" t="s">
        <v>586</v>
      </c>
      <c r="C47" s="2331">
        <v>2</v>
      </c>
      <c r="D47" s="2332" t="s">
        <v>593</v>
      </c>
      <c r="E47" s="2331" t="s">
        <v>594</v>
      </c>
      <c r="F47" s="2331" t="s">
        <v>133</v>
      </c>
      <c r="G47" s="2333" t="s">
        <v>106</v>
      </c>
      <c r="H47" s="2334" t="s">
        <v>40</v>
      </c>
      <c r="I47" s="2335">
        <v>-0.02</v>
      </c>
      <c r="J47" s="2160">
        <v>45870</v>
      </c>
      <c r="K47" s="2336"/>
      <c r="L47" s="2337"/>
      <c r="M47" s="2338">
        <v>-8.3349999999999987E-3</v>
      </c>
      <c r="N47" s="2339">
        <v>-5.0299999999999997E-2</v>
      </c>
      <c r="O47" s="2340"/>
      <c r="P47" s="2145"/>
      <c r="Q47" s="2146"/>
      <c r="R47" s="2121"/>
      <c r="S47" s="2121"/>
      <c r="T47" s="1890"/>
      <c r="U47" s="1890"/>
      <c r="V47" s="1890"/>
      <c r="W47" s="1890"/>
    </row>
    <row r="48" spans="1:23" s="1891" customFormat="1" ht="34.35" customHeight="1">
      <c r="A48" s="2329" t="s">
        <v>16</v>
      </c>
      <c r="B48" s="2330" t="s">
        <v>586</v>
      </c>
      <c r="C48" s="2331">
        <v>3</v>
      </c>
      <c r="D48" s="2332" t="s">
        <v>595</v>
      </c>
      <c r="E48" s="2331" t="s">
        <v>596</v>
      </c>
      <c r="F48" s="2331" t="s">
        <v>133</v>
      </c>
      <c r="G48" s="2333" t="s">
        <v>106</v>
      </c>
      <c r="H48" s="2334" t="s">
        <v>597</v>
      </c>
      <c r="I48" s="2341">
        <v>-7.0000000000000007E-2</v>
      </c>
      <c r="J48" s="2160">
        <v>45870</v>
      </c>
      <c r="K48" s="2342">
        <f>-0.44/100</f>
        <v>-4.4000000000000003E-3</v>
      </c>
      <c r="L48" s="2343">
        <v>-4.7000000000000002E-3</v>
      </c>
      <c r="M48" s="2338">
        <f>M37+K48</f>
        <v>-1.7299999999999999E-2</v>
      </c>
      <c r="N48" s="2339">
        <v>-1.8499999999999999E-2</v>
      </c>
      <c r="O48" s="2344"/>
      <c r="P48" s="2145"/>
      <c r="Q48" s="2146"/>
      <c r="R48" s="2121"/>
      <c r="S48" s="2121"/>
      <c r="T48" s="1890"/>
      <c r="U48" s="1890"/>
      <c r="V48" s="1890"/>
      <c r="W48" s="1890"/>
    </row>
    <row r="49" spans="1:41" s="1891" customFormat="1" ht="34.35" customHeight="1">
      <c r="A49" s="2329" t="s">
        <v>16</v>
      </c>
      <c r="B49" s="2330" t="s">
        <v>586</v>
      </c>
      <c r="C49" s="2331">
        <v>4</v>
      </c>
      <c r="D49" s="2332" t="s">
        <v>595</v>
      </c>
      <c r="E49" s="2331" t="s">
        <v>598</v>
      </c>
      <c r="F49" s="2331" t="s">
        <v>589</v>
      </c>
      <c r="G49" s="2333" t="s">
        <v>106</v>
      </c>
      <c r="H49" s="2334" t="s">
        <v>597</v>
      </c>
      <c r="I49" s="2345">
        <v>-3020</v>
      </c>
      <c r="J49" s="2160">
        <v>45870</v>
      </c>
      <c r="K49" s="2346">
        <v>-180.03</v>
      </c>
      <c r="L49" s="2347">
        <v>-191.15</v>
      </c>
      <c r="M49" s="2348">
        <f>K49+M38</f>
        <v>-711.45</v>
      </c>
      <c r="N49" s="2349">
        <v>-756.97</v>
      </c>
      <c r="O49" s="2350"/>
      <c r="P49" s="2145"/>
      <c r="Q49" s="2146"/>
      <c r="R49" s="2121"/>
      <c r="S49" s="2121"/>
      <c r="T49" s="1890"/>
      <c r="U49" s="1890"/>
      <c r="V49" s="1890"/>
      <c r="W49" s="1890"/>
    </row>
    <row r="50" spans="1:41" s="1891" customFormat="1" ht="34.35" customHeight="1">
      <c r="A50" s="2329" t="s">
        <v>16</v>
      </c>
      <c r="B50" s="2330" t="s">
        <v>586</v>
      </c>
      <c r="C50" s="2331">
        <v>5</v>
      </c>
      <c r="D50" s="2351" t="s">
        <v>599</v>
      </c>
      <c r="E50" s="2331">
        <v>39</v>
      </c>
      <c r="F50" s="2331" t="s">
        <v>288</v>
      </c>
      <c r="G50" s="2333" t="s">
        <v>106</v>
      </c>
      <c r="H50" s="2334" t="s">
        <v>40</v>
      </c>
      <c r="I50" s="2352">
        <v>39</v>
      </c>
      <c r="J50" s="2160">
        <v>45870</v>
      </c>
      <c r="K50" s="2353">
        <v>2</v>
      </c>
      <c r="L50" s="2354">
        <v>0</v>
      </c>
      <c r="M50" s="2355">
        <f>K50+K39+K27+K17+K6</f>
        <v>18</v>
      </c>
      <c r="N50" s="2356">
        <v>6</v>
      </c>
      <c r="O50" s="2357"/>
      <c r="P50" s="2240" t="s">
        <v>623</v>
      </c>
      <c r="Q50" s="2241" t="s">
        <v>624</v>
      </c>
      <c r="R50" s="2121" t="s">
        <v>182</v>
      </c>
      <c r="S50" s="2121"/>
      <c r="T50" s="1890"/>
      <c r="U50" s="1890"/>
      <c r="V50" s="1890"/>
      <c r="W50" s="1890"/>
    </row>
    <row r="51" spans="1:41" s="1891" customFormat="1" ht="86.1" customHeight="1">
      <c r="A51" s="2329" t="s">
        <v>16</v>
      </c>
      <c r="B51" s="2358" t="s">
        <v>586</v>
      </c>
      <c r="C51" s="2331">
        <v>6</v>
      </c>
      <c r="D51" s="2351" t="s">
        <v>601</v>
      </c>
      <c r="E51" s="2352" t="s">
        <v>602</v>
      </c>
      <c r="F51" s="2331" t="s">
        <v>136</v>
      </c>
      <c r="G51" s="2333" t="s">
        <v>106</v>
      </c>
      <c r="H51" s="2334" t="s">
        <v>40</v>
      </c>
      <c r="I51" s="2345">
        <v>251.99</v>
      </c>
      <c r="J51" s="2161">
        <v>45870</v>
      </c>
      <c r="K51" s="2391">
        <v>21.396999999999998</v>
      </c>
      <c r="L51" s="2359">
        <v>22.672999999999998</v>
      </c>
      <c r="M51" s="2360">
        <f>K51+K40+K28+K18+K7</f>
        <v>102.06700000000001</v>
      </c>
      <c r="N51" s="2361">
        <v>110.322</v>
      </c>
      <c r="O51" s="2362"/>
      <c r="P51" s="2240" t="s">
        <v>646</v>
      </c>
      <c r="Q51" s="2242" t="s">
        <v>626</v>
      </c>
      <c r="R51" s="2363" t="s">
        <v>639</v>
      </c>
      <c r="S51" s="2121" t="s">
        <v>645</v>
      </c>
      <c r="T51" s="1890"/>
      <c r="U51" s="1890"/>
      <c r="V51" s="1890"/>
      <c r="W51" s="1890"/>
    </row>
    <row r="52" spans="1:41" s="1891" customFormat="1" ht="34.35" customHeight="1">
      <c r="A52" s="2329" t="s">
        <v>16</v>
      </c>
      <c r="B52" s="2364" t="s">
        <v>604</v>
      </c>
      <c r="C52" s="2331">
        <v>7</v>
      </c>
      <c r="D52" s="2351" t="s">
        <v>605</v>
      </c>
      <c r="E52" s="2352" t="s">
        <v>606</v>
      </c>
      <c r="F52" s="2331" t="s">
        <v>607</v>
      </c>
      <c r="G52" s="2333" t="s">
        <v>106</v>
      </c>
      <c r="H52" s="2334" t="s">
        <v>40</v>
      </c>
      <c r="I52" s="2345">
        <v>292915</v>
      </c>
      <c r="J52" s="2160">
        <v>45870</v>
      </c>
      <c r="K52" s="2353">
        <v>25498</v>
      </c>
      <c r="L52" s="2354">
        <v>22764</v>
      </c>
      <c r="M52" s="2355">
        <f>K52+M41</f>
        <v>121986</v>
      </c>
      <c r="N52" s="2356">
        <v>109294</v>
      </c>
      <c r="O52" s="2357"/>
      <c r="P52" s="2145"/>
      <c r="Q52" s="2146"/>
      <c r="R52" s="2121"/>
      <c r="S52" s="2121"/>
      <c r="T52" s="1890"/>
      <c r="U52" s="1890"/>
      <c r="V52" s="1890"/>
      <c r="W52" s="1890"/>
    </row>
    <row r="53" spans="1:41" s="1891" customFormat="1" ht="34.35" customHeight="1">
      <c r="A53" s="2329" t="s">
        <v>16</v>
      </c>
      <c r="B53" s="2330" t="s">
        <v>604</v>
      </c>
      <c r="C53" s="2331">
        <v>8</v>
      </c>
      <c r="D53" s="2332" t="s">
        <v>608</v>
      </c>
      <c r="E53" s="2304" t="s">
        <v>609</v>
      </c>
      <c r="F53" s="2331" t="s">
        <v>133</v>
      </c>
      <c r="G53" s="2333" t="s">
        <v>106</v>
      </c>
      <c r="H53" s="2334" t="s">
        <v>610</v>
      </c>
      <c r="I53" s="2341">
        <v>-0.01</v>
      </c>
      <c r="J53" s="2160">
        <v>45870</v>
      </c>
      <c r="K53" s="2365"/>
      <c r="L53" s="2366"/>
      <c r="M53" s="2367">
        <v>-4.1650000000000003E-3</v>
      </c>
      <c r="N53" s="2339">
        <v>-0.14610000000000001</v>
      </c>
      <c r="O53" s="2340"/>
      <c r="P53" s="2145"/>
      <c r="Q53" s="2146"/>
      <c r="R53" s="2121"/>
      <c r="S53" s="2121"/>
      <c r="T53" s="1890"/>
      <c r="U53" s="1890"/>
      <c r="V53" s="1890"/>
      <c r="W53" s="1890"/>
    </row>
    <row r="54" spans="1:41" s="1891" customFormat="1" ht="34.35" customHeight="1">
      <c r="A54" s="2329" t="s">
        <v>16</v>
      </c>
      <c r="B54" s="2358" t="s">
        <v>604</v>
      </c>
      <c r="C54" s="2331">
        <v>9</v>
      </c>
      <c r="D54" s="2351" t="s">
        <v>611</v>
      </c>
      <c r="E54" s="2352" t="s">
        <v>612</v>
      </c>
      <c r="F54" s="2331" t="s">
        <v>136</v>
      </c>
      <c r="G54" s="2333" t="s">
        <v>106</v>
      </c>
      <c r="H54" s="2334" t="s">
        <v>40</v>
      </c>
      <c r="I54" s="2368">
        <v>8.84</v>
      </c>
      <c r="J54" s="2160">
        <v>45870</v>
      </c>
      <c r="K54" s="2306">
        <f>666368/1000000</f>
        <v>0.66636799999999996</v>
      </c>
      <c r="L54" s="2308">
        <v>0.78</v>
      </c>
      <c r="M54" s="2369">
        <f>M43+K54</f>
        <v>3.746604</v>
      </c>
      <c r="N54" s="2370">
        <v>3.7</v>
      </c>
      <c r="O54" s="2371"/>
      <c r="P54" s="2145" t="s">
        <v>647</v>
      </c>
      <c r="Q54" s="2146" t="s">
        <v>648</v>
      </c>
      <c r="R54" s="2121" t="s">
        <v>649</v>
      </c>
      <c r="S54" s="2121" t="s">
        <v>166</v>
      </c>
      <c r="T54" s="1890"/>
      <c r="U54" s="1890"/>
      <c r="V54" s="1890"/>
      <c r="W54" s="1890"/>
    </row>
    <row r="55" spans="1:41" ht="34.35" customHeight="1">
      <c r="A55" s="2329" t="s">
        <v>16</v>
      </c>
      <c r="B55" s="2364" t="s">
        <v>613</v>
      </c>
      <c r="C55" s="2331">
        <v>10</v>
      </c>
      <c r="D55" s="2332" t="s">
        <v>614</v>
      </c>
      <c r="E55" s="2304" t="s">
        <v>615</v>
      </c>
      <c r="F55" s="2331" t="s">
        <v>616</v>
      </c>
      <c r="G55" s="2333" t="s">
        <v>39</v>
      </c>
      <c r="H55" s="2334" t="s">
        <v>285</v>
      </c>
      <c r="I55" s="2305">
        <v>0.192</v>
      </c>
      <c r="J55" s="2160">
        <v>45870</v>
      </c>
      <c r="K55" s="2306">
        <v>0.1933</v>
      </c>
      <c r="L55" s="2308">
        <v>0.18679999999999999</v>
      </c>
      <c r="M55" s="2373">
        <v>0.1933</v>
      </c>
      <c r="N55" s="2308">
        <v>0.1739</v>
      </c>
      <c r="O55" s="2374">
        <v>0.1739</v>
      </c>
      <c r="P55" s="2145"/>
      <c r="Q55" s="2146"/>
      <c r="R55" s="2121"/>
      <c r="S55" s="2121"/>
    </row>
    <row r="56" spans="1:41" ht="25.5" customHeight="1">
      <c r="A56" s="2375" t="s">
        <v>16</v>
      </c>
      <c r="B56" s="2376" t="s">
        <v>613</v>
      </c>
      <c r="C56" s="2377">
        <v>11</v>
      </c>
      <c r="D56" s="2378" t="s">
        <v>617</v>
      </c>
      <c r="E56" s="2379" t="s">
        <v>618</v>
      </c>
      <c r="F56" s="2377" t="s">
        <v>619</v>
      </c>
      <c r="G56" s="2380" t="s">
        <v>39</v>
      </c>
      <c r="H56" s="2381" t="s">
        <v>285</v>
      </c>
      <c r="I56" s="2310">
        <v>3298</v>
      </c>
      <c r="J56" s="2229">
        <v>45870</v>
      </c>
      <c r="K56" s="2311">
        <v>287</v>
      </c>
      <c r="L56" s="2382">
        <v>271.08</v>
      </c>
      <c r="M56" s="2383">
        <f>M45+K56</f>
        <v>1370</v>
      </c>
      <c r="N56" s="2313">
        <f>N45+L56</f>
        <v>1298.8399999999999</v>
      </c>
      <c r="O56" s="2384">
        <v>276.32</v>
      </c>
      <c r="P56" s="2385"/>
      <c r="Q56" s="2386"/>
      <c r="R56" s="2387"/>
      <c r="S56" s="2387"/>
    </row>
    <row r="57" spans="1:41" s="1891" customFormat="1" ht="34.35" customHeight="1">
      <c r="A57" s="2314" t="s">
        <v>16</v>
      </c>
      <c r="B57" s="2257" t="s">
        <v>586</v>
      </c>
      <c r="C57" s="2315">
        <v>1</v>
      </c>
      <c r="D57" s="2316" t="s">
        <v>587</v>
      </c>
      <c r="E57" s="2317" t="s">
        <v>588</v>
      </c>
      <c r="F57" s="2315" t="s">
        <v>589</v>
      </c>
      <c r="G57" s="2318" t="s">
        <v>106</v>
      </c>
      <c r="H57" s="2319" t="s">
        <v>40</v>
      </c>
      <c r="I57" s="2320">
        <v>40244</v>
      </c>
      <c r="J57" s="2388">
        <v>45901</v>
      </c>
      <c r="K57" s="2389">
        <v>3713</v>
      </c>
      <c r="L57" s="2323">
        <v>3477</v>
      </c>
      <c r="M57" s="2324">
        <f>K57+K46+K35+K24+K13+K2</f>
        <v>20528</v>
      </c>
      <c r="N57" s="2325">
        <v>21157</v>
      </c>
      <c r="O57" s="2326" t="s">
        <v>41</v>
      </c>
      <c r="P57" s="2233" t="s">
        <v>41</v>
      </c>
      <c r="Q57" s="2234" t="s">
        <v>41</v>
      </c>
      <c r="R57" s="2328" t="s">
        <v>41</v>
      </c>
      <c r="S57" s="2236" t="s">
        <v>41</v>
      </c>
      <c r="T57" s="1890"/>
      <c r="U57" s="1890"/>
      <c r="V57" s="1890"/>
      <c r="W57" s="1890"/>
    </row>
    <row r="58" spans="1:41" s="1891" customFormat="1" ht="34.35" customHeight="1">
      <c r="A58" s="2329" t="s">
        <v>16</v>
      </c>
      <c r="B58" s="2330" t="s">
        <v>586</v>
      </c>
      <c r="C58" s="2331">
        <v>2</v>
      </c>
      <c r="D58" s="2332" t="s">
        <v>593</v>
      </c>
      <c r="E58" s="2331" t="s">
        <v>594</v>
      </c>
      <c r="F58" s="2331" t="s">
        <v>133</v>
      </c>
      <c r="G58" s="2333" t="s">
        <v>106</v>
      </c>
      <c r="H58" s="2334" t="s">
        <v>40</v>
      </c>
      <c r="I58" s="2335">
        <v>-0.02</v>
      </c>
      <c r="J58" s="2160">
        <v>45901</v>
      </c>
      <c r="K58" s="2336"/>
      <c r="L58" s="2337"/>
      <c r="M58" s="2338">
        <v>-1.0001999999999999E-2</v>
      </c>
      <c r="N58" s="2339">
        <v>-6.8400000000000002E-2</v>
      </c>
      <c r="O58" s="2397" t="s">
        <v>41</v>
      </c>
      <c r="P58" s="2145" t="s">
        <v>41</v>
      </c>
      <c r="Q58" s="2146" t="s">
        <v>41</v>
      </c>
      <c r="R58" s="2121" t="s">
        <v>41</v>
      </c>
      <c r="S58" s="2121" t="s">
        <v>41</v>
      </c>
      <c r="T58" s="1890"/>
      <c r="U58" s="1890"/>
      <c r="V58" s="1890"/>
      <c r="W58" s="1890"/>
    </row>
    <row r="59" spans="1:41" s="1891" customFormat="1" ht="34.35" customHeight="1">
      <c r="A59" s="2329" t="s">
        <v>16</v>
      </c>
      <c r="B59" s="2330" t="s">
        <v>586</v>
      </c>
      <c r="C59" s="2331">
        <v>3</v>
      </c>
      <c r="D59" s="2332" t="s">
        <v>595</v>
      </c>
      <c r="E59" s="2331" t="s">
        <v>596</v>
      </c>
      <c r="F59" s="2331" t="s">
        <v>133</v>
      </c>
      <c r="G59" s="2333" t="s">
        <v>106</v>
      </c>
      <c r="H59" s="2334" t="s">
        <v>597</v>
      </c>
      <c r="I59" s="2341">
        <v>-7.0000000000000007E-2</v>
      </c>
      <c r="J59" s="2160">
        <v>45901</v>
      </c>
      <c r="K59" s="2342">
        <f>-0.58/100</f>
        <v>-5.7999999999999996E-3</v>
      </c>
      <c r="L59" s="2343">
        <v>-1.43E-2</v>
      </c>
      <c r="M59" s="2338">
        <f>M48+K59</f>
        <v>-2.3099999999999999E-2</v>
      </c>
      <c r="N59" s="2339">
        <v>-3.2800000000000003E-2</v>
      </c>
      <c r="O59" s="2344" t="s">
        <v>41</v>
      </c>
      <c r="P59" s="2145" t="s">
        <v>41</v>
      </c>
      <c r="Q59" s="2146" t="s">
        <v>41</v>
      </c>
      <c r="R59" s="2121" t="s">
        <v>41</v>
      </c>
      <c r="S59" s="2121" t="s">
        <v>41</v>
      </c>
      <c r="T59" s="1890"/>
      <c r="U59" s="1890"/>
      <c r="V59" s="1890"/>
      <c r="W59" s="1890"/>
    </row>
    <row r="60" spans="1:41" s="1891" customFormat="1" ht="34.35" customHeight="1">
      <c r="A60" s="2329" t="s">
        <v>16</v>
      </c>
      <c r="B60" s="2330" t="s">
        <v>586</v>
      </c>
      <c r="C60" s="2331">
        <v>4</v>
      </c>
      <c r="D60" s="2332" t="s">
        <v>595</v>
      </c>
      <c r="E60" s="2331" t="s">
        <v>598</v>
      </c>
      <c r="F60" s="2331" t="s">
        <v>589</v>
      </c>
      <c r="G60" s="2333" t="s">
        <v>106</v>
      </c>
      <c r="H60" s="2334" t="s">
        <v>597</v>
      </c>
      <c r="I60" s="2345">
        <v>-3020</v>
      </c>
      <c r="J60" s="2161">
        <v>45901</v>
      </c>
      <c r="K60" s="2392">
        <v>-238.97</v>
      </c>
      <c r="L60" s="2347">
        <v>-248.52</v>
      </c>
      <c r="M60" s="2348">
        <f>K60+M49</f>
        <v>-950.42000000000007</v>
      </c>
      <c r="N60" s="2349">
        <v>-1005.4</v>
      </c>
      <c r="O60" s="2350" t="s">
        <v>41</v>
      </c>
      <c r="P60" s="2145" t="s">
        <v>41</v>
      </c>
      <c r="Q60" s="2146" t="s">
        <v>41</v>
      </c>
      <c r="R60" s="2121" t="s">
        <v>41</v>
      </c>
      <c r="S60" s="2121" t="s">
        <v>41</v>
      </c>
      <c r="T60" s="1890"/>
      <c r="U60" s="1890"/>
      <c r="V60" s="1890"/>
      <c r="W60" s="1890"/>
    </row>
    <row r="61" spans="1:41" s="1891" customFormat="1" ht="34.35" customHeight="1">
      <c r="A61" s="2329" t="s">
        <v>16</v>
      </c>
      <c r="B61" s="2330" t="s">
        <v>586</v>
      </c>
      <c r="C61" s="2331">
        <v>5</v>
      </c>
      <c r="D61" s="2351" t="s">
        <v>599</v>
      </c>
      <c r="E61" s="2331">
        <v>39</v>
      </c>
      <c r="F61" s="2331" t="s">
        <v>288</v>
      </c>
      <c r="G61" s="2333" t="s">
        <v>106</v>
      </c>
      <c r="H61" s="2334" t="s">
        <v>40</v>
      </c>
      <c r="I61" s="2352">
        <v>39</v>
      </c>
      <c r="J61" s="2160">
        <v>45901</v>
      </c>
      <c r="K61" s="2353">
        <v>2</v>
      </c>
      <c r="L61" s="2354">
        <v>0</v>
      </c>
      <c r="M61" s="2355">
        <f>K61+K50+K39+K27+K17+K6</f>
        <v>20</v>
      </c>
      <c r="N61" s="2356">
        <v>6</v>
      </c>
      <c r="O61" s="2357" t="s">
        <v>41</v>
      </c>
      <c r="P61" s="2240" t="s">
        <v>623</v>
      </c>
      <c r="Q61" s="2241" t="s">
        <v>624</v>
      </c>
      <c r="R61" s="2121" t="s">
        <v>182</v>
      </c>
      <c r="S61" s="2121" t="s">
        <v>41</v>
      </c>
      <c r="T61" s="1890"/>
      <c r="U61" s="1890"/>
      <c r="V61" s="1890"/>
      <c r="W61" s="1890"/>
    </row>
    <row r="62" spans="1:41" s="1891" customFormat="1" ht="34.35" customHeight="1">
      <c r="A62" s="2329" t="s">
        <v>16</v>
      </c>
      <c r="B62" s="2358" t="s">
        <v>586</v>
      </c>
      <c r="C62" s="2331">
        <v>6</v>
      </c>
      <c r="D62" s="2351" t="s">
        <v>601</v>
      </c>
      <c r="E62" s="2352" t="s">
        <v>602</v>
      </c>
      <c r="F62" s="2331" t="s">
        <v>136</v>
      </c>
      <c r="G62" s="2333" t="s">
        <v>106</v>
      </c>
      <c r="H62" s="2334" t="s">
        <v>40</v>
      </c>
      <c r="I62" s="2345">
        <v>251.99</v>
      </c>
      <c r="J62" s="2160">
        <v>45901</v>
      </c>
      <c r="K62" s="2292">
        <v>22.747</v>
      </c>
      <c r="L62" s="2359">
        <v>21.32</v>
      </c>
      <c r="M62" s="2360">
        <f>K62+K51+K40+K28+K18+K7</f>
        <v>124.81399999999999</v>
      </c>
      <c r="N62" s="2361">
        <v>131.63999999999999</v>
      </c>
      <c r="O62" s="2362" t="s">
        <v>41</v>
      </c>
      <c r="P62" s="2240" t="s">
        <v>41</v>
      </c>
      <c r="Q62" s="2242" t="s">
        <v>41</v>
      </c>
      <c r="R62" s="2363" t="s">
        <v>41</v>
      </c>
      <c r="S62" s="2121" t="s">
        <v>41</v>
      </c>
      <c r="T62" s="1890"/>
      <c r="U62" s="1890"/>
      <c r="V62" s="1890"/>
      <c r="W62" s="1890"/>
    </row>
    <row r="63" spans="1:41" s="1891" customFormat="1" ht="34.35" customHeight="1">
      <c r="A63" s="2329" t="s">
        <v>16</v>
      </c>
      <c r="B63" s="2364" t="s">
        <v>604</v>
      </c>
      <c r="C63" s="2331">
        <v>7</v>
      </c>
      <c r="D63" s="2351" t="s">
        <v>605</v>
      </c>
      <c r="E63" s="2352" t="s">
        <v>606</v>
      </c>
      <c r="F63" s="2331" t="s">
        <v>607</v>
      </c>
      <c r="G63" s="2333" t="s">
        <v>106</v>
      </c>
      <c r="H63" s="2334" t="s">
        <v>40</v>
      </c>
      <c r="I63" s="2345">
        <v>292915</v>
      </c>
      <c r="J63" s="2160">
        <v>45901</v>
      </c>
      <c r="K63" s="2353">
        <v>25271</v>
      </c>
      <c r="L63" s="2354">
        <v>25515</v>
      </c>
      <c r="M63" s="2355">
        <f>K63+M52</f>
        <v>147257</v>
      </c>
      <c r="N63" s="2356">
        <v>134809</v>
      </c>
      <c r="O63" s="2357" t="s">
        <v>41</v>
      </c>
      <c r="P63" s="2145" t="s">
        <v>650</v>
      </c>
      <c r="Q63" s="2146" t="s">
        <v>651</v>
      </c>
      <c r="R63" s="2121" t="s">
        <v>41</v>
      </c>
      <c r="S63" s="2121" t="s">
        <v>41</v>
      </c>
      <c r="T63" s="1890"/>
      <c r="U63" s="1890"/>
      <c r="V63" s="1890"/>
      <c r="W63" s="1890"/>
    </row>
    <row r="64" spans="1:41" s="1891" customFormat="1" ht="34.35" customHeight="1">
      <c r="A64" s="2329" t="s">
        <v>16</v>
      </c>
      <c r="B64" s="2330" t="s">
        <v>604</v>
      </c>
      <c r="C64" s="2331">
        <v>8</v>
      </c>
      <c r="D64" s="2332" t="s">
        <v>608</v>
      </c>
      <c r="E64" s="2304" t="s">
        <v>609</v>
      </c>
      <c r="F64" s="2331" t="s">
        <v>133</v>
      </c>
      <c r="G64" s="2333" t="s">
        <v>106</v>
      </c>
      <c r="H64" s="2334" t="s">
        <v>610</v>
      </c>
      <c r="I64" s="2341">
        <v>-0.01</v>
      </c>
      <c r="J64" s="2160">
        <v>45901</v>
      </c>
      <c r="K64" s="2365"/>
      <c r="L64" s="2366"/>
      <c r="M64" s="2367">
        <v>-4.9980000000000007E-3</v>
      </c>
      <c r="N64" s="2339">
        <v>-0.1366</v>
      </c>
      <c r="O64" s="2340" t="s">
        <v>41</v>
      </c>
      <c r="P64" s="2145" t="s">
        <v>41</v>
      </c>
      <c r="Q64" s="2146" t="s">
        <v>41</v>
      </c>
      <c r="R64" s="2121" t="s">
        <v>41</v>
      </c>
      <c r="S64" s="2121" t="s">
        <v>41</v>
      </c>
      <c r="T64" s="1890"/>
      <c r="U64" s="1890"/>
      <c r="V64" s="1890"/>
      <c r="W64" s="1890"/>
    </row>
    <row r="65" spans="1:23" s="1891" customFormat="1" ht="34.35" customHeight="1">
      <c r="A65" s="2329" t="s">
        <v>16</v>
      </c>
      <c r="B65" s="2358" t="s">
        <v>604</v>
      </c>
      <c r="C65" s="2331">
        <v>9</v>
      </c>
      <c r="D65" s="2351" t="s">
        <v>611</v>
      </c>
      <c r="E65" s="2352" t="s">
        <v>612</v>
      </c>
      <c r="F65" s="2331" t="s">
        <v>136</v>
      </c>
      <c r="G65" s="2333" t="s">
        <v>106</v>
      </c>
      <c r="H65" s="2334" t="s">
        <v>40</v>
      </c>
      <c r="I65" s="2368">
        <v>8.84</v>
      </c>
      <c r="J65" s="2160">
        <v>45901</v>
      </c>
      <c r="K65" s="2306">
        <f>761760/1000000</f>
        <v>0.76175999999999999</v>
      </c>
      <c r="L65" s="2308">
        <v>0.89</v>
      </c>
      <c r="M65" s="2369">
        <f>M54+K65</f>
        <v>4.5083640000000003</v>
      </c>
      <c r="N65" s="2370">
        <v>4.5979999999999999</v>
      </c>
      <c r="O65" s="2371" t="s">
        <v>41</v>
      </c>
      <c r="P65" s="2145" t="s">
        <v>652</v>
      </c>
      <c r="Q65" s="2146" t="s">
        <v>653</v>
      </c>
      <c r="R65" s="2121" t="s">
        <v>654</v>
      </c>
      <c r="S65" s="2121" t="s">
        <v>655</v>
      </c>
      <c r="T65" s="1890"/>
      <c r="U65" s="1890"/>
      <c r="V65" s="1890"/>
      <c r="W65" s="1890"/>
    </row>
    <row r="66" spans="1:23" ht="34.35" customHeight="1">
      <c r="A66" s="2329" t="s">
        <v>16</v>
      </c>
      <c r="B66" s="2364" t="s">
        <v>613</v>
      </c>
      <c r="C66" s="2331">
        <v>10</v>
      </c>
      <c r="D66" s="2332" t="s">
        <v>614</v>
      </c>
      <c r="E66" s="2304" t="s">
        <v>615</v>
      </c>
      <c r="F66" s="2331" t="s">
        <v>616</v>
      </c>
      <c r="G66" s="2333" t="s">
        <v>39</v>
      </c>
      <c r="H66" s="2334" t="s">
        <v>285</v>
      </c>
      <c r="I66" s="2305">
        <v>0.192</v>
      </c>
      <c r="J66" s="2160">
        <v>45901</v>
      </c>
      <c r="K66" s="2306">
        <v>0.19309999999999999</v>
      </c>
      <c r="L66" s="2308">
        <v>0.1767</v>
      </c>
      <c r="M66" s="2373">
        <v>0.19309999999999999</v>
      </c>
      <c r="N66" s="2308">
        <v>0.1744</v>
      </c>
      <c r="O66" s="2374">
        <v>0.1744</v>
      </c>
      <c r="P66" s="2145"/>
      <c r="Q66" s="2146"/>
      <c r="R66" s="2121"/>
      <c r="S66" s="2121"/>
    </row>
    <row r="67" spans="1:23" ht="54" customHeight="1">
      <c r="A67" s="2375" t="s">
        <v>16</v>
      </c>
      <c r="B67" s="2376" t="s">
        <v>613</v>
      </c>
      <c r="C67" s="2377">
        <v>11</v>
      </c>
      <c r="D67" s="2378" t="s">
        <v>617</v>
      </c>
      <c r="E67" s="2379" t="s">
        <v>618</v>
      </c>
      <c r="F67" s="2377" t="s">
        <v>619</v>
      </c>
      <c r="G67" s="2380" t="s">
        <v>39</v>
      </c>
      <c r="H67" s="2381" t="s">
        <v>285</v>
      </c>
      <c r="I67" s="2310">
        <v>3298</v>
      </c>
      <c r="J67" s="2229">
        <v>45901</v>
      </c>
      <c r="K67" s="2311">
        <v>284</v>
      </c>
      <c r="L67" s="2382">
        <v>288.85000000000002</v>
      </c>
      <c r="M67" s="2383">
        <f>M56+K67</f>
        <v>1654</v>
      </c>
      <c r="N67" s="2313">
        <f>N56+L67</f>
        <v>1587.69</v>
      </c>
      <c r="O67" s="2384">
        <v>260.5</v>
      </c>
      <c r="P67" s="2385" t="s">
        <v>656</v>
      </c>
      <c r="Q67" s="2386" t="s">
        <v>57</v>
      </c>
      <c r="R67" s="2387" t="s">
        <v>57</v>
      </c>
      <c r="S67" s="2387" t="s">
        <v>57</v>
      </c>
    </row>
    <row r="68" spans="1:23" s="1891" customFormat="1" ht="34.35" customHeight="1">
      <c r="A68" s="2314" t="s">
        <v>16</v>
      </c>
      <c r="B68" s="2257" t="s">
        <v>586</v>
      </c>
      <c r="C68" s="2315">
        <v>1</v>
      </c>
      <c r="D68" s="2316" t="s">
        <v>587</v>
      </c>
      <c r="E68" s="2317" t="s">
        <v>588</v>
      </c>
      <c r="F68" s="2315" t="s">
        <v>589</v>
      </c>
      <c r="G68" s="2318" t="s">
        <v>106</v>
      </c>
      <c r="H68" s="2319" t="s">
        <v>40</v>
      </c>
      <c r="I68" s="2320">
        <v>40244</v>
      </c>
      <c r="J68" s="2388">
        <v>45931</v>
      </c>
      <c r="K68" s="2389">
        <v>3406</v>
      </c>
      <c r="L68" s="2323">
        <v>3204</v>
      </c>
      <c r="M68" s="2324">
        <f>K68+K57+K46+K35+K24+K13+K2</f>
        <v>23934</v>
      </c>
      <c r="N68" s="2325">
        <v>24361</v>
      </c>
      <c r="O68" s="2326"/>
      <c r="P68" s="2233" t="s">
        <v>657</v>
      </c>
      <c r="Q68" s="2234" t="s">
        <v>658</v>
      </c>
      <c r="R68" s="2328" t="s">
        <v>659</v>
      </c>
      <c r="S68" s="2236" t="s">
        <v>660</v>
      </c>
      <c r="T68" s="1890"/>
      <c r="U68" s="1890"/>
      <c r="V68" s="1890"/>
      <c r="W68" s="1890"/>
    </row>
    <row r="69" spans="1:23" s="1891" customFormat="1" ht="34.35" customHeight="1">
      <c r="A69" s="2329" t="s">
        <v>16</v>
      </c>
      <c r="B69" s="2330" t="s">
        <v>586</v>
      </c>
      <c r="C69" s="2331">
        <v>2</v>
      </c>
      <c r="D69" s="2332" t="s">
        <v>593</v>
      </c>
      <c r="E69" s="2331" t="s">
        <v>594</v>
      </c>
      <c r="F69" s="2331" t="s">
        <v>133</v>
      </c>
      <c r="G69" s="2333" t="s">
        <v>106</v>
      </c>
      <c r="H69" s="2334" t="s">
        <v>40</v>
      </c>
      <c r="I69" s="2335">
        <v>-0.02</v>
      </c>
      <c r="J69" s="2161">
        <v>45931</v>
      </c>
      <c r="K69" s="2393"/>
      <c r="L69" s="2337"/>
      <c r="M69" s="2338">
        <v>-1.1668999999999999E-2</v>
      </c>
      <c r="N69" s="2339">
        <v>-8.2699999999999996E-2</v>
      </c>
      <c r="O69" s="2340"/>
      <c r="P69" s="2145"/>
      <c r="Q69" s="2146"/>
      <c r="R69" s="2121"/>
      <c r="S69" s="2121"/>
      <c r="T69" s="1890"/>
      <c r="U69" s="1890"/>
      <c r="V69" s="1890"/>
      <c r="W69" s="1890"/>
    </row>
    <row r="70" spans="1:23" s="1891" customFormat="1" ht="34.35" customHeight="1">
      <c r="A70" s="2329" t="s">
        <v>16</v>
      </c>
      <c r="B70" s="2330" t="s">
        <v>586</v>
      </c>
      <c r="C70" s="2331">
        <v>3</v>
      </c>
      <c r="D70" s="2332" t="s">
        <v>595</v>
      </c>
      <c r="E70" s="2331" t="s">
        <v>596</v>
      </c>
      <c r="F70" s="2331" t="s">
        <v>133</v>
      </c>
      <c r="G70" s="2333" t="s">
        <v>106</v>
      </c>
      <c r="H70" s="2334" t="s">
        <v>597</v>
      </c>
      <c r="I70" s="2341">
        <v>-7.0000000000000007E-2</v>
      </c>
      <c r="J70" s="2160">
        <v>45931</v>
      </c>
      <c r="K70" s="2342">
        <f>-0.8/100</f>
        <v>-8.0000000000000002E-3</v>
      </c>
      <c r="L70" s="2343">
        <v>-8.3999999999999995E-3</v>
      </c>
      <c r="M70" s="2338">
        <f>M59+K70</f>
        <v>-3.1099999999999999E-2</v>
      </c>
      <c r="N70" s="2339">
        <v>-3.3000000000000002E-2</v>
      </c>
      <c r="O70" s="2344"/>
      <c r="P70" s="2145"/>
      <c r="Q70" s="2146"/>
      <c r="R70" s="2121"/>
      <c r="S70" s="2121"/>
      <c r="T70" s="1890"/>
      <c r="U70" s="1890"/>
      <c r="V70" s="1890"/>
      <c r="W70" s="1890"/>
    </row>
    <row r="71" spans="1:23" s="1891" customFormat="1" ht="34.35" customHeight="1">
      <c r="A71" s="2329" t="s">
        <v>16</v>
      </c>
      <c r="B71" s="2330" t="s">
        <v>586</v>
      </c>
      <c r="C71" s="2331">
        <v>4</v>
      </c>
      <c r="D71" s="2332" t="s">
        <v>595</v>
      </c>
      <c r="E71" s="2331" t="s">
        <v>598</v>
      </c>
      <c r="F71" s="2331" t="s">
        <v>589</v>
      </c>
      <c r="G71" s="2333" t="s">
        <v>106</v>
      </c>
      <c r="H71" s="2334" t="s">
        <v>597</v>
      </c>
      <c r="I71" s="2345">
        <v>-3020</v>
      </c>
      <c r="J71" s="2160">
        <v>45931</v>
      </c>
      <c r="K71" s="2346">
        <v>-328.94</v>
      </c>
      <c r="L71" s="2347">
        <v>-343.67</v>
      </c>
      <c r="M71" s="2348">
        <f>K71+M60</f>
        <v>-1279.3600000000001</v>
      </c>
      <c r="N71" s="2349">
        <v>1349.16</v>
      </c>
      <c r="O71" s="2350"/>
      <c r="P71" s="2145"/>
      <c r="Q71" s="2146"/>
      <c r="R71" s="2121"/>
      <c r="S71" s="2121"/>
      <c r="T71" s="1890"/>
      <c r="U71" s="1890"/>
      <c r="V71" s="1890"/>
      <c r="W71" s="1890"/>
    </row>
    <row r="72" spans="1:23" s="1891" customFormat="1" ht="34.35" customHeight="1">
      <c r="A72" s="2329" t="s">
        <v>16</v>
      </c>
      <c r="B72" s="2330" t="s">
        <v>586</v>
      </c>
      <c r="C72" s="2331">
        <v>5</v>
      </c>
      <c r="D72" s="2351" t="s">
        <v>599</v>
      </c>
      <c r="E72" s="2331">
        <v>39</v>
      </c>
      <c r="F72" s="2331" t="s">
        <v>288</v>
      </c>
      <c r="G72" s="2333" t="s">
        <v>106</v>
      </c>
      <c r="H72" s="2334" t="s">
        <v>40</v>
      </c>
      <c r="I72" s="2352">
        <v>39</v>
      </c>
      <c r="J72" s="2160">
        <v>45931</v>
      </c>
      <c r="K72" s="2353">
        <v>3</v>
      </c>
      <c r="L72" s="2354">
        <v>3</v>
      </c>
      <c r="M72" s="2355">
        <f>K72+K61+K50+K39+K27+K17+K6</f>
        <v>23</v>
      </c>
      <c r="N72" s="2356">
        <v>9</v>
      </c>
      <c r="O72" s="2357"/>
      <c r="P72" s="2240"/>
      <c r="Q72" s="2241"/>
      <c r="R72" s="2121"/>
      <c r="S72" s="2121"/>
      <c r="T72" s="1890"/>
      <c r="U72" s="1890"/>
      <c r="V72" s="1890"/>
      <c r="W72" s="1890"/>
    </row>
    <row r="73" spans="1:23" s="1891" customFormat="1" ht="57.6" customHeight="1">
      <c r="A73" s="2329" t="s">
        <v>16</v>
      </c>
      <c r="B73" s="2358" t="s">
        <v>586</v>
      </c>
      <c r="C73" s="2331">
        <v>6</v>
      </c>
      <c r="D73" s="2351" t="s">
        <v>601</v>
      </c>
      <c r="E73" s="2352" t="s">
        <v>602</v>
      </c>
      <c r="F73" s="2331" t="s">
        <v>136</v>
      </c>
      <c r="G73" s="2333" t="s">
        <v>106</v>
      </c>
      <c r="H73" s="2334" t="s">
        <v>40</v>
      </c>
      <c r="I73" s="2345">
        <v>251.99</v>
      </c>
      <c r="J73" s="2160">
        <v>45931</v>
      </c>
      <c r="K73" s="2292">
        <v>24.183</v>
      </c>
      <c r="L73" s="2359">
        <v>19.260000000000002</v>
      </c>
      <c r="M73" s="2360">
        <f>K73+K62+K51+K40+K28+K18+K7</f>
        <v>148.99699999999999</v>
      </c>
      <c r="N73" s="2361">
        <f>L73+N62</f>
        <v>150.89999999999998</v>
      </c>
      <c r="O73" s="2362"/>
      <c r="P73" s="2240" t="s">
        <v>661</v>
      </c>
      <c r="Q73" s="2242" t="s">
        <v>658</v>
      </c>
      <c r="R73" s="2363" t="s">
        <v>662</v>
      </c>
      <c r="S73" s="2121" t="s">
        <v>166</v>
      </c>
      <c r="T73" s="1890"/>
      <c r="U73" s="1890"/>
      <c r="V73" s="1890"/>
      <c r="W73" s="1890"/>
    </row>
    <row r="74" spans="1:23" s="1891" customFormat="1" ht="34.35" customHeight="1">
      <c r="A74" s="2329" t="s">
        <v>16</v>
      </c>
      <c r="B74" s="2364" t="s">
        <v>604</v>
      </c>
      <c r="C74" s="2331">
        <v>7</v>
      </c>
      <c r="D74" s="2351" t="s">
        <v>605</v>
      </c>
      <c r="E74" s="2352" t="s">
        <v>606</v>
      </c>
      <c r="F74" s="2331" t="s">
        <v>607</v>
      </c>
      <c r="G74" s="2333" t="s">
        <v>106</v>
      </c>
      <c r="H74" s="2334" t="s">
        <v>40</v>
      </c>
      <c r="I74" s="2345">
        <v>292915</v>
      </c>
      <c r="J74" s="2160">
        <v>45931</v>
      </c>
      <c r="K74" s="2353">
        <v>27345</v>
      </c>
      <c r="L74" s="2354">
        <v>26455</v>
      </c>
      <c r="M74" s="2355">
        <f>K74+M63</f>
        <v>174602</v>
      </c>
      <c r="N74" s="2356">
        <f>L74+N63</f>
        <v>161264</v>
      </c>
      <c r="O74" s="2357"/>
      <c r="P74" s="2145"/>
      <c r="Q74" s="2146"/>
      <c r="R74" s="2121"/>
      <c r="S74" s="2121"/>
      <c r="T74" s="1890"/>
      <c r="U74" s="1890"/>
      <c r="V74" s="1890"/>
      <c r="W74" s="1890"/>
    </row>
    <row r="75" spans="1:23" s="1891" customFormat="1" ht="34.35" customHeight="1">
      <c r="A75" s="2329" t="s">
        <v>16</v>
      </c>
      <c r="B75" s="2330" t="s">
        <v>604</v>
      </c>
      <c r="C75" s="2331">
        <v>8</v>
      </c>
      <c r="D75" s="2332" t="s">
        <v>608</v>
      </c>
      <c r="E75" s="2304" t="s">
        <v>609</v>
      </c>
      <c r="F75" s="2331" t="s">
        <v>133</v>
      </c>
      <c r="G75" s="2333" t="s">
        <v>106</v>
      </c>
      <c r="H75" s="2334" t="s">
        <v>610</v>
      </c>
      <c r="I75" s="2341">
        <v>-0.01</v>
      </c>
      <c r="J75" s="2160">
        <v>45931</v>
      </c>
      <c r="K75" s="2365"/>
      <c r="L75" s="2366"/>
      <c r="M75" s="2367">
        <v>-5.8310000000000011E-3</v>
      </c>
      <c r="N75" s="2339">
        <v>-0.1169</v>
      </c>
      <c r="O75" s="2340"/>
      <c r="P75" s="2145"/>
      <c r="Q75" s="2146"/>
      <c r="R75" s="2121"/>
      <c r="S75" s="2121"/>
      <c r="T75" s="1890"/>
      <c r="U75" s="1890"/>
      <c r="V75" s="1890"/>
      <c r="W75" s="1890"/>
    </row>
    <row r="76" spans="1:23" s="1891" customFormat="1" ht="34.35" customHeight="1">
      <c r="A76" s="2329" t="s">
        <v>16</v>
      </c>
      <c r="B76" s="2358" t="s">
        <v>604</v>
      </c>
      <c r="C76" s="2331">
        <v>9</v>
      </c>
      <c r="D76" s="2351" t="s">
        <v>611</v>
      </c>
      <c r="E76" s="2352" t="s">
        <v>612</v>
      </c>
      <c r="F76" s="2331" t="s">
        <v>136</v>
      </c>
      <c r="G76" s="2333" t="s">
        <v>106</v>
      </c>
      <c r="H76" s="2334" t="s">
        <v>40</v>
      </c>
      <c r="I76" s="2368">
        <v>8.84</v>
      </c>
      <c r="J76" s="2160">
        <v>45931</v>
      </c>
      <c r="K76" s="2306">
        <v>1.034</v>
      </c>
      <c r="L76" s="2308">
        <v>0.94</v>
      </c>
      <c r="M76" s="2369">
        <f>M65+K76</f>
        <v>5.5423640000000001</v>
      </c>
      <c r="N76" s="2370">
        <f>L76+N65</f>
        <v>5.5380000000000003</v>
      </c>
      <c r="O76" s="2371"/>
      <c r="P76" s="2145"/>
      <c r="Q76" s="2146"/>
      <c r="R76" s="2121"/>
      <c r="S76" s="2121"/>
      <c r="T76" s="1890"/>
      <c r="U76" s="1890"/>
      <c r="V76" s="1890"/>
      <c r="W76" s="1890"/>
    </row>
    <row r="77" spans="1:23" ht="27.6" customHeight="1">
      <c r="A77" s="2329" t="s">
        <v>16</v>
      </c>
      <c r="B77" s="2364" t="s">
        <v>613</v>
      </c>
      <c r="C77" s="2331">
        <v>10</v>
      </c>
      <c r="D77" s="2332" t="s">
        <v>614</v>
      </c>
      <c r="E77" s="2304" t="s">
        <v>615</v>
      </c>
      <c r="F77" s="2331" t="s">
        <v>616</v>
      </c>
      <c r="G77" s="2333" t="s">
        <v>39</v>
      </c>
      <c r="H77" s="2334" t="s">
        <v>285</v>
      </c>
      <c r="I77" s="2305">
        <v>0.192</v>
      </c>
      <c r="J77" s="2160">
        <v>45931</v>
      </c>
      <c r="K77" s="2306">
        <v>0.19289999999999999</v>
      </c>
      <c r="L77" s="2308">
        <v>0.19040000000000001</v>
      </c>
      <c r="M77" s="2373">
        <v>0.19289999999999999</v>
      </c>
      <c r="N77" s="2308">
        <v>0.1767</v>
      </c>
      <c r="O77" s="2374">
        <v>0.17280000000000001</v>
      </c>
      <c r="P77" s="2145"/>
      <c r="Q77" s="2146"/>
      <c r="R77" s="2121"/>
      <c r="S77" s="2121"/>
    </row>
    <row r="78" spans="1:23" ht="34.35" customHeight="1">
      <c r="A78" s="2375" t="s">
        <v>16</v>
      </c>
      <c r="B78" s="2376" t="s">
        <v>613</v>
      </c>
      <c r="C78" s="2377">
        <v>11</v>
      </c>
      <c r="D78" s="2378" t="s">
        <v>617</v>
      </c>
      <c r="E78" s="2379" t="s">
        <v>618</v>
      </c>
      <c r="F78" s="2377" t="s">
        <v>619</v>
      </c>
      <c r="G78" s="2380" t="s">
        <v>39</v>
      </c>
      <c r="H78" s="2381" t="s">
        <v>285</v>
      </c>
      <c r="I78" s="2310">
        <v>3298</v>
      </c>
      <c r="J78" s="2162">
        <v>45931</v>
      </c>
      <c r="K78" s="2394">
        <v>287</v>
      </c>
      <c r="L78" s="2382">
        <v>284.08999999999997</v>
      </c>
      <c r="M78" s="2383">
        <f>M67+K78</f>
        <v>1941</v>
      </c>
      <c r="N78" s="2313">
        <f>N67+L78</f>
        <v>1871.78</v>
      </c>
      <c r="O78" s="2384">
        <v>269.8</v>
      </c>
      <c r="P78" s="2385"/>
      <c r="Q78" s="2386"/>
      <c r="R78" s="2387"/>
      <c r="S78" s="2387"/>
    </row>
    <row r="79" spans="1:23" s="1891" customFormat="1" ht="34.35" customHeight="1">
      <c r="A79" s="2314" t="s">
        <v>16</v>
      </c>
      <c r="B79" s="2257" t="s">
        <v>586</v>
      </c>
      <c r="C79" s="2315">
        <v>1</v>
      </c>
      <c r="D79" s="2316" t="s">
        <v>587</v>
      </c>
      <c r="E79" s="2317" t="s">
        <v>588</v>
      </c>
      <c r="F79" s="2315" t="s">
        <v>589</v>
      </c>
      <c r="G79" s="2318" t="s">
        <v>106</v>
      </c>
      <c r="H79" s="2319" t="s">
        <v>40</v>
      </c>
      <c r="I79" s="2320">
        <v>40244</v>
      </c>
      <c r="J79" s="2388">
        <v>45962</v>
      </c>
      <c r="K79" s="2389">
        <v>3664</v>
      </c>
      <c r="L79" s="2323">
        <v>3701</v>
      </c>
      <c r="M79" s="2324">
        <f>K79+K68+K57+K46+K35+K24+K13+K2</f>
        <v>27598</v>
      </c>
      <c r="N79" s="2325">
        <v>28062</v>
      </c>
      <c r="O79" s="2326"/>
      <c r="P79" s="2233" t="s">
        <v>663</v>
      </c>
      <c r="Q79" s="2234" t="s">
        <v>658</v>
      </c>
      <c r="R79" s="2328" t="s">
        <v>664</v>
      </c>
      <c r="S79" s="2236" t="s">
        <v>660</v>
      </c>
      <c r="T79" s="1890"/>
      <c r="U79" s="1890"/>
      <c r="V79" s="1890"/>
      <c r="W79" s="1890"/>
    </row>
    <row r="80" spans="1:23" s="1891" customFormat="1" ht="34.35" customHeight="1">
      <c r="A80" s="2329" t="s">
        <v>16</v>
      </c>
      <c r="B80" s="2330" t="s">
        <v>586</v>
      </c>
      <c r="C80" s="2331">
        <v>2</v>
      </c>
      <c r="D80" s="2332" t="s">
        <v>593</v>
      </c>
      <c r="E80" s="2331" t="s">
        <v>594</v>
      </c>
      <c r="F80" s="2331" t="s">
        <v>133</v>
      </c>
      <c r="G80" s="2333" t="s">
        <v>106</v>
      </c>
      <c r="H80" s="2334" t="s">
        <v>40</v>
      </c>
      <c r="I80" s="2335">
        <v>-0.02</v>
      </c>
      <c r="J80" s="2160">
        <v>45962</v>
      </c>
      <c r="K80" s="2336"/>
      <c r="L80" s="2337"/>
      <c r="M80" s="2338">
        <v>-1.3335999999999999E-2</v>
      </c>
      <c r="N80" s="2339">
        <v>-7.7299999999999994E-2</v>
      </c>
      <c r="O80" s="2340"/>
      <c r="P80" s="2145"/>
      <c r="Q80" s="2146"/>
      <c r="R80" s="2121"/>
      <c r="S80" s="2121"/>
      <c r="T80" s="1890"/>
      <c r="U80" s="1890"/>
      <c r="V80" s="1890"/>
      <c r="W80" s="1890"/>
    </row>
    <row r="81" spans="1:23" s="1891" customFormat="1" ht="34.35" customHeight="1">
      <c r="A81" s="2329" t="s">
        <v>16</v>
      </c>
      <c r="B81" s="2330" t="s">
        <v>586</v>
      </c>
      <c r="C81" s="2331">
        <v>3</v>
      </c>
      <c r="D81" s="2332" t="s">
        <v>595</v>
      </c>
      <c r="E81" s="2331" t="s">
        <v>596</v>
      </c>
      <c r="F81" s="2331" t="s">
        <v>133</v>
      </c>
      <c r="G81" s="2333" t="s">
        <v>106</v>
      </c>
      <c r="H81" s="2334" t="s">
        <v>597</v>
      </c>
      <c r="I81" s="2341">
        <v>-7.0000000000000007E-2</v>
      </c>
      <c r="J81" s="2160">
        <v>45962</v>
      </c>
      <c r="K81" s="2342">
        <f>-0.94/100</f>
        <v>-9.3999999999999986E-3</v>
      </c>
      <c r="L81" s="2343">
        <v>-9.5999999999999992E-3</v>
      </c>
      <c r="M81" s="2338">
        <f>K81+M70</f>
        <v>-4.0499999999999994E-2</v>
      </c>
      <c r="N81" s="2339">
        <v>-4.2599999999999999E-2</v>
      </c>
      <c r="O81" s="2344"/>
      <c r="P81" s="2145"/>
      <c r="Q81" s="2146"/>
      <c r="R81" s="2121"/>
      <c r="S81" s="2121"/>
      <c r="T81" s="1890"/>
      <c r="U81" s="1890"/>
      <c r="V81" s="1890"/>
      <c r="W81" s="1890"/>
    </row>
    <row r="82" spans="1:23" s="1891" customFormat="1" ht="34.35" customHeight="1">
      <c r="A82" s="2329" t="s">
        <v>16</v>
      </c>
      <c r="B82" s="2330" t="s">
        <v>586</v>
      </c>
      <c r="C82" s="2331">
        <v>4</v>
      </c>
      <c r="D82" s="2332" t="s">
        <v>595</v>
      </c>
      <c r="E82" s="2331" t="s">
        <v>598</v>
      </c>
      <c r="F82" s="2331" t="s">
        <v>589</v>
      </c>
      <c r="G82" s="2333" t="s">
        <v>106</v>
      </c>
      <c r="H82" s="2334" t="s">
        <v>597</v>
      </c>
      <c r="I82" s="2345">
        <v>-3020</v>
      </c>
      <c r="J82" s="2160">
        <v>45962</v>
      </c>
      <c r="K82" s="2346">
        <v>-384.58</v>
      </c>
      <c r="L82" s="2347">
        <v>-394.62</v>
      </c>
      <c r="M82" s="2348">
        <f>K82+M71</f>
        <v>-1663.94</v>
      </c>
      <c r="N82" s="2349">
        <v>-1743.77</v>
      </c>
      <c r="O82" s="2350"/>
      <c r="P82" s="2145"/>
      <c r="Q82" s="2146"/>
      <c r="R82" s="2121"/>
      <c r="S82" s="2121"/>
      <c r="T82" s="1890"/>
      <c r="U82" s="1890"/>
      <c r="V82" s="1890"/>
      <c r="W82" s="1890"/>
    </row>
    <row r="83" spans="1:23" s="1891" customFormat="1" ht="34.35" customHeight="1">
      <c r="A83" s="2329" t="s">
        <v>16</v>
      </c>
      <c r="B83" s="2330" t="s">
        <v>586</v>
      </c>
      <c r="C83" s="2331">
        <v>5</v>
      </c>
      <c r="D83" s="2351" t="s">
        <v>599</v>
      </c>
      <c r="E83" s="2331">
        <v>39</v>
      </c>
      <c r="F83" s="2331" t="s">
        <v>288</v>
      </c>
      <c r="G83" s="2333" t="s">
        <v>106</v>
      </c>
      <c r="H83" s="2334" t="s">
        <v>40</v>
      </c>
      <c r="I83" s="2352">
        <v>39</v>
      </c>
      <c r="J83" s="2160">
        <v>45962</v>
      </c>
      <c r="K83" s="2353">
        <v>2</v>
      </c>
      <c r="L83" s="2354">
        <v>2</v>
      </c>
      <c r="M83" s="2355">
        <f>K83+K72+K61+K50+K39+K27+K17+K6</f>
        <v>25</v>
      </c>
      <c r="N83" s="2356">
        <f>L83+N72</f>
        <v>11</v>
      </c>
      <c r="O83" s="2357"/>
      <c r="P83" s="2240"/>
      <c r="Q83" s="2241"/>
      <c r="R83" s="2121"/>
      <c r="S83" s="2121"/>
      <c r="T83" s="1890"/>
      <c r="U83" s="1890"/>
      <c r="V83" s="1890"/>
      <c r="W83" s="1890"/>
    </row>
    <row r="84" spans="1:23" s="1891" customFormat="1" ht="34.35" customHeight="1">
      <c r="A84" s="2329" t="s">
        <v>16</v>
      </c>
      <c r="B84" s="2358" t="s">
        <v>586</v>
      </c>
      <c r="C84" s="2331">
        <v>6</v>
      </c>
      <c r="D84" s="2351" t="s">
        <v>601</v>
      </c>
      <c r="E84" s="2352" t="s">
        <v>602</v>
      </c>
      <c r="F84" s="2331" t="s">
        <v>136</v>
      </c>
      <c r="G84" s="2333" t="s">
        <v>106</v>
      </c>
      <c r="H84" s="2334" t="s">
        <v>40</v>
      </c>
      <c r="I84" s="2345">
        <v>251.99</v>
      </c>
      <c r="J84" s="2160">
        <v>45962</v>
      </c>
      <c r="K84" s="2292">
        <v>24.183</v>
      </c>
      <c r="L84" s="2359">
        <v>21.635000000000002</v>
      </c>
      <c r="M84" s="2360">
        <f>K84+K73+K62+K51+K40+K28+K18+K7</f>
        <v>173.17999999999998</v>
      </c>
      <c r="N84" s="2361">
        <f>L84+N73</f>
        <v>172.53499999999997</v>
      </c>
      <c r="O84" s="2362"/>
      <c r="P84" s="2240"/>
      <c r="Q84" s="2241"/>
      <c r="R84" s="2363"/>
      <c r="S84" s="2121"/>
      <c r="T84" s="1890"/>
      <c r="U84" s="1890"/>
      <c r="V84" s="1890"/>
      <c r="W84" s="1890"/>
    </row>
    <row r="85" spans="1:23" s="1891" customFormat="1" ht="34.35" customHeight="1">
      <c r="A85" s="2329" t="s">
        <v>16</v>
      </c>
      <c r="B85" s="2364" t="s">
        <v>604</v>
      </c>
      <c r="C85" s="2331">
        <v>7</v>
      </c>
      <c r="D85" s="2351" t="s">
        <v>605</v>
      </c>
      <c r="E85" s="2352" t="s">
        <v>606</v>
      </c>
      <c r="F85" s="2331" t="s">
        <v>607</v>
      </c>
      <c r="G85" s="2333" t="s">
        <v>106</v>
      </c>
      <c r="H85" s="2334" t="s">
        <v>40</v>
      </c>
      <c r="I85" s="2345">
        <v>292915</v>
      </c>
      <c r="J85" s="2160">
        <v>45962</v>
      </c>
      <c r="K85" s="2353">
        <v>26362</v>
      </c>
      <c r="L85" s="2354">
        <v>27970</v>
      </c>
      <c r="M85" s="2355">
        <f>K85+M74</f>
        <v>200964</v>
      </c>
      <c r="N85" s="2356">
        <v>189234</v>
      </c>
      <c r="O85" s="2357"/>
      <c r="P85" s="2145" t="s">
        <v>665</v>
      </c>
      <c r="Q85" s="2146" t="s">
        <v>666</v>
      </c>
      <c r="R85" s="2121" t="s">
        <v>667</v>
      </c>
      <c r="S85" s="2121" t="s">
        <v>668</v>
      </c>
      <c r="T85" s="1890"/>
      <c r="U85" s="1890"/>
      <c r="V85" s="1890"/>
      <c r="W85" s="1890"/>
    </row>
    <row r="86" spans="1:23" s="1891" customFormat="1" ht="34.35" customHeight="1">
      <c r="A86" s="2329" t="s">
        <v>16</v>
      </c>
      <c r="B86" s="2330" t="s">
        <v>604</v>
      </c>
      <c r="C86" s="2331">
        <v>8</v>
      </c>
      <c r="D86" s="2332" t="s">
        <v>608</v>
      </c>
      <c r="E86" s="2304" t="s">
        <v>609</v>
      </c>
      <c r="F86" s="2331" t="s">
        <v>133</v>
      </c>
      <c r="G86" s="2333" t="s">
        <v>106</v>
      </c>
      <c r="H86" s="2334" t="s">
        <v>610</v>
      </c>
      <c r="I86" s="2341">
        <v>-0.01</v>
      </c>
      <c r="J86" s="2160">
        <v>45962</v>
      </c>
      <c r="K86" s="2365"/>
      <c r="L86" s="2366"/>
      <c r="M86" s="2367">
        <v>-6.6640000000000015E-3</v>
      </c>
      <c r="N86" s="2339">
        <v>-9.5000000000000001E-2</v>
      </c>
      <c r="O86" s="2340"/>
      <c r="P86" s="2145"/>
      <c r="Q86" s="2146"/>
      <c r="R86" s="2121"/>
      <c r="S86" s="2121"/>
      <c r="T86" s="1890"/>
      <c r="U86" s="1890"/>
      <c r="V86" s="1890"/>
      <c r="W86" s="1890"/>
    </row>
    <row r="87" spans="1:23" s="1891" customFormat="1" ht="34.35" customHeight="1">
      <c r="A87" s="2329" t="s">
        <v>16</v>
      </c>
      <c r="B87" s="2358" t="s">
        <v>604</v>
      </c>
      <c r="C87" s="2331">
        <v>9</v>
      </c>
      <c r="D87" s="2351" t="s">
        <v>611</v>
      </c>
      <c r="E87" s="2352" t="s">
        <v>612</v>
      </c>
      <c r="F87" s="2331" t="s">
        <v>136</v>
      </c>
      <c r="G87" s="2333" t="s">
        <v>106</v>
      </c>
      <c r="H87" s="2334" t="s">
        <v>40</v>
      </c>
      <c r="I87" s="2368">
        <v>8.84</v>
      </c>
      <c r="J87" s="2161">
        <v>45962</v>
      </c>
      <c r="K87" s="2372">
        <v>1.034</v>
      </c>
      <c r="L87" s="2308">
        <v>1</v>
      </c>
      <c r="M87" s="2369">
        <f>M76+K87</f>
        <v>6.5763639999999999</v>
      </c>
      <c r="N87" s="2370">
        <f>L87+N76</f>
        <v>6.5380000000000003</v>
      </c>
      <c r="O87" s="2371"/>
      <c r="P87" s="2145"/>
      <c r="Q87" s="2146"/>
      <c r="R87" s="2121"/>
      <c r="S87" s="2121"/>
      <c r="T87" s="1890"/>
      <c r="U87" s="1890"/>
      <c r="V87" s="1890"/>
      <c r="W87" s="1890"/>
    </row>
    <row r="88" spans="1:23" ht="34.35" customHeight="1">
      <c r="A88" s="2329" t="s">
        <v>16</v>
      </c>
      <c r="B88" s="2364" t="s">
        <v>613</v>
      </c>
      <c r="C88" s="2331">
        <v>10</v>
      </c>
      <c r="D88" s="2332" t="s">
        <v>614</v>
      </c>
      <c r="E88" s="2304" t="s">
        <v>615</v>
      </c>
      <c r="F88" s="2331" t="s">
        <v>616</v>
      </c>
      <c r="G88" s="2333" t="s">
        <v>39</v>
      </c>
      <c r="H88" s="2334" t="s">
        <v>285</v>
      </c>
      <c r="I88" s="2305">
        <v>0.192</v>
      </c>
      <c r="J88" s="2160">
        <v>45962</v>
      </c>
      <c r="K88" s="2306">
        <v>0.19270000000000001</v>
      </c>
      <c r="L88" s="2308">
        <v>0.15770000000000001</v>
      </c>
      <c r="M88" s="2373">
        <v>0.19270000000000001</v>
      </c>
      <c r="N88" s="2308">
        <v>0.1741</v>
      </c>
      <c r="O88" s="2374">
        <v>0.1731</v>
      </c>
      <c r="P88" s="2145"/>
      <c r="Q88" s="2146"/>
      <c r="R88" s="2121"/>
      <c r="S88" s="2121"/>
    </row>
    <row r="89" spans="1:23" ht="34.35" customHeight="1">
      <c r="A89" s="2375" t="s">
        <v>16</v>
      </c>
      <c r="B89" s="2376" t="s">
        <v>613</v>
      </c>
      <c r="C89" s="2377">
        <v>11</v>
      </c>
      <c r="D89" s="2378" t="s">
        <v>617</v>
      </c>
      <c r="E89" s="2379" t="s">
        <v>618</v>
      </c>
      <c r="F89" s="2377" t="s">
        <v>619</v>
      </c>
      <c r="G89" s="2380" t="s">
        <v>39</v>
      </c>
      <c r="H89" s="2381" t="s">
        <v>285</v>
      </c>
      <c r="I89" s="2310">
        <v>3298</v>
      </c>
      <c r="J89" s="2229">
        <v>45962</v>
      </c>
      <c r="K89" s="2311">
        <v>270</v>
      </c>
      <c r="L89" s="2382">
        <v>242.65</v>
      </c>
      <c r="M89" s="2383">
        <f>M78+K89</f>
        <v>2211</v>
      </c>
      <c r="N89" s="2313">
        <f>N78+L89</f>
        <v>2114.4299999999998</v>
      </c>
      <c r="O89" s="2384">
        <v>247.09</v>
      </c>
      <c r="P89" s="2385"/>
      <c r="Q89" s="2386"/>
      <c r="R89" s="2387"/>
      <c r="S89" s="2387"/>
    </row>
    <row r="90" spans="1:23" s="1891" customFormat="1" ht="167.85" customHeight="1">
      <c r="A90" s="2314" t="s">
        <v>16</v>
      </c>
      <c r="B90" s="2257" t="s">
        <v>586</v>
      </c>
      <c r="C90" s="2315">
        <v>1</v>
      </c>
      <c r="D90" s="2316" t="s">
        <v>587</v>
      </c>
      <c r="E90" s="2317" t="s">
        <v>588</v>
      </c>
      <c r="F90" s="2315" t="s">
        <v>589</v>
      </c>
      <c r="G90" s="2318" t="s">
        <v>106</v>
      </c>
      <c r="H90" s="2319" t="s">
        <v>40</v>
      </c>
      <c r="I90" s="2320">
        <v>40244</v>
      </c>
      <c r="J90" s="2388">
        <v>45992</v>
      </c>
      <c r="K90" s="2389">
        <v>3099</v>
      </c>
      <c r="L90" s="2323">
        <v>2928</v>
      </c>
      <c r="M90" s="2324">
        <f>K90+K79+K68+K57+K46+K35+K24+K13+K2</f>
        <v>30697</v>
      </c>
      <c r="N90" s="2325">
        <v>30990</v>
      </c>
      <c r="O90" s="2326"/>
      <c r="P90" s="2233" t="s">
        <v>669</v>
      </c>
      <c r="Q90" s="2234" t="s">
        <v>658</v>
      </c>
      <c r="R90" s="2328" t="s">
        <v>664</v>
      </c>
      <c r="S90" s="2236" t="s">
        <v>660</v>
      </c>
      <c r="T90" s="1890"/>
      <c r="U90" s="1890"/>
      <c r="V90" s="1890"/>
      <c r="W90" s="1890"/>
    </row>
    <row r="91" spans="1:23" s="1891" customFormat="1" ht="34.35" customHeight="1">
      <c r="A91" s="2329" t="s">
        <v>16</v>
      </c>
      <c r="B91" s="2330" t="s">
        <v>586</v>
      </c>
      <c r="C91" s="2331">
        <v>2</v>
      </c>
      <c r="D91" s="2332" t="s">
        <v>593</v>
      </c>
      <c r="E91" s="2331" t="s">
        <v>594</v>
      </c>
      <c r="F91" s="2331" t="s">
        <v>133</v>
      </c>
      <c r="G91" s="2333" t="s">
        <v>106</v>
      </c>
      <c r="H91" s="2334" t="s">
        <v>40</v>
      </c>
      <c r="I91" s="2335">
        <v>-0.02</v>
      </c>
      <c r="J91" s="2160">
        <v>45992</v>
      </c>
      <c r="K91" s="2336"/>
      <c r="L91" s="2337"/>
      <c r="M91" s="2338">
        <v>-1.5002999999999999E-2</v>
      </c>
      <c r="N91" s="2339">
        <v>-9.3899999999999997E-2</v>
      </c>
      <c r="O91" s="2340"/>
      <c r="P91" s="2145"/>
      <c r="Q91" s="2146"/>
      <c r="R91" s="2121"/>
      <c r="S91" s="2121"/>
      <c r="T91" s="1890"/>
      <c r="U91" s="1890"/>
      <c r="V91" s="1890"/>
      <c r="W91" s="1890"/>
    </row>
    <row r="92" spans="1:23" s="1891" customFormat="1" ht="34.35" customHeight="1">
      <c r="A92" s="2329" t="s">
        <v>16</v>
      </c>
      <c r="B92" s="2330" t="s">
        <v>586</v>
      </c>
      <c r="C92" s="2331">
        <v>3</v>
      </c>
      <c r="D92" s="2332" t="s">
        <v>595</v>
      </c>
      <c r="E92" s="2331" t="s">
        <v>596</v>
      </c>
      <c r="F92" s="2331" t="s">
        <v>133</v>
      </c>
      <c r="G92" s="2333" t="s">
        <v>106</v>
      </c>
      <c r="H92" s="2334" t="s">
        <v>597</v>
      </c>
      <c r="I92" s="2341">
        <v>-7.0000000000000007E-2</v>
      </c>
      <c r="J92" s="2160">
        <v>45992</v>
      </c>
      <c r="K92" s="2342">
        <f>-0.91/100</f>
        <v>-9.1000000000000004E-3</v>
      </c>
      <c r="L92" s="2343">
        <v>-9.2999999999999992E-3</v>
      </c>
      <c r="M92" s="2338">
        <f>K92+M81</f>
        <v>-4.9599999999999991E-2</v>
      </c>
      <c r="N92" s="2339">
        <v>-5.1999999999999998E-2</v>
      </c>
      <c r="O92" s="2344"/>
      <c r="P92" s="2145"/>
      <c r="Q92" s="2146"/>
      <c r="R92" s="2121"/>
      <c r="S92" s="2121"/>
      <c r="T92" s="1890"/>
      <c r="U92" s="1890"/>
      <c r="V92" s="1890"/>
      <c r="W92" s="1890"/>
    </row>
    <row r="93" spans="1:23" s="1891" customFormat="1" ht="34.35" customHeight="1">
      <c r="A93" s="2329" t="s">
        <v>16</v>
      </c>
      <c r="B93" s="2330" t="s">
        <v>586</v>
      </c>
      <c r="C93" s="2331">
        <v>4</v>
      </c>
      <c r="D93" s="2332" t="s">
        <v>595</v>
      </c>
      <c r="E93" s="2331" t="s">
        <v>598</v>
      </c>
      <c r="F93" s="2331" t="s">
        <v>589</v>
      </c>
      <c r="G93" s="2333" t="s">
        <v>106</v>
      </c>
      <c r="H93" s="2334" t="s">
        <v>597</v>
      </c>
      <c r="I93" s="2345">
        <v>-3020</v>
      </c>
      <c r="J93" s="2160">
        <v>45992</v>
      </c>
      <c r="K93" s="2346">
        <v>-374.12</v>
      </c>
      <c r="L93" s="2347">
        <v>-381.89</v>
      </c>
      <c r="M93" s="2348">
        <f>K93+M82</f>
        <v>-2038.06</v>
      </c>
      <c r="N93" s="2349">
        <v>-2125.67</v>
      </c>
      <c r="O93" s="2350"/>
      <c r="P93" s="2145"/>
      <c r="Q93" s="2146"/>
      <c r="R93" s="2121"/>
      <c r="S93" s="2121"/>
      <c r="T93" s="1890"/>
      <c r="U93" s="1890"/>
      <c r="V93" s="1890"/>
      <c r="W93" s="1890"/>
    </row>
    <row r="94" spans="1:23" s="1891" customFormat="1" ht="34.35" customHeight="1">
      <c r="A94" s="2329" t="s">
        <v>16</v>
      </c>
      <c r="B94" s="2330" t="s">
        <v>586</v>
      </c>
      <c r="C94" s="2331">
        <v>5</v>
      </c>
      <c r="D94" s="2351" t="s">
        <v>599</v>
      </c>
      <c r="E94" s="2331">
        <v>39</v>
      </c>
      <c r="F94" s="2331" t="s">
        <v>288</v>
      </c>
      <c r="G94" s="2333" t="s">
        <v>106</v>
      </c>
      <c r="H94" s="2334" t="s">
        <v>40</v>
      </c>
      <c r="I94" s="2352">
        <v>39</v>
      </c>
      <c r="J94" s="2160">
        <v>45992</v>
      </c>
      <c r="K94" s="2353">
        <v>7</v>
      </c>
      <c r="L94" s="2354">
        <v>7</v>
      </c>
      <c r="M94" s="2355">
        <f>K94+K83+K72+K61+K50+K39+K27+K17+K6</f>
        <v>32</v>
      </c>
      <c r="N94" s="2356">
        <f>L94+N83</f>
        <v>18</v>
      </c>
      <c r="O94" s="2357"/>
      <c r="P94" s="2240"/>
      <c r="Q94" s="2241"/>
      <c r="R94" s="2121"/>
      <c r="S94" s="2121"/>
      <c r="T94" s="1890"/>
      <c r="U94" s="1890"/>
      <c r="V94" s="1890"/>
      <c r="W94" s="1890"/>
    </row>
    <row r="95" spans="1:23" s="1891" customFormat="1" ht="34.35" customHeight="1">
      <c r="A95" s="2329" t="s">
        <v>16</v>
      </c>
      <c r="B95" s="2358" t="s">
        <v>586</v>
      </c>
      <c r="C95" s="2331">
        <v>6</v>
      </c>
      <c r="D95" s="2351" t="s">
        <v>601</v>
      </c>
      <c r="E95" s="2352" t="s">
        <v>602</v>
      </c>
      <c r="F95" s="2331" t="s">
        <v>136</v>
      </c>
      <c r="G95" s="2333" t="s">
        <v>106</v>
      </c>
      <c r="H95" s="2334" t="s">
        <v>40</v>
      </c>
      <c r="I95" s="2345">
        <v>251.99</v>
      </c>
      <c r="J95" s="2160">
        <v>45992</v>
      </c>
      <c r="K95" s="2292">
        <v>21.984000000000002</v>
      </c>
      <c r="L95" s="2359">
        <v>16.527000000000001</v>
      </c>
      <c r="M95" s="2360">
        <f>K95+K84+K73+K62+K51+K40+K28+K18+K7</f>
        <v>195.16399999999999</v>
      </c>
      <c r="N95" s="2361">
        <f>L95+N84</f>
        <v>189.06199999999995</v>
      </c>
      <c r="O95" s="2362"/>
      <c r="P95" s="2240"/>
      <c r="Q95" s="2241"/>
      <c r="R95" s="2363"/>
      <c r="S95" s="2121"/>
      <c r="T95" s="1890"/>
      <c r="U95" s="1890"/>
      <c r="V95" s="1890"/>
      <c r="W95" s="1890"/>
    </row>
    <row r="96" spans="1:23" s="1891" customFormat="1" ht="96" customHeight="1">
      <c r="A96" s="2329" t="s">
        <v>16</v>
      </c>
      <c r="B96" s="2364" t="s">
        <v>604</v>
      </c>
      <c r="C96" s="2331">
        <v>7</v>
      </c>
      <c r="D96" s="2351" t="s">
        <v>605</v>
      </c>
      <c r="E96" s="2352" t="s">
        <v>606</v>
      </c>
      <c r="F96" s="2331" t="s">
        <v>607</v>
      </c>
      <c r="G96" s="2333" t="s">
        <v>106</v>
      </c>
      <c r="H96" s="2334" t="s">
        <v>40</v>
      </c>
      <c r="I96" s="2345">
        <v>292915</v>
      </c>
      <c r="J96" s="2161">
        <v>45992</v>
      </c>
      <c r="K96" s="2395">
        <v>23721</v>
      </c>
      <c r="L96" s="2354">
        <v>29490</v>
      </c>
      <c r="M96" s="2355">
        <f>K96+M85</f>
        <v>224685</v>
      </c>
      <c r="N96" s="2356">
        <f>L96+N85</f>
        <v>218724</v>
      </c>
      <c r="O96" s="2357"/>
      <c r="P96" s="2145" t="s">
        <v>670</v>
      </c>
      <c r="Q96" s="2146" t="s">
        <v>666</v>
      </c>
      <c r="R96" s="2121" t="s">
        <v>667</v>
      </c>
      <c r="S96" s="2121" t="s">
        <v>660</v>
      </c>
      <c r="T96" s="1890"/>
      <c r="U96" s="1890"/>
      <c r="V96" s="1890"/>
      <c r="W96" s="1890"/>
    </row>
    <row r="97" spans="1:23" s="1891" customFormat="1" ht="34.35" customHeight="1">
      <c r="A97" s="2329" t="s">
        <v>16</v>
      </c>
      <c r="B97" s="2330" t="s">
        <v>604</v>
      </c>
      <c r="C97" s="2331">
        <v>8</v>
      </c>
      <c r="D97" s="2332" t="s">
        <v>608</v>
      </c>
      <c r="E97" s="2304" t="s">
        <v>609</v>
      </c>
      <c r="F97" s="2331" t="s">
        <v>133</v>
      </c>
      <c r="G97" s="2333" t="s">
        <v>106</v>
      </c>
      <c r="H97" s="2334" t="s">
        <v>610</v>
      </c>
      <c r="I97" s="2341">
        <v>-0.01</v>
      </c>
      <c r="J97" s="2160">
        <v>45992</v>
      </c>
      <c r="K97" s="2365"/>
      <c r="L97" s="2366"/>
      <c r="M97" s="2367">
        <v>-7.4970000000000019E-3</v>
      </c>
      <c r="N97" s="2339">
        <v>-6.9900000000000004E-2</v>
      </c>
      <c r="O97" s="2340"/>
      <c r="P97" s="2145"/>
      <c r="Q97" s="2146"/>
      <c r="R97" s="2121"/>
      <c r="S97" s="2121"/>
      <c r="T97" s="1890"/>
      <c r="U97" s="1890"/>
      <c r="V97" s="1890"/>
      <c r="W97" s="1890"/>
    </row>
    <row r="98" spans="1:23" s="1891" customFormat="1" ht="90.6" customHeight="1">
      <c r="A98" s="2329" t="s">
        <v>16</v>
      </c>
      <c r="B98" s="2358" t="s">
        <v>604</v>
      </c>
      <c r="C98" s="2331">
        <v>9</v>
      </c>
      <c r="D98" s="2351" t="s">
        <v>611</v>
      </c>
      <c r="E98" s="2352" t="s">
        <v>612</v>
      </c>
      <c r="F98" s="2331" t="s">
        <v>136</v>
      </c>
      <c r="G98" s="2333" t="s">
        <v>106</v>
      </c>
      <c r="H98" s="2334" t="s">
        <v>40</v>
      </c>
      <c r="I98" s="2368">
        <v>8.84</v>
      </c>
      <c r="J98" s="2160">
        <v>45992</v>
      </c>
      <c r="K98" s="2306">
        <v>0.94</v>
      </c>
      <c r="L98" s="2308">
        <v>1.08</v>
      </c>
      <c r="M98" s="2369">
        <f>M87+K98</f>
        <v>7.5163639999999994</v>
      </c>
      <c r="N98" s="2370">
        <f>L98+N87</f>
        <v>7.6180000000000003</v>
      </c>
      <c r="O98" s="2371"/>
      <c r="P98" s="2145" t="s">
        <v>671</v>
      </c>
      <c r="Q98" s="2146" t="s">
        <v>666</v>
      </c>
      <c r="R98" s="2121" t="s">
        <v>667</v>
      </c>
      <c r="S98" s="2121" t="s">
        <v>660</v>
      </c>
      <c r="T98" s="1890"/>
      <c r="U98" s="1890"/>
      <c r="V98" s="1890"/>
      <c r="W98" s="1890"/>
    </row>
    <row r="99" spans="1:23" ht="34.35" customHeight="1">
      <c r="A99" s="2329" t="s">
        <v>16</v>
      </c>
      <c r="B99" s="2364" t="s">
        <v>613</v>
      </c>
      <c r="C99" s="2331">
        <v>10</v>
      </c>
      <c r="D99" s="2332" t="s">
        <v>614</v>
      </c>
      <c r="E99" s="2304" t="s">
        <v>615</v>
      </c>
      <c r="F99" s="2331" t="s">
        <v>616</v>
      </c>
      <c r="G99" s="2333" t="s">
        <v>39</v>
      </c>
      <c r="H99" s="2334" t="s">
        <v>285</v>
      </c>
      <c r="I99" s="2305">
        <v>0.192</v>
      </c>
      <c r="J99" s="2160">
        <v>45992</v>
      </c>
      <c r="K99" s="2306">
        <v>0.1925</v>
      </c>
      <c r="L99" s="2308">
        <v>0.1792</v>
      </c>
      <c r="M99" s="2373">
        <v>0.1925</v>
      </c>
      <c r="N99" s="2308">
        <v>0.17380000000000001</v>
      </c>
      <c r="O99" s="2374"/>
      <c r="P99" s="2145"/>
      <c r="Q99" s="2146"/>
      <c r="R99" s="2121"/>
      <c r="S99" s="2121"/>
    </row>
    <row r="100" spans="1:23" ht="57" customHeight="1">
      <c r="A100" s="2375" t="s">
        <v>16</v>
      </c>
      <c r="B100" s="2376" t="s">
        <v>613</v>
      </c>
      <c r="C100" s="2377">
        <v>11</v>
      </c>
      <c r="D100" s="2378" t="s">
        <v>617</v>
      </c>
      <c r="E100" s="2379" t="s">
        <v>618</v>
      </c>
      <c r="F100" s="2377" t="s">
        <v>619</v>
      </c>
      <c r="G100" s="2380" t="s">
        <v>39</v>
      </c>
      <c r="H100" s="2381" t="s">
        <v>285</v>
      </c>
      <c r="I100" s="2310">
        <v>3298</v>
      </c>
      <c r="J100" s="2229">
        <v>45992</v>
      </c>
      <c r="K100" s="2311">
        <v>270</v>
      </c>
      <c r="L100" s="2382">
        <v>271.17</v>
      </c>
      <c r="M100" s="2383">
        <f>M89+K100</f>
        <v>2481</v>
      </c>
      <c r="N100" s="2313">
        <f>N89+L100</f>
        <v>2385.6</v>
      </c>
      <c r="O100" s="2384"/>
      <c r="P100" s="2385" t="s">
        <v>672</v>
      </c>
      <c r="Q100" s="2386" t="s">
        <v>57</v>
      </c>
      <c r="R100" s="2387" t="s">
        <v>57</v>
      </c>
      <c r="S100" s="2387" t="s">
        <v>57</v>
      </c>
    </row>
    <row r="101" spans="1:23" s="1891" customFormat="1" ht="159" customHeight="1">
      <c r="A101" s="2314" t="s">
        <v>16</v>
      </c>
      <c r="B101" s="2257" t="s">
        <v>586</v>
      </c>
      <c r="C101" s="2315">
        <v>1</v>
      </c>
      <c r="D101" s="2316" t="s">
        <v>587</v>
      </c>
      <c r="E101" s="2317" t="s">
        <v>588</v>
      </c>
      <c r="F101" s="2315" t="s">
        <v>589</v>
      </c>
      <c r="G101" s="2318" t="s">
        <v>106</v>
      </c>
      <c r="H101" s="2319" t="s">
        <v>40</v>
      </c>
      <c r="I101" s="2320">
        <v>40244</v>
      </c>
      <c r="J101" s="2388">
        <v>46023</v>
      </c>
      <c r="K101" s="2389">
        <v>2767</v>
      </c>
      <c r="L101" s="2323">
        <v>2909</v>
      </c>
      <c r="M101" s="2324">
        <f>K101+K90+K79+K68+K57+K46+K35+K24+K13+K2</f>
        <v>33464</v>
      </c>
      <c r="N101" s="2325">
        <v>33898</v>
      </c>
      <c r="O101" s="2326"/>
      <c r="P101" s="2233" t="s">
        <v>673</v>
      </c>
      <c r="Q101" s="2234" t="s">
        <v>658</v>
      </c>
      <c r="R101" s="2328" t="s">
        <v>664</v>
      </c>
      <c r="S101" s="2236" t="s">
        <v>660</v>
      </c>
      <c r="T101" s="1890"/>
      <c r="U101" s="1890"/>
      <c r="V101" s="1890"/>
      <c r="W101" s="1890"/>
    </row>
    <row r="102" spans="1:23" s="1891" customFormat="1" ht="34.35" customHeight="1">
      <c r="A102" s="2329" t="s">
        <v>16</v>
      </c>
      <c r="B102" s="2330" t="s">
        <v>586</v>
      </c>
      <c r="C102" s="2331">
        <v>2</v>
      </c>
      <c r="D102" s="2332" t="s">
        <v>593</v>
      </c>
      <c r="E102" s="2331" t="s">
        <v>594</v>
      </c>
      <c r="F102" s="2331" t="s">
        <v>133</v>
      </c>
      <c r="G102" s="2333" t="s">
        <v>106</v>
      </c>
      <c r="H102" s="2334" t="s">
        <v>40</v>
      </c>
      <c r="I102" s="2335">
        <v>-0.02</v>
      </c>
      <c r="J102" s="2160">
        <v>46023</v>
      </c>
      <c r="K102" s="2336"/>
      <c r="L102" s="2337"/>
      <c r="M102" s="2338">
        <v>-1.6669999999999997E-2</v>
      </c>
      <c r="N102" s="2339">
        <v>-0.11269999999999999</v>
      </c>
      <c r="O102" s="2340"/>
      <c r="P102" s="2145"/>
      <c r="Q102" s="2146"/>
      <c r="R102" s="2142"/>
      <c r="S102" s="2121"/>
      <c r="T102" s="1890"/>
      <c r="U102" s="1890"/>
      <c r="V102" s="1890"/>
      <c r="W102" s="1890"/>
    </row>
    <row r="103" spans="1:23" s="1891" customFormat="1" ht="34.35" customHeight="1">
      <c r="A103" s="2329" t="s">
        <v>16</v>
      </c>
      <c r="B103" s="2330" t="s">
        <v>586</v>
      </c>
      <c r="C103" s="2331">
        <v>3</v>
      </c>
      <c r="D103" s="2332" t="s">
        <v>595</v>
      </c>
      <c r="E103" s="2331" t="s">
        <v>596</v>
      </c>
      <c r="F103" s="2331" t="s">
        <v>133</v>
      </c>
      <c r="G103" s="2333" t="s">
        <v>106</v>
      </c>
      <c r="H103" s="2334" t="s">
        <v>597</v>
      </c>
      <c r="I103" s="2341">
        <v>-7.0000000000000007E-2</v>
      </c>
      <c r="J103" s="2160">
        <v>46023</v>
      </c>
      <c r="K103" s="2342">
        <f>-0.77/100</f>
        <v>-7.7000000000000002E-3</v>
      </c>
      <c r="L103" s="2343">
        <v>-7.9000000000000008E-3</v>
      </c>
      <c r="M103" s="2338">
        <f>K103+M92</f>
        <v>-5.729999999999999E-2</v>
      </c>
      <c r="N103" s="2339">
        <v>-5.9900000000000002E-2</v>
      </c>
      <c r="O103" s="2344"/>
      <c r="P103" s="2145"/>
      <c r="Q103" s="2146"/>
      <c r="R103" s="2142"/>
      <c r="S103" s="2121"/>
      <c r="T103" s="1890"/>
      <c r="U103" s="1890"/>
      <c r="V103" s="1890"/>
      <c r="W103" s="1890"/>
    </row>
    <row r="104" spans="1:23" s="1891" customFormat="1" ht="34.35" customHeight="1">
      <c r="A104" s="2329" t="s">
        <v>16</v>
      </c>
      <c r="B104" s="2330" t="s">
        <v>586</v>
      </c>
      <c r="C104" s="2331">
        <v>4</v>
      </c>
      <c r="D104" s="2332" t="s">
        <v>595</v>
      </c>
      <c r="E104" s="2331" t="s">
        <v>598</v>
      </c>
      <c r="F104" s="2331" t="s">
        <v>589</v>
      </c>
      <c r="G104" s="2333" t="s">
        <v>106</v>
      </c>
      <c r="H104" s="2334" t="s">
        <v>597</v>
      </c>
      <c r="I104" s="2345">
        <v>-3020</v>
      </c>
      <c r="J104" s="2160">
        <v>46023</v>
      </c>
      <c r="K104" s="2346">
        <v>-315.24</v>
      </c>
      <c r="L104" s="2347">
        <v>-324.14999999999998</v>
      </c>
      <c r="M104" s="2348">
        <f>K104+M93</f>
        <v>-2353.3000000000002</v>
      </c>
      <c r="N104" s="2349">
        <v>-2499.79</v>
      </c>
      <c r="O104" s="2350"/>
      <c r="P104" s="2145"/>
      <c r="Q104" s="2146"/>
      <c r="R104" s="2142"/>
      <c r="S104" s="2121"/>
      <c r="T104" s="1890"/>
      <c r="U104" s="1890"/>
      <c r="V104" s="1890"/>
      <c r="W104" s="1890"/>
    </row>
    <row r="105" spans="1:23" s="1891" customFormat="1" ht="34.35" customHeight="1">
      <c r="A105" s="2329" t="s">
        <v>16</v>
      </c>
      <c r="B105" s="2330" t="s">
        <v>586</v>
      </c>
      <c r="C105" s="2331">
        <v>5</v>
      </c>
      <c r="D105" s="2351" t="s">
        <v>599</v>
      </c>
      <c r="E105" s="2331">
        <v>39</v>
      </c>
      <c r="F105" s="2331" t="s">
        <v>288</v>
      </c>
      <c r="G105" s="2333" t="s">
        <v>106</v>
      </c>
      <c r="H105" s="2334" t="s">
        <v>40</v>
      </c>
      <c r="I105" s="2352">
        <v>39</v>
      </c>
      <c r="J105" s="2161">
        <v>46023</v>
      </c>
      <c r="K105" s="2395">
        <v>3</v>
      </c>
      <c r="L105" s="2354">
        <v>3</v>
      </c>
      <c r="M105" s="2355">
        <f>K105+K94+K83+K72+K61+K50+K39+K27+K17+K6</f>
        <v>35</v>
      </c>
      <c r="N105" s="2356">
        <f>L105+N94</f>
        <v>21</v>
      </c>
      <c r="O105" s="2357"/>
      <c r="P105" s="2240"/>
      <c r="Q105" s="2241"/>
      <c r="R105" s="2142"/>
      <c r="S105" s="2121"/>
      <c r="T105" s="1890"/>
      <c r="U105" s="1890"/>
      <c r="V105" s="1890"/>
      <c r="W105" s="1890"/>
    </row>
    <row r="106" spans="1:23" s="1891" customFormat="1" ht="34.35" customHeight="1">
      <c r="A106" s="2329" t="s">
        <v>16</v>
      </c>
      <c r="B106" s="2358" t="s">
        <v>586</v>
      </c>
      <c r="C106" s="2331">
        <v>6</v>
      </c>
      <c r="D106" s="2351" t="s">
        <v>601</v>
      </c>
      <c r="E106" s="2352" t="s">
        <v>602</v>
      </c>
      <c r="F106" s="2331" t="s">
        <v>136</v>
      </c>
      <c r="G106" s="2333" t="s">
        <v>106</v>
      </c>
      <c r="H106" s="2334" t="s">
        <v>40</v>
      </c>
      <c r="I106" s="2345">
        <v>251.99</v>
      </c>
      <c r="J106" s="2160">
        <v>46023</v>
      </c>
      <c r="K106" s="2292">
        <v>21.984000000000002</v>
      </c>
      <c r="L106" s="2359">
        <v>16.294</v>
      </c>
      <c r="M106" s="2360">
        <f>K106+K95+K84+K73+K62+K51+K40+K28+K18+K7</f>
        <v>217.148</v>
      </c>
      <c r="N106" s="2361">
        <f>L106+N95</f>
        <v>205.35599999999997</v>
      </c>
      <c r="O106" s="2362"/>
      <c r="P106" s="2240"/>
      <c r="Q106" s="2241"/>
      <c r="R106" s="2363"/>
      <c r="S106" s="2121"/>
      <c r="T106" s="1890"/>
      <c r="U106" s="1890"/>
      <c r="V106" s="1890"/>
      <c r="W106" s="1890"/>
    </row>
    <row r="107" spans="1:23" s="1891" customFormat="1" ht="34.35" customHeight="1">
      <c r="A107" s="2329" t="s">
        <v>16</v>
      </c>
      <c r="B107" s="2364" t="s">
        <v>604</v>
      </c>
      <c r="C107" s="2331">
        <v>7</v>
      </c>
      <c r="D107" s="2351" t="s">
        <v>605</v>
      </c>
      <c r="E107" s="2352" t="s">
        <v>606</v>
      </c>
      <c r="F107" s="2331" t="s">
        <v>607</v>
      </c>
      <c r="G107" s="2333" t="s">
        <v>106</v>
      </c>
      <c r="H107" s="2334" t="s">
        <v>40</v>
      </c>
      <c r="I107" s="2345">
        <v>292915</v>
      </c>
      <c r="J107" s="2160">
        <v>46023</v>
      </c>
      <c r="K107" s="2353">
        <v>26274</v>
      </c>
      <c r="L107" s="2354">
        <v>22398</v>
      </c>
      <c r="M107" s="2355">
        <f>K107+M96</f>
        <v>250959</v>
      </c>
      <c r="N107" s="2356">
        <f>L107+N96</f>
        <v>241122</v>
      </c>
      <c r="O107" s="2357"/>
      <c r="P107" s="2145"/>
      <c r="Q107" s="2146"/>
      <c r="R107" s="2142"/>
      <c r="S107" s="2121"/>
      <c r="T107" s="1890"/>
      <c r="U107" s="1890"/>
      <c r="V107" s="1890"/>
      <c r="W107" s="1890"/>
    </row>
    <row r="108" spans="1:23" s="1891" customFormat="1" ht="34.35" customHeight="1">
      <c r="A108" s="2329" t="s">
        <v>16</v>
      </c>
      <c r="B108" s="2330" t="s">
        <v>604</v>
      </c>
      <c r="C108" s="2331">
        <v>8</v>
      </c>
      <c r="D108" s="2332" t="s">
        <v>608</v>
      </c>
      <c r="E108" s="2304" t="s">
        <v>609</v>
      </c>
      <c r="F108" s="2331" t="s">
        <v>133</v>
      </c>
      <c r="G108" s="2333" t="s">
        <v>106</v>
      </c>
      <c r="H108" s="2334" t="s">
        <v>610</v>
      </c>
      <c r="I108" s="2341">
        <v>-0.01</v>
      </c>
      <c r="J108" s="2160">
        <v>46023</v>
      </c>
      <c r="K108" s="2365"/>
      <c r="L108" s="2366"/>
      <c r="M108" s="2367">
        <v>-8.3300000000000023E-3</v>
      </c>
      <c r="N108" s="2339">
        <v>-8.2000000000000003E-2</v>
      </c>
      <c r="O108" s="2340"/>
      <c r="P108" s="2145"/>
      <c r="Q108" s="2146"/>
      <c r="R108" s="2142"/>
      <c r="S108" s="2121"/>
      <c r="T108" s="1890"/>
      <c r="U108" s="1890"/>
      <c r="V108" s="1890"/>
      <c r="W108" s="1890"/>
    </row>
    <row r="109" spans="1:23" s="1891" customFormat="1" ht="30" customHeight="1">
      <c r="A109" s="2329" t="s">
        <v>16</v>
      </c>
      <c r="B109" s="2358" t="s">
        <v>604</v>
      </c>
      <c r="C109" s="2331">
        <v>9</v>
      </c>
      <c r="D109" s="2351" t="s">
        <v>611</v>
      </c>
      <c r="E109" s="2352" t="s">
        <v>612</v>
      </c>
      <c r="F109" s="2331" t="s">
        <v>136</v>
      </c>
      <c r="G109" s="2333" t="s">
        <v>106</v>
      </c>
      <c r="H109" s="2334" t="s">
        <v>40</v>
      </c>
      <c r="I109" s="2368">
        <v>8.84</v>
      </c>
      <c r="J109" s="2160">
        <v>46023</v>
      </c>
      <c r="K109" s="2306">
        <v>0.94</v>
      </c>
      <c r="L109" s="2308">
        <v>0.78</v>
      </c>
      <c r="M109" s="2369">
        <f>M98+K109</f>
        <v>8.4563639999999989</v>
      </c>
      <c r="N109" s="2370">
        <f>L109+N98</f>
        <v>8.3979999999999997</v>
      </c>
      <c r="O109" s="2371"/>
      <c r="P109" s="2145"/>
      <c r="Q109" s="2146"/>
      <c r="R109" s="2142"/>
      <c r="S109" s="2121"/>
      <c r="T109" s="1890"/>
      <c r="U109" s="1890"/>
      <c r="V109" s="1890"/>
      <c r="W109" s="1890"/>
    </row>
    <row r="110" spans="1:23" ht="34.35" customHeight="1">
      <c r="A110" s="2329" t="s">
        <v>16</v>
      </c>
      <c r="B110" s="2364" t="s">
        <v>613</v>
      </c>
      <c r="C110" s="2331">
        <v>10</v>
      </c>
      <c r="D110" s="2332" t="s">
        <v>614</v>
      </c>
      <c r="E110" s="2304" t="s">
        <v>615</v>
      </c>
      <c r="F110" s="2331" t="s">
        <v>616</v>
      </c>
      <c r="G110" s="2333" t="s">
        <v>39</v>
      </c>
      <c r="H110" s="2334" t="s">
        <v>285</v>
      </c>
      <c r="I110" s="2305">
        <v>0.192</v>
      </c>
      <c r="J110" s="2161">
        <v>46023</v>
      </c>
      <c r="K110" s="2372">
        <v>0.1923</v>
      </c>
      <c r="L110" s="2308">
        <v>0.16850000000000001</v>
      </c>
      <c r="M110" s="2373">
        <v>0.1923</v>
      </c>
      <c r="N110" s="2308">
        <v>0.17399999999999999</v>
      </c>
      <c r="O110" s="2374">
        <v>0.17399999999999999</v>
      </c>
      <c r="P110" s="2145"/>
      <c r="Q110" s="2147"/>
      <c r="R110" s="2143"/>
      <c r="S110" s="2131"/>
    </row>
    <row r="111" spans="1:23" ht="34.35" customHeight="1">
      <c r="A111" s="2375" t="s">
        <v>16</v>
      </c>
      <c r="B111" s="2376" t="s">
        <v>613</v>
      </c>
      <c r="C111" s="2377">
        <v>11</v>
      </c>
      <c r="D111" s="2378" t="s">
        <v>617</v>
      </c>
      <c r="E111" s="2379" t="s">
        <v>618</v>
      </c>
      <c r="F111" s="2377" t="s">
        <v>619</v>
      </c>
      <c r="G111" s="2380" t="s">
        <v>39</v>
      </c>
      <c r="H111" s="2381" t="s">
        <v>285</v>
      </c>
      <c r="I111" s="2310">
        <v>3298</v>
      </c>
      <c r="J111" s="2162">
        <v>46023</v>
      </c>
      <c r="K111" s="2394">
        <v>269</v>
      </c>
      <c r="L111" s="2382">
        <v>269.14999999999998</v>
      </c>
      <c r="M111" s="2383">
        <f>M100+K111</f>
        <v>2750</v>
      </c>
      <c r="N111" s="2313">
        <f>N100+L111</f>
        <v>2654.75</v>
      </c>
      <c r="O111" s="2384">
        <v>272.42</v>
      </c>
      <c r="P111" s="2148"/>
      <c r="Q111" s="2149"/>
      <c r="R111" s="2144"/>
      <c r="S111" s="2136"/>
    </row>
    <row r="112" spans="1:23" s="1891" customFormat="1" ht="34.35" customHeight="1">
      <c r="A112" s="2314" t="s">
        <v>16</v>
      </c>
      <c r="B112" s="2257" t="s">
        <v>586</v>
      </c>
      <c r="C112" s="2315">
        <v>1</v>
      </c>
      <c r="D112" s="2316" t="s">
        <v>587</v>
      </c>
      <c r="E112" s="2317" t="s">
        <v>588</v>
      </c>
      <c r="F112" s="2315" t="s">
        <v>589</v>
      </c>
      <c r="G112" s="2318" t="s">
        <v>106</v>
      </c>
      <c r="H112" s="2319" t="s">
        <v>40</v>
      </c>
      <c r="I112" s="2320">
        <v>40244</v>
      </c>
      <c r="J112" s="2321">
        <v>46054</v>
      </c>
      <c r="K112" s="2322">
        <v>3171</v>
      </c>
      <c r="L112" s="2323">
        <v>3598</v>
      </c>
      <c r="M112" s="2324">
        <f>K112+K101+K90+K79+K68+K57+K46+K35+K24+K13+K2</f>
        <v>36635</v>
      </c>
      <c r="N112" s="2325">
        <v>37494</v>
      </c>
      <c r="O112" s="2326"/>
      <c r="P112" s="2233" t="s">
        <v>674</v>
      </c>
      <c r="Q112" s="2327" t="s">
        <v>658</v>
      </c>
      <c r="R112" s="2328" t="s">
        <v>675</v>
      </c>
      <c r="S112" s="2236"/>
      <c r="T112" s="1890"/>
      <c r="U112" s="1890"/>
      <c r="V112" s="1890"/>
      <c r="W112" s="1890"/>
    </row>
    <row r="113" spans="1:23" s="1891" customFormat="1" ht="34.35" customHeight="1">
      <c r="A113" s="2329" t="s">
        <v>16</v>
      </c>
      <c r="B113" s="2330" t="s">
        <v>586</v>
      </c>
      <c r="C113" s="2331">
        <v>2</v>
      </c>
      <c r="D113" s="2332" t="s">
        <v>593</v>
      </c>
      <c r="E113" s="2331" t="s">
        <v>594</v>
      </c>
      <c r="F113" s="2331" t="s">
        <v>133</v>
      </c>
      <c r="G113" s="2333" t="s">
        <v>106</v>
      </c>
      <c r="H113" s="2334" t="s">
        <v>40</v>
      </c>
      <c r="I113" s="2335">
        <v>-0.02</v>
      </c>
      <c r="J113" s="2161">
        <v>46054</v>
      </c>
      <c r="K113" s="2393"/>
      <c r="L113" s="2337"/>
      <c r="M113" s="2338">
        <v>-1.8336999999999996E-2</v>
      </c>
      <c r="N113" s="2550">
        <v>-0.10979999999999999</v>
      </c>
      <c r="O113" s="2340"/>
      <c r="P113" s="2145"/>
      <c r="Q113" s="2146"/>
      <c r="R113" s="2121"/>
      <c r="S113" s="2121"/>
      <c r="T113" s="1890"/>
      <c r="U113" s="1890"/>
      <c r="V113" s="1890"/>
      <c r="W113" s="1890"/>
    </row>
    <row r="114" spans="1:23" s="1891" customFormat="1" ht="34.35" customHeight="1">
      <c r="A114" s="2329" t="s">
        <v>16</v>
      </c>
      <c r="B114" s="2330" t="s">
        <v>586</v>
      </c>
      <c r="C114" s="2331">
        <v>3</v>
      </c>
      <c r="D114" s="2332" t="s">
        <v>595</v>
      </c>
      <c r="E114" s="2331" t="s">
        <v>596</v>
      </c>
      <c r="F114" s="2331" t="s">
        <v>133</v>
      </c>
      <c r="G114" s="2333" t="s">
        <v>106</v>
      </c>
      <c r="H114" s="2334" t="s">
        <v>597</v>
      </c>
      <c r="I114" s="2341">
        <v>-7.0000000000000007E-2</v>
      </c>
      <c r="J114" s="2161">
        <v>46054</v>
      </c>
      <c r="K114" s="2396">
        <f>-0.71/100</f>
        <v>-7.0999999999999995E-3</v>
      </c>
      <c r="L114" s="2343">
        <v>-7.3000000000000001E-3</v>
      </c>
      <c r="M114" s="2338">
        <f>K114+M103</f>
        <v>-6.4399999999999985E-2</v>
      </c>
      <c r="N114" s="2339">
        <v>-6.7199999999999996E-2</v>
      </c>
      <c r="O114" s="2344"/>
      <c r="P114" s="2145"/>
      <c r="Q114" s="2146"/>
      <c r="R114" s="2121"/>
      <c r="S114" s="2121"/>
      <c r="T114" s="1890"/>
      <c r="U114" s="1890"/>
      <c r="V114" s="1890"/>
      <c r="W114" s="1890"/>
    </row>
    <row r="115" spans="1:23" s="1891" customFormat="1" ht="34.35" customHeight="1">
      <c r="A115" s="2329" t="s">
        <v>16</v>
      </c>
      <c r="B115" s="2330" t="s">
        <v>586</v>
      </c>
      <c r="C115" s="2331">
        <v>4</v>
      </c>
      <c r="D115" s="2332" t="s">
        <v>595</v>
      </c>
      <c r="E115" s="2331" t="s">
        <v>598</v>
      </c>
      <c r="F115" s="2331" t="s">
        <v>589</v>
      </c>
      <c r="G115" s="2333" t="s">
        <v>106</v>
      </c>
      <c r="H115" s="2334" t="s">
        <v>597</v>
      </c>
      <c r="I115" s="2345">
        <v>-3020</v>
      </c>
      <c r="J115" s="2161">
        <v>46054</v>
      </c>
      <c r="K115" s="2392">
        <v>-290</v>
      </c>
      <c r="L115" s="2347">
        <v>-299.48</v>
      </c>
      <c r="M115" s="2348">
        <f>K115+M104</f>
        <v>-2643.3</v>
      </c>
      <c r="N115" s="2349">
        <v>-2749.26</v>
      </c>
      <c r="O115" s="2350"/>
      <c r="P115" s="2145"/>
      <c r="Q115" s="2146"/>
      <c r="R115" s="2121"/>
      <c r="S115" s="2121"/>
      <c r="T115" s="1890"/>
      <c r="U115" s="1890"/>
      <c r="V115" s="1890"/>
      <c r="W115" s="1890"/>
    </row>
    <row r="116" spans="1:23" s="1891" customFormat="1" ht="34.35" customHeight="1">
      <c r="A116" s="2329" t="s">
        <v>16</v>
      </c>
      <c r="B116" s="2330" t="s">
        <v>586</v>
      </c>
      <c r="C116" s="2331">
        <v>5</v>
      </c>
      <c r="D116" s="2351" t="s">
        <v>599</v>
      </c>
      <c r="E116" s="2331">
        <v>39</v>
      </c>
      <c r="F116" s="2331" t="s">
        <v>288</v>
      </c>
      <c r="G116" s="2333" t="s">
        <v>106</v>
      </c>
      <c r="H116" s="2334" t="s">
        <v>40</v>
      </c>
      <c r="I116" s="2352">
        <v>39</v>
      </c>
      <c r="J116" s="2161">
        <v>46054</v>
      </c>
      <c r="K116" s="2395">
        <v>2</v>
      </c>
      <c r="L116" s="2354">
        <v>2</v>
      </c>
      <c r="M116" s="2355">
        <f>K116+K105+K94+K83+K72+K61+K50+K39+K27+K17+K6</f>
        <v>37</v>
      </c>
      <c r="N116" s="2356">
        <f>L116+N105</f>
        <v>23</v>
      </c>
      <c r="O116" s="2357"/>
      <c r="P116" s="2240"/>
      <c r="Q116" s="2241"/>
      <c r="R116" s="2121"/>
      <c r="S116" s="2121"/>
      <c r="T116" s="1890"/>
      <c r="U116" s="1890"/>
      <c r="V116" s="1890"/>
      <c r="W116" s="1890"/>
    </row>
    <row r="117" spans="1:23" s="1891" customFormat="1" ht="34.35" customHeight="1">
      <c r="A117" s="2329" t="s">
        <v>16</v>
      </c>
      <c r="B117" s="2358" t="s">
        <v>586</v>
      </c>
      <c r="C117" s="2331">
        <v>6</v>
      </c>
      <c r="D117" s="2351" t="s">
        <v>601</v>
      </c>
      <c r="E117" s="2352" t="s">
        <v>602</v>
      </c>
      <c r="F117" s="2331" t="s">
        <v>136</v>
      </c>
      <c r="G117" s="2333" t="s">
        <v>106</v>
      </c>
      <c r="H117" s="2334" t="s">
        <v>40</v>
      </c>
      <c r="I117" s="2345">
        <v>251.99</v>
      </c>
      <c r="J117" s="2161">
        <v>46054</v>
      </c>
      <c r="K117" s="2391">
        <v>20.885000000000002</v>
      </c>
      <c r="L117" s="2359">
        <v>20.795000000000002</v>
      </c>
      <c r="M117" s="2360">
        <f>K117+K106+K95+K84+K73+K62+K51+K40+K28+K18+K7</f>
        <v>238.03299999999999</v>
      </c>
      <c r="N117" s="2361">
        <f>L117+N106</f>
        <v>226.15099999999995</v>
      </c>
      <c r="O117" s="2362"/>
      <c r="P117" s="2240"/>
      <c r="Q117" s="2241"/>
      <c r="R117" s="2363"/>
      <c r="S117" s="2121"/>
      <c r="T117" s="1890"/>
      <c r="U117" s="1890"/>
      <c r="V117" s="1890"/>
      <c r="W117" s="1890"/>
    </row>
    <row r="118" spans="1:23" s="1891" customFormat="1" ht="34.35" customHeight="1">
      <c r="A118" s="2329" t="s">
        <v>16</v>
      </c>
      <c r="B118" s="2364" t="s">
        <v>604</v>
      </c>
      <c r="C118" s="2331">
        <v>7</v>
      </c>
      <c r="D118" s="2351" t="s">
        <v>605</v>
      </c>
      <c r="E118" s="2352" t="s">
        <v>606</v>
      </c>
      <c r="F118" s="2331" t="s">
        <v>607</v>
      </c>
      <c r="G118" s="2333" t="s">
        <v>106</v>
      </c>
      <c r="H118" s="2334" t="s">
        <v>40</v>
      </c>
      <c r="I118" s="2345">
        <v>292915</v>
      </c>
      <c r="J118" s="2161">
        <v>46054</v>
      </c>
      <c r="K118" s="2395">
        <v>25286</v>
      </c>
      <c r="L118" s="2354">
        <v>28677</v>
      </c>
      <c r="M118" s="2355">
        <f>K118+M107</f>
        <v>276245</v>
      </c>
      <c r="N118" s="2356">
        <v>269799</v>
      </c>
      <c r="O118" s="2357"/>
      <c r="P118" s="2240" t="s">
        <v>676</v>
      </c>
      <c r="Q118" s="2146"/>
      <c r="R118" s="2328"/>
      <c r="S118" s="2121"/>
      <c r="T118" s="1890"/>
      <c r="U118" s="1890"/>
      <c r="V118" s="1890"/>
      <c r="W118" s="1890"/>
    </row>
    <row r="119" spans="1:23" s="1891" customFormat="1" ht="34.35" customHeight="1">
      <c r="A119" s="2329" t="s">
        <v>16</v>
      </c>
      <c r="B119" s="2330" t="s">
        <v>604</v>
      </c>
      <c r="C119" s="2331">
        <v>8</v>
      </c>
      <c r="D119" s="2332" t="s">
        <v>608</v>
      </c>
      <c r="E119" s="2304" t="s">
        <v>609</v>
      </c>
      <c r="F119" s="2331" t="s">
        <v>133</v>
      </c>
      <c r="G119" s="2333" t="s">
        <v>106</v>
      </c>
      <c r="H119" s="2334" t="s">
        <v>610</v>
      </c>
      <c r="I119" s="2341">
        <v>-0.01</v>
      </c>
      <c r="J119" s="2161">
        <v>46054</v>
      </c>
      <c r="K119" s="2390"/>
      <c r="L119" s="2366"/>
      <c r="M119" s="2367">
        <v>-9.1630000000000027E-3</v>
      </c>
      <c r="N119" s="2550">
        <v>-6.8400000000000002E-2</v>
      </c>
      <c r="O119" s="2340"/>
      <c r="P119" s="2145"/>
      <c r="Q119" s="2146"/>
      <c r="R119" s="2121"/>
      <c r="S119" s="2121"/>
      <c r="T119" s="1890"/>
      <c r="U119" s="1890"/>
      <c r="V119" s="1890"/>
      <c r="W119" s="1890"/>
    </row>
    <row r="120" spans="1:23" s="1891" customFormat="1" ht="34.35" customHeight="1">
      <c r="A120" s="2329" t="s">
        <v>16</v>
      </c>
      <c r="B120" s="2358" t="s">
        <v>604</v>
      </c>
      <c r="C120" s="2331">
        <v>9</v>
      </c>
      <c r="D120" s="2351" t="s">
        <v>611</v>
      </c>
      <c r="E120" s="2352" t="s">
        <v>612</v>
      </c>
      <c r="F120" s="2331" t="s">
        <v>136</v>
      </c>
      <c r="G120" s="2333" t="s">
        <v>106</v>
      </c>
      <c r="H120" s="2334" t="s">
        <v>40</v>
      </c>
      <c r="I120" s="2368">
        <v>8.84</v>
      </c>
      <c r="J120" s="2161">
        <v>46054</v>
      </c>
      <c r="K120" s="2372">
        <v>0.89300000000000002</v>
      </c>
      <c r="L120" s="2308">
        <v>1.0489999999999999</v>
      </c>
      <c r="M120" s="2369">
        <f>M109+K120</f>
        <v>9.3493639999999996</v>
      </c>
      <c r="N120" s="2370">
        <f>L120+N109</f>
        <v>9.4469999999999992</v>
      </c>
      <c r="O120" s="2371"/>
      <c r="P120" s="2240" t="s">
        <v>677</v>
      </c>
      <c r="Q120" s="2241"/>
      <c r="R120" s="2121"/>
      <c r="S120" s="2121"/>
      <c r="T120" s="1890"/>
      <c r="U120" s="1890"/>
      <c r="V120" s="1890"/>
      <c r="W120" s="1890"/>
    </row>
    <row r="121" spans="1:23" ht="34.35" customHeight="1">
      <c r="A121" s="2329" t="s">
        <v>16</v>
      </c>
      <c r="B121" s="2364" t="s">
        <v>613</v>
      </c>
      <c r="C121" s="2331">
        <v>10</v>
      </c>
      <c r="D121" s="2332" t="s">
        <v>614</v>
      </c>
      <c r="E121" s="2304" t="s">
        <v>615</v>
      </c>
      <c r="F121" s="2331" t="s">
        <v>616</v>
      </c>
      <c r="G121" s="2333" t="s">
        <v>39</v>
      </c>
      <c r="H121" s="2334" t="s">
        <v>285</v>
      </c>
      <c r="I121" s="2305">
        <v>0.192</v>
      </c>
      <c r="J121" s="2161">
        <v>46054</v>
      </c>
      <c r="K121" s="2372">
        <v>0.19220000000000001</v>
      </c>
      <c r="L121" s="2308">
        <v>0.17080000000000001</v>
      </c>
      <c r="M121" s="2373">
        <v>0.19220000000000001</v>
      </c>
      <c r="N121" s="2308">
        <v>0.17369999999999999</v>
      </c>
      <c r="O121" s="2374">
        <v>0.17369999999999999</v>
      </c>
      <c r="P121" s="2145"/>
      <c r="Q121" s="2146"/>
      <c r="R121" s="2121"/>
      <c r="S121" s="2121"/>
    </row>
    <row r="122" spans="1:23" ht="34.35" customHeight="1">
      <c r="A122" s="2375" t="s">
        <v>16</v>
      </c>
      <c r="B122" s="2376" t="s">
        <v>613</v>
      </c>
      <c r="C122" s="2377">
        <v>11</v>
      </c>
      <c r="D122" s="2378" t="s">
        <v>617</v>
      </c>
      <c r="E122" s="2379" t="s">
        <v>618</v>
      </c>
      <c r="F122" s="2377" t="s">
        <v>619</v>
      </c>
      <c r="G122" s="2380" t="s">
        <v>39</v>
      </c>
      <c r="H122" s="2381" t="s">
        <v>285</v>
      </c>
      <c r="I122" s="2310">
        <v>3298</v>
      </c>
      <c r="J122" s="2162">
        <v>46054</v>
      </c>
      <c r="K122" s="2394">
        <v>263</v>
      </c>
      <c r="L122" s="2382">
        <v>267.27</v>
      </c>
      <c r="M122" s="2383">
        <f>M111+K122</f>
        <v>3013</v>
      </c>
      <c r="N122" s="2313">
        <f>N111+L122</f>
        <v>2922.02</v>
      </c>
      <c r="O122" s="2384">
        <v>3226.47</v>
      </c>
      <c r="P122" s="2385" t="s">
        <v>678</v>
      </c>
      <c r="Q122" s="2386"/>
      <c r="R122" s="2387"/>
      <c r="S122" s="2387"/>
    </row>
    <row r="123" spans="1:23" s="1891" customFormat="1" ht="34.35" customHeight="1">
      <c r="A123" s="2314" t="s">
        <v>16</v>
      </c>
      <c r="B123" s="2257" t="s">
        <v>586</v>
      </c>
      <c r="C123" s="2315">
        <v>1</v>
      </c>
      <c r="D123" s="2316" t="s">
        <v>587</v>
      </c>
      <c r="E123" s="2317" t="s">
        <v>588</v>
      </c>
      <c r="F123" s="2315" t="s">
        <v>589</v>
      </c>
      <c r="G123" s="2318" t="s">
        <v>106</v>
      </c>
      <c r="H123" s="2319" t="s">
        <v>40</v>
      </c>
      <c r="I123" s="2320">
        <v>40244</v>
      </c>
      <c r="J123" s="2321">
        <v>46082</v>
      </c>
      <c r="K123" s="2322">
        <v>3609</v>
      </c>
      <c r="L123" s="2323"/>
      <c r="M123" s="2324">
        <f>K123+K112+K101+K90+K79+K68+K57+K46+K35+K24+K13+K2</f>
        <v>40244</v>
      </c>
      <c r="N123" s="2325"/>
      <c r="O123" s="2326"/>
      <c r="P123" s="2233"/>
      <c r="Q123" s="2327"/>
      <c r="R123" s="2328"/>
      <c r="S123" s="2236"/>
      <c r="T123" s="1890"/>
      <c r="U123" s="1890"/>
      <c r="V123" s="1890"/>
      <c r="W123" s="1890"/>
    </row>
    <row r="124" spans="1:23" s="1891" customFormat="1" ht="34.35" customHeight="1">
      <c r="A124" s="2329" t="s">
        <v>16</v>
      </c>
      <c r="B124" s="2330" t="s">
        <v>586</v>
      </c>
      <c r="C124" s="2331">
        <v>2</v>
      </c>
      <c r="D124" s="2332" t="s">
        <v>593</v>
      </c>
      <c r="E124" s="2331" t="s">
        <v>594</v>
      </c>
      <c r="F124" s="2331" t="s">
        <v>133</v>
      </c>
      <c r="G124" s="2333" t="s">
        <v>106</v>
      </c>
      <c r="H124" s="2334" t="s">
        <v>40</v>
      </c>
      <c r="I124" s="2335">
        <v>-0.02</v>
      </c>
      <c r="J124" s="2161">
        <v>46082</v>
      </c>
      <c r="K124" s="2393"/>
      <c r="L124" s="2337"/>
      <c r="M124" s="2338">
        <v>-2.0003999999999994E-2</v>
      </c>
      <c r="N124" s="2339"/>
      <c r="O124" s="2340"/>
      <c r="P124" s="2145"/>
      <c r="Q124" s="2146"/>
      <c r="R124" s="2121"/>
      <c r="S124" s="2121"/>
      <c r="T124" s="1890"/>
      <c r="U124" s="1890"/>
      <c r="V124" s="1890"/>
      <c r="W124" s="1890"/>
    </row>
    <row r="125" spans="1:23" s="1891" customFormat="1" ht="34.35" customHeight="1">
      <c r="A125" s="2329" t="s">
        <v>16</v>
      </c>
      <c r="B125" s="2330" t="s">
        <v>586</v>
      </c>
      <c r="C125" s="2331">
        <v>3</v>
      </c>
      <c r="D125" s="2332" t="s">
        <v>595</v>
      </c>
      <c r="E125" s="2331" t="s">
        <v>596</v>
      </c>
      <c r="F125" s="2331" t="s">
        <v>133</v>
      </c>
      <c r="G125" s="2333" t="s">
        <v>106</v>
      </c>
      <c r="H125" s="2334" t="s">
        <v>597</v>
      </c>
      <c r="I125" s="2341">
        <v>-7.0000000000000007E-2</v>
      </c>
      <c r="J125" s="2161">
        <v>46082</v>
      </c>
      <c r="K125" s="2396">
        <f>-0.92/100</f>
        <v>-9.1999999999999998E-3</v>
      </c>
      <c r="L125" s="2343"/>
      <c r="M125" s="2338">
        <f>K125+M114</f>
        <v>-7.3599999999999985E-2</v>
      </c>
      <c r="N125" s="2339"/>
      <c r="O125" s="2344"/>
      <c r="P125" s="2145"/>
      <c r="Q125" s="2146"/>
      <c r="R125" s="2121"/>
      <c r="S125" s="2121"/>
      <c r="T125" s="1890"/>
      <c r="U125" s="1890"/>
      <c r="V125" s="1890"/>
      <c r="W125" s="1890"/>
    </row>
    <row r="126" spans="1:23" s="1891" customFormat="1" ht="34.35" customHeight="1">
      <c r="A126" s="2329" t="s">
        <v>16</v>
      </c>
      <c r="B126" s="2330" t="s">
        <v>586</v>
      </c>
      <c r="C126" s="2331">
        <v>4</v>
      </c>
      <c r="D126" s="2332" t="s">
        <v>595</v>
      </c>
      <c r="E126" s="2331" t="s">
        <v>598</v>
      </c>
      <c r="F126" s="2331" t="s">
        <v>589</v>
      </c>
      <c r="G126" s="2333" t="s">
        <v>106</v>
      </c>
      <c r="H126" s="2334" t="s">
        <v>597</v>
      </c>
      <c r="I126" s="2345">
        <v>-3020</v>
      </c>
      <c r="J126" s="2161">
        <v>46082</v>
      </c>
      <c r="K126" s="2392">
        <v>-376.7</v>
      </c>
      <c r="L126" s="2347"/>
      <c r="M126" s="2348">
        <f>K126+M115</f>
        <v>-3020</v>
      </c>
      <c r="N126" s="2349"/>
      <c r="O126" s="2350"/>
      <c r="P126" s="2145"/>
      <c r="Q126" s="2146"/>
      <c r="R126" s="2121"/>
      <c r="S126" s="2121"/>
      <c r="T126" s="1890"/>
      <c r="U126" s="1890"/>
      <c r="V126" s="1890"/>
      <c r="W126" s="1890"/>
    </row>
    <row r="127" spans="1:23" s="1891" customFormat="1" ht="34.35" customHeight="1">
      <c r="A127" s="2329" t="s">
        <v>16</v>
      </c>
      <c r="B127" s="2330" t="s">
        <v>586</v>
      </c>
      <c r="C127" s="2331">
        <v>5</v>
      </c>
      <c r="D127" s="2351" t="s">
        <v>599</v>
      </c>
      <c r="E127" s="2331">
        <v>39</v>
      </c>
      <c r="F127" s="2331" t="s">
        <v>288</v>
      </c>
      <c r="G127" s="2333" t="s">
        <v>106</v>
      </c>
      <c r="H127" s="2334" t="s">
        <v>40</v>
      </c>
      <c r="I127" s="2352">
        <v>39</v>
      </c>
      <c r="J127" s="2161">
        <v>46082</v>
      </c>
      <c r="K127" s="2395">
        <v>2</v>
      </c>
      <c r="L127" s="2354"/>
      <c r="M127" s="2355">
        <f>M116+K127</f>
        <v>39</v>
      </c>
      <c r="N127" s="2356"/>
      <c r="O127" s="2357"/>
      <c r="P127" s="2240"/>
      <c r="Q127" s="2241"/>
      <c r="R127" s="2121"/>
      <c r="S127" s="2121"/>
      <c r="T127" s="1890"/>
      <c r="U127" s="1890"/>
      <c r="V127" s="1890"/>
      <c r="W127" s="1890"/>
    </row>
    <row r="128" spans="1:23" s="1891" customFormat="1" ht="34.35" customHeight="1">
      <c r="A128" s="2329" t="s">
        <v>16</v>
      </c>
      <c r="B128" s="2358" t="s">
        <v>586</v>
      </c>
      <c r="C128" s="2331">
        <v>6</v>
      </c>
      <c r="D128" s="2351" t="s">
        <v>601</v>
      </c>
      <c r="E128" s="2352" t="s">
        <v>602</v>
      </c>
      <c r="F128" s="2331" t="s">
        <v>136</v>
      </c>
      <c r="G128" s="2333" t="s">
        <v>106</v>
      </c>
      <c r="H128" s="2334" t="s">
        <v>40</v>
      </c>
      <c r="I128" s="2345">
        <v>251.99</v>
      </c>
      <c r="J128" s="2161">
        <v>46082</v>
      </c>
      <c r="K128" s="2391">
        <v>25.280999999999999</v>
      </c>
      <c r="L128" s="2359"/>
      <c r="M128" s="2360">
        <f>K128+K117+K106+K95+K84+K73+K62+K51+K40+K28+K18+K7</f>
        <v>263.31400000000002</v>
      </c>
      <c r="N128" s="2361"/>
      <c r="O128" s="2362"/>
      <c r="P128" s="2240"/>
      <c r="Q128" s="2241"/>
      <c r="R128" s="2363"/>
      <c r="S128" s="2121"/>
      <c r="T128" s="1890"/>
      <c r="U128" s="1890"/>
      <c r="V128" s="1890"/>
      <c r="W128" s="1890"/>
    </row>
    <row r="129" spans="1:23" s="1891" customFormat="1" ht="34.35" customHeight="1">
      <c r="A129" s="2329" t="s">
        <v>16</v>
      </c>
      <c r="B129" s="2364" t="s">
        <v>604</v>
      </c>
      <c r="C129" s="2331">
        <v>7</v>
      </c>
      <c r="D129" s="2351" t="s">
        <v>605</v>
      </c>
      <c r="E129" s="2352" t="s">
        <v>606</v>
      </c>
      <c r="F129" s="2331" t="s">
        <v>607</v>
      </c>
      <c r="G129" s="2333" t="s">
        <v>106</v>
      </c>
      <c r="H129" s="2334" t="s">
        <v>40</v>
      </c>
      <c r="I129" s="2345">
        <v>292915</v>
      </c>
      <c r="J129" s="2161">
        <v>46082</v>
      </c>
      <c r="K129" s="2395">
        <v>30545</v>
      </c>
      <c r="L129" s="2354"/>
      <c r="M129" s="2355">
        <f>K129+M118</f>
        <v>306790</v>
      </c>
      <c r="N129" s="2356"/>
      <c r="O129" s="2357"/>
      <c r="P129" s="2145"/>
      <c r="Q129" s="2146"/>
      <c r="R129" s="2121"/>
      <c r="S129" s="2121"/>
      <c r="T129" s="1890"/>
      <c r="U129" s="1890"/>
      <c r="V129" s="1890"/>
      <c r="W129" s="1890"/>
    </row>
    <row r="130" spans="1:23" s="1891" customFormat="1" ht="34.35" customHeight="1">
      <c r="A130" s="2329" t="s">
        <v>16</v>
      </c>
      <c r="B130" s="2330" t="s">
        <v>604</v>
      </c>
      <c r="C130" s="2331">
        <v>8</v>
      </c>
      <c r="D130" s="2332" t="s">
        <v>608</v>
      </c>
      <c r="E130" s="2304" t="s">
        <v>609</v>
      </c>
      <c r="F130" s="2331" t="s">
        <v>133</v>
      </c>
      <c r="G130" s="2333" t="s">
        <v>106</v>
      </c>
      <c r="H130" s="2334" t="s">
        <v>610</v>
      </c>
      <c r="I130" s="2341">
        <v>-0.01</v>
      </c>
      <c r="J130" s="2161">
        <v>46082</v>
      </c>
      <c r="K130" s="2390"/>
      <c r="L130" s="2366"/>
      <c r="M130" s="2367">
        <v>-9.9960000000000031E-3</v>
      </c>
      <c r="N130" s="2339"/>
      <c r="O130" s="2340"/>
      <c r="P130" s="2145"/>
      <c r="Q130" s="2146"/>
      <c r="R130" s="2121"/>
      <c r="S130" s="2121"/>
      <c r="T130" s="1890"/>
      <c r="U130" s="1890"/>
      <c r="V130" s="1890"/>
      <c r="W130" s="1890"/>
    </row>
    <row r="131" spans="1:23" s="1891" customFormat="1" ht="34.35" customHeight="1">
      <c r="A131" s="2329" t="s">
        <v>16</v>
      </c>
      <c r="B131" s="2358" t="s">
        <v>604</v>
      </c>
      <c r="C131" s="2331">
        <v>9</v>
      </c>
      <c r="D131" s="2351" t="s">
        <v>611</v>
      </c>
      <c r="E131" s="2352" t="s">
        <v>612</v>
      </c>
      <c r="F131" s="2331" t="s">
        <v>136</v>
      </c>
      <c r="G131" s="2333" t="s">
        <v>106</v>
      </c>
      <c r="H131" s="2334" t="s">
        <v>40</v>
      </c>
      <c r="I131" s="2368">
        <v>8.84</v>
      </c>
      <c r="J131" s="2161">
        <v>46082</v>
      </c>
      <c r="K131" s="2372">
        <v>1.081</v>
      </c>
      <c r="L131" s="2308"/>
      <c r="M131" s="2369">
        <f>M120+K131</f>
        <v>10.430363999999999</v>
      </c>
      <c r="N131" s="2370"/>
      <c r="O131" s="2371"/>
      <c r="P131" s="2145"/>
      <c r="Q131" s="2146"/>
      <c r="R131" s="2121"/>
      <c r="S131" s="2121"/>
      <c r="T131" s="1890"/>
      <c r="U131" s="1890"/>
      <c r="V131" s="1890"/>
      <c r="W131" s="1890"/>
    </row>
    <row r="132" spans="1:23" ht="38.1" customHeight="1">
      <c r="A132" s="2329" t="s">
        <v>16</v>
      </c>
      <c r="B132" s="2364" t="s">
        <v>613</v>
      </c>
      <c r="C132" s="2331">
        <v>10</v>
      </c>
      <c r="D132" s="2332" t="s">
        <v>614</v>
      </c>
      <c r="E132" s="2304" t="s">
        <v>615</v>
      </c>
      <c r="F132" s="2331" t="s">
        <v>616</v>
      </c>
      <c r="G132" s="2333" t="s">
        <v>39</v>
      </c>
      <c r="H132" s="2334" t="s">
        <v>285</v>
      </c>
      <c r="I132" s="2305">
        <v>0.192</v>
      </c>
      <c r="J132" s="2161">
        <v>46082</v>
      </c>
      <c r="K132" s="2372">
        <v>0.192</v>
      </c>
      <c r="L132" s="2308"/>
      <c r="M132" s="2373">
        <v>0.192</v>
      </c>
      <c r="N132" s="2308"/>
      <c r="O132" s="2374"/>
      <c r="P132" s="2145"/>
      <c r="Q132" s="2146"/>
      <c r="R132" s="2121"/>
      <c r="S132" s="2121"/>
    </row>
    <row r="133" spans="1:23" ht="33" customHeight="1">
      <c r="A133" s="2375" t="s">
        <v>16</v>
      </c>
      <c r="B133" s="2376" t="s">
        <v>613</v>
      </c>
      <c r="C133" s="2377">
        <v>11</v>
      </c>
      <c r="D133" s="2378" t="s">
        <v>617</v>
      </c>
      <c r="E133" s="2379" t="s">
        <v>618</v>
      </c>
      <c r="F133" s="2377" t="s">
        <v>619</v>
      </c>
      <c r="G133" s="2380" t="s">
        <v>39</v>
      </c>
      <c r="H133" s="2381" t="s">
        <v>285</v>
      </c>
      <c r="I133" s="2310">
        <v>17182</v>
      </c>
      <c r="J133" s="2162">
        <v>46082</v>
      </c>
      <c r="K133" s="2394">
        <v>285</v>
      </c>
      <c r="L133" s="2382"/>
      <c r="M133" s="2383">
        <f>M122+K133</f>
        <v>3298</v>
      </c>
      <c r="N133" s="2313"/>
      <c r="O133" s="2384"/>
      <c r="P133" s="2385"/>
      <c r="Q133" s="2386"/>
      <c r="R133" s="2387"/>
      <c r="S133" s="2387"/>
    </row>
    <row r="134" spans="1:23" ht="34.35" customHeight="1">
      <c r="L134" s="1896"/>
    </row>
    <row r="135" spans="1:23" ht="34.35" customHeight="1">
      <c r="N135" s="1898"/>
    </row>
  </sheetData>
  <sheetProtection algorithmName="SHA-512" hashValue="OYfzj2D+9AdkMvC+B0hM6IxzDVIMiwb9PnU1fYR8xpqn0XKNhTMBOv8lybUB9sd57KZ7OtroFJ2ePbPh6YSKxQ==" saltValue="nUerw4Tp0ragtZso7xd4fA==" spinCount="100000" sheet="1" formatCells="0" formatColumns="0" formatRows="0" sort="0" autoFilter="0" pivotTables="0"/>
  <autoFilter ref="A1:N133" xr:uid="{C175ED8F-DA9F-46F6-9A5B-2EC514B6EAF7}">
    <filterColumn colId="3">
      <filters>
        <filter val="Waste reduction"/>
        <filter val="Waste reduction (Ton/VAP-MB )"/>
      </filters>
    </filterColumn>
  </autoFilter>
  <conditionalFormatting sqref="D11:S17 D18:D19 F18:S19 D20:S20 D21 F21:S21 D22:S28 D29:D30 F29:S30 D31:S31 D32 F32:S32 D33:S39 D40:D41 F40:S41 D42:S42 D43 F43:S43 D44:S50 D51:D52 F51:S52 D53:S53 D54 F54:S54 D55:S61 D62:D63 F62:S63 D64:S64 D65 F65:S65 D66:S72 D73:D74 F73:S74 D75:S75 D76 F76:S76 D77:S83 D84:D85 F84:S85 D86:S86 D87 F87:S87 D88:S94 D95:D96 F95:S96 D97:S97 D98 F98:S98 D99:S105 D106:D107 F106:S107 D108:S108 D109 F109:S109 D110:S116 D117:D118 F117:S118 D119:S119 D120 F120:S120 D121:S127 D128:D129 F128:S129 D130:S130 D131 F131:S131 D132:S133">
    <cfRule type="expression" dxfId="6" priority="1">
      <formula>MONTH($J11)=MONTH(TODAY()-29)</formula>
    </cfRule>
  </conditionalFormatting>
  <conditionalFormatting sqref="O1:O133">
    <cfRule type="expression" dxfId="5" priority="2">
      <formula>MONTH(J1)&lt;&gt;MONTH(TODAY())</formula>
    </cfRule>
  </conditionalFormatting>
  <pageMargins left="0.7" right="0.7" top="0.75" bottom="0.75" header="0.3" footer="0.3"/>
  <headerFooter>
    <oddHeader>&amp;C&amp;"Calibri"&amp;10&amp;KFF0000 CONFIDENTIAL&amp;1#_x000D_</oddHeader>
  </headerFooter>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55A9A-DBA7-4100-8101-8B035A053AA3}">
  <sheetPr codeName="Sheet15"/>
  <dimension ref="A1:AU109"/>
  <sheetViews>
    <sheetView zoomScale="55" zoomScaleNormal="55" workbookViewId="0">
      <pane ySplit="1" topLeftCell="A2" activePane="bottomLeft" state="frozen"/>
      <selection activeCell="D69" sqref="D69"/>
      <selection pane="bottomLeft" activeCell="D69" sqref="D69"/>
    </sheetView>
  </sheetViews>
  <sheetFormatPr defaultColWidth="8.109375" defaultRowHeight="34.35" customHeight="1"/>
  <cols>
    <col min="1" max="1" width="18.109375" customWidth="1"/>
    <col min="2" max="2" width="33.109375" style="48" customWidth="1"/>
    <col min="3" max="3" width="3.109375" bestFit="1" customWidth="1"/>
    <col min="4" max="4" width="24.6640625" style="49" customWidth="1"/>
    <col min="5" max="5" width="32.109375" style="49" customWidth="1"/>
    <col min="6" max="6" width="11.109375" style="50" customWidth="1"/>
    <col min="7" max="7" width="8.109375" customWidth="1"/>
    <col min="8" max="8" width="22.109375" customWidth="1"/>
    <col min="9" max="9" width="18.109375" style="51" customWidth="1"/>
    <col min="10" max="10" width="12.109375" style="743" customWidth="1"/>
    <col min="11" max="11" width="9.109375" style="743" customWidth="1"/>
    <col min="12" max="12" width="10" style="743" customWidth="1"/>
    <col min="13" max="13" width="8.109375" style="743"/>
    <col min="14" max="15" width="10.109375" style="743" customWidth="1"/>
    <col min="16" max="18" width="8.109375" style="743"/>
    <col min="19" max="19" width="11.6640625" style="743" customWidth="1"/>
    <col min="20" max="21" width="8.109375" style="743"/>
    <col min="22" max="22" width="13" style="743" customWidth="1"/>
    <col min="23" max="23" width="13.109375" style="743" customWidth="1"/>
    <col min="24" max="33" width="8.109375" style="743"/>
    <col min="34" max="34" width="10.6640625" style="743" customWidth="1"/>
    <col min="35" max="35" width="8.109375" style="743"/>
    <col min="36" max="36" width="8.109375" style="743" bestFit="1" customWidth="1"/>
    <col min="37" max="37" width="8.109375" style="743"/>
    <col min="38" max="38" width="12.109375" style="743" customWidth="1"/>
    <col min="39" max="40" width="8.109375" style="743"/>
    <col min="41" max="41" width="8.109375" style="875"/>
    <col min="42" max="44" width="8.109375" style="743"/>
    <col min="45" max="45" width="20.109375" style="743" customWidth="1"/>
    <col min="46" max="47" width="8.109375" style="743"/>
  </cols>
  <sheetData>
    <row r="1" spans="1:46" ht="52.5" customHeight="1">
      <c r="A1" s="33" t="s">
        <v>1</v>
      </c>
      <c r="B1" s="33" t="s">
        <v>19</v>
      </c>
      <c r="C1" s="33" t="s">
        <v>93</v>
      </c>
      <c r="D1" s="33" t="s">
        <v>21</v>
      </c>
      <c r="E1" s="33" t="s">
        <v>308</v>
      </c>
      <c r="F1" s="34" t="s">
        <v>22</v>
      </c>
      <c r="G1" s="35" t="s">
        <v>23</v>
      </c>
      <c r="H1" s="35" t="s">
        <v>24</v>
      </c>
      <c r="I1" s="35" t="s">
        <v>25</v>
      </c>
      <c r="J1" s="894" t="s">
        <v>26</v>
      </c>
      <c r="K1" s="2451" t="s">
        <v>272</v>
      </c>
      <c r="L1" s="2451" t="s">
        <v>273</v>
      </c>
      <c r="M1" s="2451" t="s">
        <v>274</v>
      </c>
      <c r="N1" s="2452" t="s">
        <v>679</v>
      </c>
      <c r="O1" s="2451" t="s">
        <v>680</v>
      </c>
      <c r="P1" s="2451" t="s">
        <v>582</v>
      </c>
      <c r="Q1" s="2451" t="s">
        <v>102</v>
      </c>
      <c r="R1" s="2451" t="s">
        <v>681</v>
      </c>
      <c r="S1" s="2451" t="s">
        <v>682</v>
      </c>
      <c r="T1" s="2451" t="s">
        <v>683</v>
      </c>
      <c r="U1" s="2451" t="s">
        <v>684</v>
      </c>
      <c r="V1" s="2452" t="s">
        <v>685</v>
      </c>
      <c r="W1" s="2452" t="s">
        <v>686</v>
      </c>
      <c r="X1" s="2451" t="s">
        <v>687</v>
      </c>
      <c r="Y1" s="2451" t="s">
        <v>688</v>
      </c>
      <c r="Z1" s="2451" t="s">
        <v>689</v>
      </c>
      <c r="AA1" s="2451" t="s">
        <v>690</v>
      </c>
      <c r="AB1" s="2451" t="s">
        <v>691</v>
      </c>
      <c r="AC1" s="2452" t="s">
        <v>692</v>
      </c>
      <c r="AD1" s="2452" t="s">
        <v>693</v>
      </c>
      <c r="AE1" s="2452" t="s">
        <v>694</v>
      </c>
      <c r="AF1" s="2452" t="s">
        <v>695</v>
      </c>
      <c r="AG1" s="2452" t="s">
        <v>696</v>
      </c>
      <c r="AH1" s="2451" t="s">
        <v>697</v>
      </c>
      <c r="AI1" s="2451" t="s">
        <v>316</v>
      </c>
      <c r="AJ1" s="1416" t="s">
        <v>698</v>
      </c>
      <c r="AK1" s="1416" t="s">
        <v>110</v>
      </c>
      <c r="AL1" s="1535" t="s">
        <v>699</v>
      </c>
      <c r="AM1" s="1535" t="s">
        <v>700</v>
      </c>
      <c r="AN1" s="1416" t="s">
        <v>701</v>
      </c>
      <c r="AO1" s="1535" t="s">
        <v>702</v>
      </c>
      <c r="AP1" s="1536" t="s">
        <v>703</v>
      </c>
    </row>
    <row r="2" spans="1:46" ht="34.35" customHeight="1">
      <c r="A2" s="38" t="s">
        <v>16</v>
      </c>
      <c r="B2" s="37" t="s">
        <v>613</v>
      </c>
      <c r="C2" s="29">
        <v>11</v>
      </c>
      <c r="D2" s="5" t="s">
        <v>704</v>
      </c>
      <c r="E2" s="3" t="s">
        <v>705</v>
      </c>
      <c r="F2" s="14" t="s">
        <v>619</v>
      </c>
      <c r="G2" s="8" t="s">
        <v>39</v>
      </c>
      <c r="H2" s="2" t="s">
        <v>285</v>
      </c>
      <c r="I2" s="42">
        <v>17182</v>
      </c>
      <c r="J2" s="57">
        <v>45748</v>
      </c>
      <c r="K2" s="1537"/>
      <c r="L2" s="1537"/>
      <c r="M2" s="1537"/>
      <c r="N2" s="1537"/>
      <c r="O2" s="1537"/>
      <c r="P2" s="1537"/>
      <c r="Q2" s="1537"/>
      <c r="R2" s="1537"/>
      <c r="S2" s="1537"/>
      <c r="T2" s="1537"/>
      <c r="U2" s="1537"/>
      <c r="V2" s="1537"/>
      <c r="W2" s="1537"/>
      <c r="X2" s="1537"/>
      <c r="Y2" s="1537"/>
      <c r="Z2" s="1537"/>
      <c r="AA2" s="1537"/>
      <c r="AB2" s="1537"/>
      <c r="AC2" s="1537"/>
      <c r="AD2" s="1537"/>
      <c r="AE2" s="1537"/>
      <c r="AF2" s="1537"/>
      <c r="AG2" s="1537"/>
      <c r="AH2" s="1537"/>
      <c r="AI2" s="1537"/>
      <c r="AJ2" s="873">
        <f>8.76+11.62+0.0113+0.009</f>
        <v>20.400299999999998</v>
      </c>
      <c r="AK2" s="895">
        <f>8.51+17.75+13.12+7.65</f>
        <v>47.029999999999994</v>
      </c>
      <c r="AL2" s="895">
        <v>22.3</v>
      </c>
      <c r="AM2" s="895">
        <v>16.829999999999998</v>
      </c>
      <c r="AN2" s="895">
        <v>25.38</v>
      </c>
      <c r="AO2" s="1538">
        <v>21.12</v>
      </c>
      <c r="AP2" s="895">
        <v>19.03</v>
      </c>
    </row>
    <row r="3" spans="1:46" ht="34.35" customHeight="1">
      <c r="A3" s="38" t="s">
        <v>16</v>
      </c>
      <c r="B3" s="37" t="s">
        <v>613</v>
      </c>
      <c r="C3" s="29">
        <v>11</v>
      </c>
      <c r="D3" s="5" t="s">
        <v>704</v>
      </c>
      <c r="E3" s="3" t="s">
        <v>705</v>
      </c>
      <c r="F3" s="14" t="s">
        <v>619</v>
      </c>
      <c r="G3" s="8" t="s">
        <v>39</v>
      </c>
      <c r="H3" s="2" t="s">
        <v>285</v>
      </c>
      <c r="I3" s="42">
        <v>17182</v>
      </c>
      <c r="J3" s="57">
        <v>45778</v>
      </c>
      <c r="K3" s="895">
        <v>0.45700000000000002</v>
      </c>
      <c r="L3" s="895">
        <v>5.1100000000000003</v>
      </c>
      <c r="M3" s="895">
        <v>0.93300000000000005</v>
      </c>
      <c r="N3" s="895">
        <v>0.36199999999999999</v>
      </c>
      <c r="O3" s="895">
        <v>3.2949999999999999</v>
      </c>
      <c r="P3" s="895">
        <v>0</v>
      </c>
      <c r="Q3" s="895">
        <v>2.9430000000000001</v>
      </c>
      <c r="R3" s="895">
        <v>1.1180000000000001</v>
      </c>
      <c r="S3" s="895">
        <v>0.71699999999999997</v>
      </c>
      <c r="T3" s="895">
        <v>0.29399999999999998</v>
      </c>
      <c r="U3" s="895">
        <v>4.9000000000000002E-2</v>
      </c>
      <c r="V3" s="895">
        <v>0.16</v>
      </c>
      <c r="W3" s="1539">
        <v>0.27300000000000002</v>
      </c>
      <c r="X3" s="895">
        <v>0.45400000000000001</v>
      </c>
      <c r="Y3" s="1540">
        <v>0.30199999999999999</v>
      </c>
      <c r="Z3" s="1540">
        <v>0.254</v>
      </c>
      <c r="AA3" s="895">
        <v>3.9E-2</v>
      </c>
      <c r="AB3" s="1537"/>
      <c r="AC3" s="1540">
        <v>7.0999999999999994E-2</v>
      </c>
      <c r="AD3" s="1540">
        <v>2.3E-2</v>
      </c>
      <c r="AE3" s="1540">
        <v>1.4E-2</v>
      </c>
      <c r="AF3" s="1540">
        <v>1.625</v>
      </c>
      <c r="AG3" s="1540">
        <v>2.1760000000000002</v>
      </c>
      <c r="AH3" s="1537"/>
      <c r="AI3" s="1537"/>
      <c r="AJ3" s="873">
        <f>3.65+12.14+0+0.016</f>
        <v>15.806000000000001</v>
      </c>
      <c r="AK3" s="895">
        <f>10.39+16.01+16.185+6.71</f>
        <v>49.295000000000002</v>
      </c>
      <c r="AL3" s="895">
        <v>29.39</v>
      </c>
      <c r="AM3" s="895">
        <v>19.86</v>
      </c>
      <c r="AN3" s="895">
        <v>42.85</v>
      </c>
      <c r="AO3" s="1538">
        <v>25.92</v>
      </c>
      <c r="AP3" s="895"/>
    </row>
    <row r="4" spans="1:46" ht="34.35" customHeight="1">
      <c r="A4" s="38" t="s">
        <v>16</v>
      </c>
      <c r="B4" s="37" t="s">
        <v>613</v>
      </c>
      <c r="C4" s="29">
        <v>11</v>
      </c>
      <c r="D4" s="5" t="s">
        <v>704</v>
      </c>
      <c r="E4" s="3" t="s">
        <v>705</v>
      </c>
      <c r="F4" s="14" t="s">
        <v>619</v>
      </c>
      <c r="G4" s="8" t="s">
        <v>39</v>
      </c>
      <c r="H4" s="2" t="s">
        <v>285</v>
      </c>
      <c r="I4" s="42">
        <v>17182</v>
      </c>
      <c r="J4" s="57">
        <v>45809</v>
      </c>
      <c r="K4" s="895">
        <v>0.371</v>
      </c>
      <c r="L4" s="895">
        <v>5.9059999999999997</v>
      </c>
      <c r="M4" s="895">
        <v>0.84099999999999997</v>
      </c>
      <c r="N4" s="895">
        <v>0.46700000000000003</v>
      </c>
      <c r="O4" s="895">
        <v>3.3359999999999999</v>
      </c>
      <c r="P4" s="895">
        <v>0</v>
      </c>
      <c r="Q4" s="895">
        <v>2.355</v>
      </c>
      <c r="R4" s="895">
        <v>0.67</v>
      </c>
      <c r="S4" s="895">
        <v>0.61399999999999999</v>
      </c>
      <c r="T4" s="895">
        <v>0.41899999999999998</v>
      </c>
      <c r="U4" s="895">
        <v>8.9999999999999993E-3</v>
      </c>
      <c r="V4" s="895">
        <v>0.153</v>
      </c>
      <c r="W4" s="1539">
        <v>0.33200000000000002</v>
      </c>
      <c r="X4" s="895">
        <v>1.0649999999999999</v>
      </c>
      <c r="Y4" s="1540">
        <v>0.23899999999999999</v>
      </c>
      <c r="Z4" s="1540">
        <v>0.27300000000000002</v>
      </c>
      <c r="AA4" s="895">
        <v>0.111</v>
      </c>
      <c r="AB4" s="1537"/>
      <c r="AC4" s="1540">
        <v>5.8000000000000003E-2</v>
      </c>
      <c r="AD4" s="1540">
        <v>1.6E-2</v>
      </c>
      <c r="AE4" s="1540"/>
      <c r="AF4" s="1540"/>
      <c r="AG4" s="1540"/>
      <c r="AH4" s="1537"/>
      <c r="AI4" s="1537"/>
      <c r="AJ4" s="895">
        <f>6.06+0+0.0005+0.0011</f>
        <v>6.0615999999999994</v>
      </c>
      <c r="AK4" s="895">
        <f>9.94+14.79+18.32+8.18</f>
        <v>51.23</v>
      </c>
      <c r="AL4" s="895">
        <v>34.909999999999997</v>
      </c>
      <c r="AM4" s="895">
        <v>18.86</v>
      </c>
      <c r="AN4" s="895">
        <v>36.6</v>
      </c>
      <c r="AO4" s="1538">
        <v>27.78</v>
      </c>
      <c r="AP4" s="895"/>
    </row>
    <row r="5" spans="1:46" ht="34.35" customHeight="1">
      <c r="A5" s="38" t="s">
        <v>16</v>
      </c>
      <c r="B5" s="37" t="s">
        <v>613</v>
      </c>
      <c r="C5" s="29">
        <v>11</v>
      </c>
      <c r="D5" s="5" t="s">
        <v>704</v>
      </c>
      <c r="E5" s="3" t="s">
        <v>705</v>
      </c>
      <c r="F5" s="14" t="s">
        <v>619</v>
      </c>
      <c r="G5" s="8" t="s">
        <v>39</v>
      </c>
      <c r="H5" s="2" t="s">
        <v>285</v>
      </c>
      <c r="I5" s="42">
        <v>17182</v>
      </c>
      <c r="J5" s="57">
        <v>45839</v>
      </c>
      <c r="K5" s="895">
        <v>0.84499999999999997</v>
      </c>
      <c r="L5" s="895">
        <v>5.72</v>
      </c>
      <c r="M5" s="895">
        <v>0.23599999999999999</v>
      </c>
      <c r="N5" s="895">
        <v>0.60499999999999998</v>
      </c>
      <c r="O5" s="895">
        <v>3.085</v>
      </c>
      <c r="P5" s="895">
        <v>0</v>
      </c>
      <c r="Q5" s="895">
        <v>2.056</v>
      </c>
      <c r="R5" s="895">
        <v>1.2889999999999999</v>
      </c>
      <c r="S5" s="895">
        <v>0.58799999999999997</v>
      </c>
      <c r="T5" s="895">
        <v>0.435</v>
      </c>
      <c r="U5" s="895">
        <v>0.19</v>
      </c>
      <c r="V5" s="895">
        <v>0.14099999999999999</v>
      </c>
      <c r="W5" s="1539">
        <v>0.32700000000000001</v>
      </c>
      <c r="X5" s="895">
        <v>0.77300000000000002</v>
      </c>
      <c r="Y5" s="1540">
        <v>0.23300000000000001</v>
      </c>
      <c r="Z5" s="1540">
        <v>0.26200000000000001</v>
      </c>
      <c r="AA5" s="895">
        <v>0.13600000000000001</v>
      </c>
      <c r="AB5" s="1541">
        <v>0.71299999999999997</v>
      </c>
      <c r="AC5" s="1540">
        <v>4.8000000000000001E-2</v>
      </c>
      <c r="AD5" s="1540">
        <v>8.0000000000000002E-3</v>
      </c>
      <c r="AE5" s="1540"/>
      <c r="AF5" s="1540"/>
      <c r="AG5" s="1540"/>
      <c r="AH5" s="895">
        <v>1.8939999999999999</v>
      </c>
      <c r="AI5" s="895">
        <v>7.0000000000000001E-3</v>
      </c>
      <c r="AJ5" s="895">
        <f>8.09+0+0+0.008+12.82</f>
        <v>20.917999999999999</v>
      </c>
      <c r="AK5" s="895">
        <f>8.84+16.64+18.63+6.989</f>
        <v>51.098999999999997</v>
      </c>
      <c r="AL5" s="895">
        <v>30.97</v>
      </c>
      <c r="AM5" s="895">
        <v>19</v>
      </c>
      <c r="AN5" s="895">
        <v>36.950000000000003</v>
      </c>
      <c r="AO5" s="1538">
        <v>24.66</v>
      </c>
      <c r="AP5" s="895"/>
    </row>
    <row r="6" spans="1:46" ht="34.35" customHeight="1">
      <c r="A6" s="38" t="s">
        <v>16</v>
      </c>
      <c r="B6" s="37" t="s">
        <v>613</v>
      </c>
      <c r="C6" s="29">
        <v>11</v>
      </c>
      <c r="D6" s="5" t="s">
        <v>704</v>
      </c>
      <c r="E6" s="3" t="s">
        <v>705</v>
      </c>
      <c r="F6" s="14" t="s">
        <v>619</v>
      </c>
      <c r="G6" s="8" t="s">
        <v>39</v>
      </c>
      <c r="H6" s="2" t="s">
        <v>285</v>
      </c>
      <c r="I6" s="42">
        <v>17182</v>
      </c>
      <c r="J6" s="879">
        <v>45870</v>
      </c>
      <c r="K6" s="895">
        <v>1.3169999999999999</v>
      </c>
      <c r="L6" s="895">
        <v>6.399</v>
      </c>
      <c r="M6" s="895">
        <v>0.26300000000000001</v>
      </c>
      <c r="N6" s="895">
        <v>0.84599999999999997</v>
      </c>
      <c r="O6" s="895">
        <v>2.7170000000000001</v>
      </c>
      <c r="P6" s="895">
        <v>0</v>
      </c>
      <c r="Q6" s="895">
        <v>5.7649999999999997</v>
      </c>
      <c r="R6" s="895">
        <v>0.70899999999999996</v>
      </c>
      <c r="S6" s="895">
        <v>0.76100000000000001</v>
      </c>
      <c r="T6" s="895">
        <v>0.45100000000000001</v>
      </c>
      <c r="U6" s="895">
        <v>4.2999999999999997E-2</v>
      </c>
      <c r="V6" s="895">
        <v>0.17199999999999999</v>
      </c>
      <c r="W6" s="895">
        <v>0.62</v>
      </c>
      <c r="X6" s="895">
        <v>0.629</v>
      </c>
      <c r="Y6" s="1540">
        <v>0.36199999999999999</v>
      </c>
      <c r="Z6" s="1540">
        <v>0.13969999999999999</v>
      </c>
      <c r="AA6" s="895">
        <v>0.248</v>
      </c>
      <c r="AB6" s="895">
        <v>1.3260000000000001</v>
      </c>
      <c r="AC6" s="1540">
        <v>0.10299999999999999</v>
      </c>
      <c r="AD6" s="1540">
        <v>8.5999999999999993E-2</v>
      </c>
      <c r="AE6" s="1540"/>
      <c r="AF6" s="1540"/>
      <c r="AG6" s="1540"/>
      <c r="AH6" s="895">
        <v>0</v>
      </c>
      <c r="AI6" s="895">
        <v>2.7E-2</v>
      </c>
      <c r="AJ6" s="895">
        <f>4.87+0+0.037+0.02+13</f>
        <v>17.927</v>
      </c>
      <c r="AK6" s="895">
        <f>8.36+15.18+19.79+7.51</f>
        <v>50.839999999999996</v>
      </c>
      <c r="AL6" s="895">
        <v>34.479999999999997</v>
      </c>
      <c r="AM6" s="895">
        <v>16.73</v>
      </c>
      <c r="AN6" s="895">
        <v>38.08</v>
      </c>
      <c r="AO6" s="1538">
        <v>25.98</v>
      </c>
      <c r="AP6" s="895"/>
    </row>
    <row r="7" spans="1:46" ht="34.35" customHeight="1">
      <c r="A7" s="38" t="s">
        <v>16</v>
      </c>
      <c r="B7" s="37" t="s">
        <v>613</v>
      </c>
      <c r="C7" s="29">
        <v>11</v>
      </c>
      <c r="D7" s="5" t="s">
        <v>704</v>
      </c>
      <c r="E7" s="3" t="s">
        <v>705</v>
      </c>
      <c r="F7" s="14" t="s">
        <v>619</v>
      </c>
      <c r="G7" s="8" t="s">
        <v>39</v>
      </c>
      <c r="H7" s="2" t="s">
        <v>285</v>
      </c>
      <c r="I7" s="42">
        <v>17182</v>
      </c>
      <c r="J7" s="57">
        <v>45901</v>
      </c>
      <c r="K7" s="895">
        <v>1.3220000000000001</v>
      </c>
      <c r="L7" s="895">
        <v>14.786</v>
      </c>
      <c r="M7" s="895">
        <v>0.70399999999999996</v>
      </c>
      <c r="N7" s="895">
        <v>0.32300000000000001</v>
      </c>
      <c r="O7" s="895">
        <v>2.2410000000000001</v>
      </c>
      <c r="P7" s="895">
        <v>0</v>
      </c>
      <c r="Q7" s="895">
        <v>3.8460000000000001</v>
      </c>
      <c r="R7" s="895">
        <v>0.84399999999999997</v>
      </c>
      <c r="S7" s="895">
        <v>1.1579999999999999</v>
      </c>
      <c r="T7" s="895">
        <v>0.30599999999999999</v>
      </c>
      <c r="U7" s="895">
        <v>2E-3</v>
      </c>
      <c r="V7" s="895">
        <v>0.27200000000000002</v>
      </c>
      <c r="W7" s="895">
        <v>0.30399999999999999</v>
      </c>
      <c r="X7" s="895">
        <v>0.86399999999999999</v>
      </c>
      <c r="Y7" s="1540">
        <v>0.25700000000000001</v>
      </c>
      <c r="Z7" s="1540">
        <v>0.36399999999999999</v>
      </c>
      <c r="AA7" s="895">
        <v>0.02</v>
      </c>
      <c r="AB7" s="895">
        <v>6.0000000000000001E-3</v>
      </c>
      <c r="AC7" s="1540">
        <v>7.2999999999999995E-2</v>
      </c>
      <c r="AD7" s="1540">
        <v>1.4E-2</v>
      </c>
      <c r="AE7" s="1540"/>
      <c r="AF7" s="1540"/>
      <c r="AG7" s="1540"/>
      <c r="AH7" s="895">
        <v>0</v>
      </c>
      <c r="AI7" s="895">
        <v>0</v>
      </c>
      <c r="AJ7" s="895">
        <f>7.62+0+0+0.015+15.28</f>
        <v>22.914999999999999</v>
      </c>
      <c r="AK7" s="873">
        <f>8.55+25.41+15.93+7.61</f>
        <v>57.5</v>
      </c>
      <c r="AL7" s="895">
        <v>30.97</v>
      </c>
      <c r="AM7" s="895">
        <v>17.13</v>
      </c>
      <c r="AN7" s="895">
        <v>36</v>
      </c>
      <c r="AO7" s="1538">
        <v>28.56</v>
      </c>
      <c r="AP7" s="895"/>
      <c r="AS7" s="743">
        <f>700*0.1*250</f>
        <v>17500</v>
      </c>
    </row>
    <row r="8" spans="1:46" ht="34.35" customHeight="1">
      <c r="A8" s="38" t="s">
        <v>16</v>
      </c>
      <c r="B8" s="37" t="s">
        <v>613</v>
      </c>
      <c r="C8" s="29">
        <v>11</v>
      </c>
      <c r="D8" s="5" t="s">
        <v>704</v>
      </c>
      <c r="E8" s="3" t="s">
        <v>705</v>
      </c>
      <c r="F8" s="14" t="s">
        <v>619</v>
      </c>
      <c r="G8" s="8" t="s">
        <v>39</v>
      </c>
      <c r="H8" s="2" t="s">
        <v>285</v>
      </c>
      <c r="I8" s="42">
        <v>17182</v>
      </c>
      <c r="J8" s="57">
        <v>45931</v>
      </c>
      <c r="K8" s="895">
        <v>0.71299999999999997</v>
      </c>
      <c r="L8" s="895">
        <v>20.657</v>
      </c>
      <c r="M8" s="895">
        <v>0.80400000000000005</v>
      </c>
      <c r="N8" s="895">
        <v>0.73699999999999999</v>
      </c>
      <c r="O8" s="895">
        <v>2.1560000000000001</v>
      </c>
      <c r="P8" s="895">
        <v>0</v>
      </c>
      <c r="Q8" s="895">
        <v>7.7670000000000003</v>
      </c>
      <c r="R8" s="895">
        <v>0.77800000000000002</v>
      </c>
      <c r="S8" s="895">
        <v>0.79400000000000004</v>
      </c>
      <c r="T8" s="895">
        <v>0.83499999999999996</v>
      </c>
      <c r="U8" s="895">
        <v>0.01</v>
      </c>
      <c r="V8" s="895">
        <v>0.17899999999999999</v>
      </c>
      <c r="W8" s="895">
        <v>0.29599999999999999</v>
      </c>
      <c r="X8" s="895">
        <v>0.29199999999999998</v>
      </c>
      <c r="Y8" s="895">
        <v>0.28599999999999998</v>
      </c>
      <c r="Z8" s="895">
        <v>0.40899999999999997</v>
      </c>
      <c r="AA8" s="895">
        <v>4.3999999999999997E-2</v>
      </c>
      <c r="AB8" s="895">
        <v>0.12</v>
      </c>
      <c r="AC8" s="1540">
        <v>0.106</v>
      </c>
      <c r="AD8" s="1540">
        <v>0.02</v>
      </c>
      <c r="AE8" s="1540">
        <v>1.2999999999999999E-2</v>
      </c>
      <c r="AF8" s="1540">
        <v>1.032</v>
      </c>
      <c r="AG8" s="1540">
        <v>0.98699999999999999</v>
      </c>
      <c r="AH8" s="895">
        <v>0</v>
      </c>
      <c r="AI8" s="895">
        <v>5.0999999999999997E-2</v>
      </c>
      <c r="AJ8" s="895">
        <f>10.06+23.74+0.009+0.008+0</f>
        <v>33.817</v>
      </c>
      <c r="AK8" s="895">
        <f>9+19.88+13.79+6.85</f>
        <v>49.52</v>
      </c>
      <c r="AL8" s="895">
        <v>28.91</v>
      </c>
      <c r="AM8" s="895">
        <v>14.35</v>
      </c>
      <c r="AN8" s="895">
        <v>38.020000000000003</v>
      </c>
      <c r="AO8" s="1538">
        <v>21.68</v>
      </c>
      <c r="AP8" s="895"/>
      <c r="AS8" s="743">
        <f>38*263</f>
        <v>9994</v>
      </c>
      <c r="AT8" s="743">
        <f>38*263</f>
        <v>9994</v>
      </c>
    </row>
    <row r="9" spans="1:46" ht="34.35" customHeight="1">
      <c r="A9" s="38" t="s">
        <v>16</v>
      </c>
      <c r="B9" s="37" t="s">
        <v>613</v>
      </c>
      <c r="C9" s="29">
        <v>11</v>
      </c>
      <c r="D9" s="5" t="s">
        <v>704</v>
      </c>
      <c r="E9" s="3" t="s">
        <v>705</v>
      </c>
      <c r="F9" s="14" t="s">
        <v>619</v>
      </c>
      <c r="G9" s="8" t="s">
        <v>39</v>
      </c>
      <c r="H9" s="2" t="s">
        <v>285</v>
      </c>
      <c r="I9" s="42">
        <v>17182</v>
      </c>
      <c r="J9" s="57">
        <v>45962</v>
      </c>
      <c r="K9" s="895">
        <v>0.57199999999999995</v>
      </c>
      <c r="L9" s="895">
        <v>16.529</v>
      </c>
      <c r="M9" s="895">
        <v>0.57099999999999995</v>
      </c>
      <c r="N9" s="895">
        <v>0.60199999999999998</v>
      </c>
      <c r="O9" s="895">
        <v>2.6520000000000001</v>
      </c>
      <c r="P9" s="895">
        <v>0</v>
      </c>
      <c r="Q9" s="895">
        <v>5.84</v>
      </c>
      <c r="R9" s="895">
        <v>1.228</v>
      </c>
      <c r="S9" s="895">
        <v>0.98899999999999999</v>
      </c>
      <c r="T9" s="895">
        <v>0.7</v>
      </c>
      <c r="U9" s="895">
        <v>1.4999999999999999E-2</v>
      </c>
      <c r="V9" s="895">
        <v>0.13400000000000001</v>
      </c>
      <c r="W9" s="895">
        <v>0.28699999999999998</v>
      </c>
      <c r="X9" s="895">
        <v>0.52900000000000003</v>
      </c>
      <c r="Y9" s="895">
        <v>0.34200000000000003</v>
      </c>
      <c r="Z9" s="895">
        <v>0.45400000000000001</v>
      </c>
      <c r="AA9" s="895">
        <v>0.14299999999999999</v>
      </c>
      <c r="AB9" s="895">
        <v>0.188</v>
      </c>
      <c r="AC9" s="895">
        <v>4.7E-2</v>
      </c>
      <c r="AD9" s="895">
        <v>1.9E-2</v>
      </c>
      <c r="AE9" s="895">
        <v>1.7000000000000001E-2</v>
      </c>
      <c r="AF9" s="895">
        <v>2.3069999999999999</v>
      </c>
      <c r="AG9" s="895">
        <v>1.548</v>
      </c>
      <c r="AH9" s="895">
        <v>0.19700000000000001</v>
      </c>
      <c r="AI9" s="895">
        <v>0.14699999999999999</v>
      </c>
      <c r="AJ9" s="895">
        <f>5.25+0+0.022+0+0</f>
        <v>5.2720000000000002</v>
      </c>
      <c r="AK9" s="895">
        <f>9.25+17.29+13.76+7.4</f>
        <v>47.699999999999996</v>
      </c>
      <c r="AL9" s="895">
        <v>35.68</v>
      </c>
      <c r="AM9" s="895">
        <v>14.02</v>
      </c>
      <c r="AN9" s="895">
        <v>25.28</v>
      </c>
      <c r="AO9" s="1538">
        <v>23.45</v>
      </c>
      <c r="AP9" s="895"/>
      <c r="AS9" s="743">
        <f>4*263</f>
        <v>1052</v>
      </c>
    </row>
    <row r="10" spans="1:46" ht="34.35" customHeight="1">
      <c r="A10" s="38" t="s">
        <v>16</v>
      </c>
      <c r="B10" s="37" t="s">
        <v>613</v>
      </c>
      <c r="C10" s="29">
        <v>11</v>
      </c>
      <c r="D10" s="5" t="s">
        <v>704</v>
      </c>
      <c r="E10" s="3" t="s">
        <v>705</v>
      </c>
      <c r="F10" s="14" t="s">
        <v>619</v>
      </c>
      <c r="G10" s="8" t="s">
        <v>39</v>
      </c>
      <c r="H10" s="2" t="s">
        <v>285</v>
      </c>
      <c r="I10" s="42">
        <v>17182</v>
      </c>
      <c r="J10" s="57">
        <v>45992</v>
      </c>
      <c r="K10" s="895">
        <v>0.26500000000000001</v>
      </c>
      <c r="L10" s="895">
        <v>11.112</v>
      </c>
      <c r="M10" s="895">
        <v>1.798</v>
      </c>
      <c r="N10" s="895">
        <v>0.32200000000000001</v>
      </c>
      <c r="O10" s="895">
        <v>2.1819999999999999</v>
      </c>
      <c r="P10" s="895">
        <v>0</v>
      </c>
      <c r="Q10" s="895">
        <v>3.194</v>
      </c>
      <c r="R10" s="895">
        <v>0.78800000000000003</v>
      </c>
      <c r="S10" s="895">
        <v>0.56899999999999995</v>
      </c>
      <c r="T10" s="895">
        <v>2.887</v>
      </c>
      <c r="U10" s="895">
        <v>1.0999999999999999E-2</v>
      </c>
      <c r="V10" s="895">
        <v>0.189</v>
      </c>
      <c r="W10" s="895">
        <v>0.247</v>
      </c>
      <c r="X10" s="895">
        <v>0.34799999999999998</v>
      </c>
      <c r="Y10" s="895">
        <v>0.222</v>
      </c>
      <c r="Z10" s="895">
        <v>0.36099999999999999</v>
      </c>
      <c r="AA10" s="895">
        <v>0.188</v>
      </c>
      <c r="AB10" s="895">
        <v>0.153</v>
      </c>
      <c r="AC10" s="895">
        <v>7.9000000000000001E-2</v>
      </c>
      <c r="AD10" s="895">
        <v>3.4000000000000002E-2</v>
      </c>
      <c r="AE10" s="895">
        <v>1.6E-2</v>
      </c>
      <c r="AF10" s="895">
        <v>2.806</v>
      </c>
      <c r="AG10" s="895">
        <v>2.8769999999999998</v>
      </c>
      <c r="AH10" s="895">
        <v>0.106</v>
      </c>
      <c r="AI10" s="895">
        <v>0</v>
      </c>
      <c r="AJ10" s="895">
        <f>6.92+0+0.008+0.01+20.94</f>
        <v>27.878</v>
      </c>
      <c r="AK10" s="895">
        <f>8.46+18.5+10.9+7.49</f>
        <v>45.35</v>
      </c>
      <c r="AL10" s="895">
        <v>28.68</v>
      </c>
      <c r="AM10" s="895">
        <v>15.45</v>
      </c>
      <c r="AN10" s="895">
        <v>43.76</v>
      </c>
      <c r="AO10" s="1538">
        <v>22.15</v>
      </c>
      <c r="AP10" s="895"/>
      <c r="AS10" s="1542">
        <f>AS8+AS9</f>
        <v>11046</v>
      </c>
    </row>
    <row r="11" spans="1:46" ht="34.35" customHeight="1">
      <c r="A11" s="38" t="s">
        <v>16</v>
      </c>
      <c r="B11" s="37" t="s">
        <v>613</v>
      </c>
      <c r="C11" s="29">
        <v>11</v>
      </c>
      <c r="D11" s="5" t="s">
        <v>704</v>
      </c>
      <c r="E11" s="3" t="s">
        <v>705</v>
      </c>
      <c r="F11" s="14" t="s">
        <v>619</v>
      </c>
      <c r="G11" s="8" t="s">
        <v>39</v>
      </c>
      <c r="H11" s="2" t="s">
        <v>285</v>
      </c>
      <c r="I11" s="42">
        <v>17182</v>
      </c>
      <c r="J11" s="57">
        <v>46023</v>
      </c>
      <c r="K11" s="895">
        <v>0.251</v>
      </c>
      <c r="L11" s="895">
        <v>4.0789999999999997</v>
      </c>
      <c r="M11" s="895">
        <v>2.3119999999999998</v>
      </c>
      <c r="N11" s="895">
        <v>0.13100000000000001</v>
      </c>
      <c r="O11" s="895">
        <v>1.002</v>
      </c>
      <c r="P11" s="895">
        <v>0</v>
      </c>
      <c r="Q11" s="895">
        <v>4.9470000000000001</v>
      </c>
      <c r="R11" s="895">
        <v>0.65200000000000002</v>
      </c>
      <c r="S11" s="895">
        <v>0.254</v>
      </c>
      <c r="T11" s="895">
        <v>1.1850000000000001</v>
      </c>
      <c r="U11" s="895">
        <v>4.0000000000000001E-3</v>
      </c>
      <c r="V11" s="895">
        <v>0.06</v>
      </c>
      <c r="W11" s="895">
        <v>0.11700000000000001</v>
      </c>
      <c r="X11" s="895">
        <v>3.2000000000000001E-2</v>
      </c>
      <c r="Y11" s="895">
        <v>9.9000000000000005E-2</v>
      </c>
      <c r="Z11" s="895">
        <v>0.14000000000000001</v>
      </c>
      <c r="AA11" s="895">
        <v>6.6000000000000003E-2</v>
      </c>
      <c r="AB11" s="895">
        <v>0.10100000000000001</v>
      </c>
      <c r="AC11" s="895">
        <v>0.109</v>
      </c>
      <c r="AD11" s="895">
        <v>2.3E-2</v>
      </c>
      <c r="AE11" s="895">
        <v>1.4E-2</v>
      </c>
      <c r="AF11" s="895">
        <v>1.268</v>
      </c>
      <c r="AG11" s="895">
        <v>3.726</v>
      </c>
      <c r="AH11" s="895">
        <v>7.5999999999999998E-2</v>
      </c>
      <c r="AI11" s="895">
        <v>8.9999999999999993E-3</v>
      </c>
      <c r="AJ11" s="895">
        <f>5.02+12.15+0+0+0</f>
        <v>17.170000000000002</v>
      </c>
      <c r="AK11" s="895">
        <f>8.33+17.27+10.07+9.83</f>
        <v>45.5</v>
      </c>
      <c r="AL11" s="895">
        <v>39.340000000000003</v>
      </c>
      <c r="AM11" s="895">
        <v>14.62</v>
      </c>
      <c r="AN11" s="895">
        <v>31.88</v>
      </c>
      <c r="AO11" s="1538">
        <v>17.96</v>
      </c>
      <c r="AP11" s="895"/>
      <c r="AS11" s="1543" t="s">
        <v>706</v>
      </c>
    </row>
    <row r="12" spans="1:46" ht="34.35" customHeight="1">
      <c r="A12" s="38" t="s">
        <v>16</v>
      </c>
      <c r="B12" s="37" t="s">
        <v>613</v>
      </c>
      <c r="C12" s="29">
        <v>11</v>
      </c>
      <c r="D12" s="5" t="s">
        <v>704</v>
      </c>
      <c r="E12" s="3" t="s">
        <v>705</v>
      </c>
      <c r="F12" s="14" t="s">
        <v>619</v>
      </c>
      <c r="G12" s="8" t="s">
        <v>39</v>
      </c>
      <c r="H12" s="2" t="s">
        <v>285</v>
      </c>
      <c r="I12" s="42">
        <v>17182</v>
      </c>
      <c r="J12" s="57">
        <v>46054</v>
      </c>
      <c r="K12" s="895">
        <v>0.14499999999999999</v>
      </c>
      <c r="L12" s="895">
        <v>1.46</v>
      </c>
      <c r="M12" s="895">
        <v>0.54100000000000004</v>
      </c>
      <c r="N12" s="895">
        <v>3.2000000000000001E-2</v>
      </c>
      <c r="O12" s="895">
        <v>0.64</v>
      </c>
      <c r="P12" s="895">
        <v>0</v>
      </c>
      <c r="Q12" s="895">
        <v>7.577</v>
      </c>
      <c r="R12" s="895">
        <v>0.28599999999999998</v>
      </c>
      <c r="S12" s="895">
        <v>0.108</v>
      </c>
      <c r="T12" s="895">
        <v>0.251</v>
      </c>
      <c r="U12" s="895">
        <v>8.0000000000000002E-3</v>
      </c>
      <c r="V12" s="895">
        <v>9.2999999999999999E-2</v>
      </c>
      <c r="W12" s="895">
        <v>5.6000000000000001E-2</v>
      </c>
      <c r="X12" s="895">
        <v>0.16</v>
      </c>
      <c r="Y12" s="895">
        <v>0.129</v>
      </c>
      <c r="Z12" s="895">
        <v>0.21</v>
      </c>
      <c r="AA12" s="895">
        <v>0.13400000000000001</v>
      </c>
      <c r="AB12" s="895">
        <v>0.55300000000000005</v>
      </c>
      <c r="AC12" s="895">
        <v>0.113</v>
      </c>
      <c r="AD12" s="895">
        <v>1.4E-2</v>
      </c>
      <c r="AE12" s="895">
        <v>1.4E-2</v>
      </c>
      <c r="AF12" s="895">
        <v>0.33600000000000002</v>
      </c>
      <c r="AG12" s="895">
        <v>0</v>
      </c>
      <c r="AH12" s="895">
        <v>0</v>
      </c>
      <c r="AI12" s="895">
        <v>0</v>
      </c>
      <c r="AJ12" s="895">
        <f>7.36+0+0.008+0.012+34.65</f>
        <v>42.03</v>
      </c>
      <c r="AK12" s="895">
        <f>8.57+18.329+6.859+0</f>
        <v>33.758000000000003</v>
      </c>
      <c r="AL12" s="895">
        <f>34.92</f>
        <v>34.92</v>
      </c>
      <c r="AM12" s="895">
        <f>16.13</f>
        <v>16.13</v>
      </c>
      <c r="AN12" s="895">
        <v>34.65</v>
      </c>
      <c r="AO12" s="1538">
        <v>24.54</v>
      </c>
      <c r="AP12" s="895"/>
    </row>
    <row r="13" spans="1:46" ht="34.35" customHeight="1">
      <c r="A13" s="38" t="s">
        <v>16</v>
      </c>
      <c r="B13" s="37" t="s">
        <v>613</v>
      </c>
      <c r="C13" s="29">
        <v>11</v>
      </c>
      <c r="D13" s="5" t="s">
        <v>704</v>
      </c>
      <c r="E13" s="3" t="s">
        <v>705</v>
      </c>
      <c r="F13" s="14" t="s">
        <v>619</v>
      </c>
      <c r="G13" s="8" t="s">
        <v>39</v>
      </c>
      <c r="H13" s="2" t="s">
        <v>285</v>
      </c>
      <c r="I13" s="42">
        <v>17182</v>
      </c>
      <c r="J13" s="57">
        <v>46082</v>
      </c>
      <c r="K13" s="895"/>
      <c r="L13" s="895"/>
      <c r="M13" s="895"/>
      <c r="N13" s="895"/>
      <c r="O13" s="895"/>
      <c r="P13" s="895"/>
      <c r="Q13" s="895"/>
      <c r="R13" s="895"/>
      <c r="S13" s="895"/>
      <c r="T13" s="895"/>
      <c r="U13" s="895"/>
      <c r="V13" s="895"/>
      <c r="W13" s="895"/>
      <c r="X13" s="895"/>
      <c r="Y13" s="895"/>
      <c r="Z13" s="895"/>
      <c r="AA13" s="895"/>
      <c r="AB13" s="895"/>
      <c r="AC13" s="895"/>
      <c r="AD13" s="895"/>
      <c r="AE13" s="895"/>
      <c r="AF13" s="895"/>
      <c r="AG13" s="895"/>
      <c r="AH13" s="895"/>
      <c r="AI13" s="895"/>
      <c r="AJ13" s="895"/>
      <c r="AK13" s="895"/>
      <c r="AL13" s="895"/>
      <c r="AM13" s="895"/>
      <c r="AN13" s="895"/>
      <c r="AO13" s="1538"/>
      <c r="AP13" s="895"/>
    </row>
    <row r="14" spans="1:46" ht="34.35" customHeight="1">
      <c r="J14"/>
    </row>
    <row r="16" spans="1:46" ht="34.35" customHeight="1">
      <c r="J16"/>
    </row>
    <row r="17" spans="10:10" ht="34.35" customHeight="1">
      <c r="J17"/>
    </row>
    <row r="18" spans="10:10" ht="34.35" customHeight="1">
      <c r="J18"/>
    </row>
    <row r="19" spans="10:10" ht="34.35" customHeight="1">
      <c r="J19"/>
    </row>
    <row r="20" spans="10:10" ht="34.35" customHeight="1">
      <c r="J20"/>
    </row>
    <row r="21" spans="10:10" ht="34.35" customHeight="1">
      <c r="J21"/>
    </row>
    <row r="22" spans="10:10" ht="34.35" customHeight="1">
      <c r="J22"/>
    </row>
    <row r="23" spans="10:10" ht="34.35" customHeight="1">
      <c r="J23"/>
    </row>
    <row r="25" spans="10:10" ht="34.35" customHeight="1">
      <c r="J25"/>
    </row>
    <row r="26" spans="10:10" ht="34.35" customHeight="1">
      <c r="J26"/>
    </row>
    <row r="27" spans="10:10" ht="34.35" customHeight="1">
      <c r="J27"/>
    </row>
    <row r="28" spans="10:10" ht="34.35" customHeight="1">
      <c r="J28"/>
    </row>
    <row r="29" spans="10:10" ht="34.35" customHeight="1">
      <c r="J29"/>
    </row>
    <row r="30" spans="10:10" ht="34.35" customHeight="1">
      <c r="J30"/>
    </row>
    <row r="31" spans="10:10" ht="34.35" customHeight="1">
      <c r="J31"/>
    </row>
    <row r="32" spans="10:10" ht="34.35" customHeight="1">
      <c r="J32"/>
    </row>
    <row r="34" spans="10:10" ht="34.35" customHeight="1">
      <c r="J34"/>
    </row>
    <row r="35" spans="10:10" ht="34.35" customHeight="1">
      <c r="J35"/>
    </row>
    <row r="36" spans="10:10" ht="34.35" customHeight="1">
      <c r="J36"/>
    </row>
    <row r="37" spans="10:10" ht="34.35" customHeight="1">
      <c r="J37"/>
    </row>
    <row r="38" spans="10:10" ht="34.35" customHeight="1">
      <c r="J38"/>
    </row>
    <row r="39" spans="10:10" ht="34.35" customHeight="1">
      <c r="J39"/>
    </row>
    <row r="40" spans="10:10" ht="34.35" customHeight="1">
      <c r="J40"/>
    </row>
    <row r="41" spans="10:10" ht="34.35" customHeight="1">
      <c r="J41"/>
    </row>
    <row r="43" spans="10:10" ht="34.35" customHeight="1">
      <c r="J43"/>
    </row>
    <row r="44" spans="10:10" ht="34.35" customHeight="1">
      <c r="J44"/>
    </row>
    <row r="45" spans="10:10" ht="34.35" customHeight="1">
      <c r="J45"/>
    </row>
    <row r="46" spans="10:10" ht="34.35" customHeight="1">
      <c r="J46"/>
    </row>
    <row r="47" spans="10:10" ht="34.35" customHeight="1">
      <c r="J47"/>
    </row>
    <row r="48" spans="10:10" ht="34.35" customHeight="1">
      <c r="J48"/>
    </row>
    <row r="49" spans="10:10" ht="34.35" customHeight="1">
      <c r="J49"/>
    </row>
    <row r="50" spans="10:10" ht="34.35" customHeight="1">
      <c r="J50"/>
    </row>
    <row r="52" spans="10:10" ht="34.35" customHeight="1">
      <c r="J52"/>
    </row>
    <row r="53" spans="10:10" ht="34.35" customHeight="1">
      <c r="J53"/>
    </row>
    <row r="54" spans="10:10" ht="34.35" customHeight="1">
      <c r="J54"/>
    </row>
    <row r="55" spans="10:10" ht="34.35" customHeight="1">
      <c r="J55"/>
    </row>
    <row r="56" spans="10:10" ht="34.35" customHeight="1">
      <c r="J56"/>
    </row>
    <row r="57" spans="10:10" ht="34.35" customHeight="1">
      <c r="J57"/>
    </row>
    <row r="58" spans="10:10" ht="34.35" customHeight="1">
      <c r="J58"/>
    </row>
    <row r="59" spans="10:10" ht="34.35" customHeight="1">
      <c r="J59"/>
    </row>
    <row r="61" spans="10:10" ht="34.35" customHeight="1">
      <c r="J61"/>
    </row>
    <row r="62" spans="10:10" ht="34.35" customHeight="1">
      <c r="J62"/>
    </row>
    <row r="63" spans="10:10" ht="34.35" customHeight="1">
      <c r="J63"/>
    </row>
    <row r="64" spans="10:10" ht="34.35" customHeight="1">
      <c r="J64"/>
    </row>
    <row r="65" spans="10:10" ht="34.35" customHeight="1">
      <c r="J65"/>
    </row>
    <row r="66" spans="10:10" ht="34.35" customHeight="1">
      <c r="J66"/>
    </row>
    <row r="67" spans="10:10" ht="34.35" customHeight="1">
      <c r="J67"/>
    </row>
    <row r="68" spans="10:10" ht="34.35" customHeight="1">
      <c r="J68"/>
    </row>
    <row r="70" spans="10:10" ht="34.35" customHeight="1">
      <c r="J70"/>
    </row>
    <row r="71" spans="10:10" ht="34.35" customHeight="1">
      <c r="J71"/>
    </row>
    <row r="72" spans="10:10" ht="34.35" customHeight="1">
      <c r="J72"/>
    </row>
    <row r="73" spans="10:10" ht="34.35" customHeight="1">
      <c r="J73"/>
    </row>
    <row r="74" spans="10:10" ht="34.35" customHeight="1">
      <c r="J74"/>
    </row>
    <row r="75" spans="10:10" ht="34.35" customHeight="1">
      <c r="J75"/>
    </row>
    <row r="76" spans="10:10" ht="34.35" customHeight="1">
      <c r="J76"/>
    </row>
    <row r="77" spans="10:10" ht="34.35" customHeight="1">
      <c r="J77"/>
    </row>
    <row r="79" spans="10:10" ht="34.35" customHeight="1">
      <c r="J79"/>
    </row>
    <row r="80" spans="10:10" ht="34.35" customHeight="1">
      <c r="J80"/>
    </row>
    <row r="81" spans="10:10" ht="34.35" customHeight="1">
      <c r="J81"/>
    </row>
    <row r="82" spans="10:10" ht="34.35" customHeight="1">
      <c r="J82"/>
    </row>
    <row r="83" spans="10:10" ht="34.35" customHeight="1">
      <c r="J83"/>
    </row>
    <row r="84" spans="10:10" ht="34.35" customHeight="1">
      <c r="J84"/>
    </row>
    <row r="85" spans="10:10" ht="34.35" customHeight="1">
      <c r="J85"/>
    </row>
    <row r="86" spans="10:10" ht="34.35" customHeight="1">
      <c r="J86"/>
    </row>
    <row r="88" spans="10:10" ht="34.35" customHeight="1">
      <c r="J88"/>
    </row>
    <row r="89" spans="10:10" ht="34.35" customHeight="1">
      <c r="J89"/>
    </row>
    <row r="90" spans="10:10" ht="34.35" customHeight="1">
      <c r="J90"/>
    </row>
    <row r="91" spans="10:10" ht="34.35" customHeight="1">
      <c r="J91"/>
    </row>
    <row r="92" spans="10:10" ht="34.35" customHeight="1">
      <c r="J92"/>
    </row>
    <row r="93" spans="10:10" ht="34.35" customHeight="1">
      <c r="J93"/>
    </row>
    <row r="94" spans="10:10" ht="34.35" customHeight="1">
      <c r="J94"/>
    </row>
    <row r="95" spans="10:10" ht="34.35" customHeight="1">
      <c r="J95"/>
    </row>
    <row r="97" spans="10:10" ht="34.35" customHeight="1">
      <c r="J97"/>
    </row>
    <row r="98" spans="10:10" ht="34.35" customHeight="1">
      <c r="J98"/>
    </row>
    <row r="99" spans="10:10" ht="34.35" customHeight="1">
      <c r="J99"/>
    </row>
    <row r="100" spans="10:10" ht="34.35" customHeight="1">
      <c r="J100"/>
    </row>
    <row r="101" spans="10:10" ht="34.35" customHeight="1">
      <c r="J101"/>
    </row>
    <row r="102" spans="10:10" ht="34.35" customHeight="1">
      <c r="J102"/>
    </row>
    <row r="103" spans="10:10" ht="34.35" customHeight="1">
      <c r="J103"/>
    </row>
    <row r="104" spans="10:10" ht="34.35" customHeight="1">
      <c r="J104"/>
    </row>
    <row r="106" spans="10:10" ht="34.35" customHeight="1">
      <c r="J106"/>
    </row>
    <row r="107" spans="10:10" ht="34.35" customHeight="1">
      <c r="J107"/>
    </row>
    <row r="108" spans="10:10" ht="34.35" customHeight="1">
      <c r="J108"/>
    </row>
    <row r="109" spans="10:10" ht="34.35" customHeight="1">
      <c r="J109"/>
    </row>
  </sheetData>
  <sheetProtection algorithmName="SHA-512" hashValue="t7cmx275Ek85nZi3W28dsNOGdwNbqVa2oV0uCqLtYiazIIluZkn+t9dVbeJTH8JJw+qavmbwE8T5Hspuhgz3gw==" saltValue="BYvXSVRhXV2SAx8aIeRhAA==" spinCount="100000" sheet="1" formatCells="0" formatColumns="0" formatRows="0" sort="0" autoFilter="0" pivotTables="0"/>
  <autoFilter ref="A1:J13" xr:uid="{C175ED8F-DA9F-46F6-9A5B-2EC514B6EAF7}"/>
  <conditionalFormatting sqref="A2:AP13">
    <cfRule type="expression" dxfId="4" priority="1">
      <formula>MONTH($J2)=MONTH(TODAY()-29)</formula>
    </cfRule>
  </conditionalFormatting>
  <pageMargins left="0.7" right="0.7" top="0.75" bottom="0.75" header="0.3" footer="0.3"/>
  <headerFooter>
    <oddHeader>&amp;C&amp;"Calibri"&amp;10&amp;KFF0000 CONFIDENTIAL&amp;1#_x000D_</oddHeader>
  </headerFooter>
  <drawing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36674-A29A-4904-8B94-DE9B03B0EA72}">
  <sheetPr codeName="Sheet18" filterMode="1"/>
  <dimension ref="A1:AS109"/>
  <sheetViews>
    <sheetView zoomScale="55" zoomScaleNormal="55" workbookViewId="0">
      <pane ySplit="1" topLeftCell="A2" activePane="bottomLeft" state="frozen"/>
      <selection activeCell="D69" sqref="D69"/>
      <selection pane="bottomLeft" activeCell="H9" sqref="H9"/>
    </sheetView>
  </sheetViews>
  <sheetFormatPr defaultColWidth="8.109375" defaultRowHeight="34.35" customHeight="1"/>
  <cols>
    <col min="1" max="1" width="18.109375" customWidth="1"/>
    <col min="2" max="2" width="33.109375" style="77" customWidth="1"/>
    <col min="3" max="3" width="3.109375" bestFit="1" customWidth="1"/>
    <col min="4" max="4" width="31.109375" style="49" customWidth="1"/>
    <col min="5" max="5" width="32.109375" style="49" customWidth="1"/>
    <col min="6" max="6" width="11.109375" style="50" customWidth="1"/>
    <col min="7" max="7" width="8.109375" customWidth="1"/>
    <col min="8" max="8" width="22.109375" customWidth="1"/>
    <col min="9" max="9" width="18.109375" style="51" customWidth="1"/>
    <col min="10" max="10" width="12.109375" style="743" customWidth="1"/>
    <col min="11" max="15" width="15" style="893" bestFit="1" customWidth="1"/>
    <col min="16" max="16" width="15.6640625" style="893" customWidth="1"/>
    <col min="17" max="17" width="15.109375" style="893" customWidth="1"/>
    <col min="18" max="18" width="14.109375" style="893" customWidth="1"/>
    <col min="19" max="19" width="11.109375" style="893" customWidth="1"/>
    <col min="20" max="20" width="11.109375" style="893" bestFit="1" customWidth="1"/>
    <col min="21" max="24" width="8.109375" style="743"/>
    <col min="25" max="25" width="10.109375" style="743" customWidth="1"/>
    <col min="29" max="29" width="10.109375" customWidth="1"/>
    <col min="33" max="33" width="12.109375" customWidth="1"/>
  </cols>
  <sheetData>
    <row r="1" spans="1:45" ht="52.5" customHeight="1">
      <c r="A1" s="85" t="s">
        <v>1</v>
      </c>
      <c r="B1" s="85" t="s">
        <v>19</v>
      </c>
      <c r="C1" s="85" t="s">
        <v>93</v>
      </c>
      <c r="D1" s="85" t="s">
        <v>21</v>
      </c>
      <c r="E1" s="85" t="s">
        <v>308</v>
      </c>
      <c r="F1" s="86" t="s">
        <v>22</v>
      </c>
      <c r="G1" s="78" t="s">
        <v>23</v>
      </c>
      <c r="H1" s="78" t="s">
        <v>24</v>
      </c>
      <c r="I1" s="78" t="s">
        <v>25</v>
      </c>
      <c r="J1" s="876" t="s">
        <v>26</v>
      </c>
      <c r="K1" s="877" t="s">
        <v>707</v>
      </c>
      <c r="L1" s="877" t="s">
        <v>708</v>
      </c>
      <c r="M1" s="877" t="s">
        <v>278</v>
      </c>
      <c r="N1" s="877" t="s">
        <v>102</v>
      </c>
      <c r="O1" s="877" t="s">
        <v>709</v>
      </c>
      <c r="P1" s="878" t="s">
        <v>710</v>
      </c>
      <c r="Q1" s="878" t="s">
        <v>711</v>
      </c>
      <c r="R1" s="878" t="s">
        <v>712</v>
      </c>
      <c r="S1" s="1463" t="s">
        <v>134</v>
      </c>
      <c r="T1" s="1464" t="s">
        <v>713</v>
      </c>
      <c r="U1" s="1544"/>
      <c r="V1" s="1545"/>
      <c r="W1" s="1545"/>
      <c r="X1" s="1544"/>
      <c r="Y1" s="1545"/>
      <c r="Z1" s="81"/>
      <c r="AA1" s="80"/>
      <c r="AB1" s="80"/>
      <c r="AC1" s="81"/>
      <c r="AD1" s="80"/>
      <c r="AE1" s="81"/>
      <c r="AF1" s="81"/>
      <c r="AG1" s="80"/>
      <c r="AH1" s="80"/>
      <c r="AI1" s="81"/>
      <c r="AJ1" s="81"/>
      <c r="AK1" s="81"/>
      <c r="AL1" s="80"/>
      <c r="AM1" s="80"/>
      <c r="AN1" s="80"/>
      <c r="AO1" s="80"/>
      <c r="AP1" s="80"/>
      <c r="AQ1" s="81"/>
      <c r="AR1" s="81"/>
      <c r="AS1" s="82"/>
    </row>
    <row r="2" spans="1:45" ht="34.35" customHeight="1">
      <c r="A2" s="87" t="s">
        <v>16</v>
      </c>
      <c r="B2" s="37" t="s">
        <v>586</v>
      </c>
      <c r="C2" s="73">
        <v>1</v>
      </c>
      <c r="D2" s="72" t="s">
        <v>587</v>
      </c>
      <c r="E2" s="3"/>
      <c r="F2" s="71" t="s">
        <v>589</v>
      </c>
      <c r="G2" s="70" t="s">
        <v>106</v>
      </c>
      <c r="H2" s="70" t="s">
        <v>40</v>
      </c>
      <c r="I2" s="42"/>
      <c r="J2" s="57">
        <v>45748</v>
      </c>
      <c r="K2" s="1546">
        <v>168.72260299999999</v>
      </c>
      <c r="L2" s="1433">
        <v>254.83255</v>
      </c>
      <c r="M2" s="1433">
        <v>321.85215999999997</v>
      </c>
      <c r="N2" s="1433">
        <v>153.72539</v>
      </c>
      <c r="O2" s="1433">
        <v>222.30151999999998</v>
      </c>
      <c r="P2" s="1547">
        <v>46.0212389</v>
      </c>
      <c r="Q2" s="1547">
        <v>12.475424500000001</v>
      </c>
      <c r="R2" s="1547">
        <v>1.5059450000000001</v>
      </c>
      <c r="S2" s="880"/>
      <c r="T2" s="881"/>
    </row>
    <row r="3" spans="1:45" ht="34.35" customHeight="1">
      <c r="A3" s="87" t="s">
        <v>16</v>
      </c>
      <c r="B3" s="37" t="s">
        <v>586</v>
      </c>
      <c r="C3" s="73">
        <v>2</v>
      </c>
      <c r="D3" s="72" t="s">
        <v>593</v>
      </c>
      <c r="E3" s="72"/>
      <c r="F3" s="71" t="s">
        <v>714</v>
      </c>
      <c r="G3" s="70" t="s">
        <v>106</v>
      </c>
      <c r="H3" s="70" t="s">
        <v>40</v>
      </c>
      <c r="I3" s="21"/>
      <c r="J3" s="57">
        <v>45748</v>
      </c>
      <c r="K3" s="889">
        <v>0.67880965045720321</v>
      </c>
      <c r="L3" s="885">
        <v>0.37910487846813307</v>
      </c>
      <c r="M3" s="885">
        <v>3.5468538620058845</v>
      </c>
      <c r="N3" s="885">
        <v>1.6016398207959992</v>
      </c>
      <c r="O3" s="885">
        <v>1.0316608122991673</v>
      </c>
      <c r="P3" s="1548"/>
      <c r="Q3" s="1548"/>
      <c r="R3" s="1548"/>
      <c r="S3" s="880"/>
      <c r="T3" s="881"/>
    </row>
    <row r="4" spans="1:45" ht="34.35" customHeight="1">
      <c r="A4" s="87" t="s">
        <v>16</v>
      </c>
      <c r="B4" s="37" t="s">
        <v>586</v>
      </c>
      <c r="C4" s="73">
        <v>3</v>
      </c>
      <c r="D4" s="79" t="s">
        <v>599</v>
      </c>
      <c r="E4" s="79"/>
      <c r="F4" s="71" t="s">
        <v>288</v>
      </c>
      <c r="G4" s="70" t="s">
        <v>106</v>
      </c>
      <c r="H4" s="70" t="s">
        <v>40</v>
      </c>
      <c r="I4" s="1"/>
      <c r="J4" s="57">
        <v>45748</v>
      </c>
      <c r="K4" s="883">
        <v>5</v>
      </c>
      <c r="L4" s="884">
        <v>5</v>
      </c>
      <c r="M4" s="884">
        <v>2</v>
      </c>
      <c r="N4" s="884">
        <v>6</v>
      </c>
      <c r="O4" s="884">
        <v>6</v>
      </c>
      <c r="P4" s="921">
        <v>5</v>
      </c>
      <c r="Q4" s="921">
        <v>6</v>
      </c>
      <c r="R4" s="921">
        <v>6</v>
      </c>
      <c r="S4" s="880"/>
      <c r="T4" s="881"/>
    </row>
    <row r="5" spans="1:45" ht="34.35" customHeight="1">
      <c r="A5" s="87" t="s">
        <v>16</v>
      </c>
      <c r="B5" s="37" t="s">
        <v>586</v>
      </c>
      <c r="C5" s="73">
        <v>4</v>
      </c>
      <c r="D5" s="79" t="s">
        <v>601</v>
      </c>
      <c r="E5" s="1"/>
      <c r="F5" s="71" t="s">
        <v>136</v>
      </c>
      <c r="G5" s="70" t="s">
        <v>106</v>
      </c>
      <c r="H5" s="70" t="s">
        <v>40</v>
      </c>
      <c r="I5" s="1"/>
      <c r="J5" s="57">
        <v>45748</v>
      </c>
      <c r="K5" s="1549">
        <f>1049199.38/1000000</f>
        <v>1.0491993799999999</v>
      </c>
      <c r="L5" s="1550">
        <f>1584673/1000000</f>
        <v>1.584673</v>
      </c>
      <c r="M5" s="1550">
        <f>2001433.6/1000000</f>
        <v>2.0014335999999999</v>
      </c>
      <c r="N5" s="1550">
        <f>955939.4/1000000</f>
        <v>0.95593939999999999</v>
      </c>
      <c r="O5" s="1550">
        <f>1382379.2/1000000</f>
        <v>1.3823791999999999</v>
      </c>
      <c r="P5" s="1551">
        <v>0.28850289259999995</v>
      </c>
      <c r="Q5" s="1551">
        <v>7.8207283000000016E-2</v>
      </c>
      <c r="R5" s="1551">
        <v>9.4406299999999985E-3</v>
      </c>
      <c r="S5" s="880"/>
      <c r="T5" s="881"/>
    </row>
    <row r="6" spans="1:45" ht="34.35" customHeight="1">
      <c r="A6" s="87" t="s">
        <v>16</v>
      </c>
      <c r="B6" s="37" t="s">
        <v>604</v>
      </c>
      <c r="C6" s="73">
        <v>5</v>
      </c>
      <c r="D6" s="79" t="s">
        <v>605</v>
      </c>
      <c r="E6" s="1"/>
      <c r="F6" s="71" t="s">
        <v>607</v>
      </c>
      <c r="G6" s="70" t="s">
        <v>106</v>
      </c>
      <c r="H6" s="70" t="s">
        <v>40</v>
      </c>
      <c r="I6" s="26"/>
      <c r="J6" s="879">
        <v>45748</v>
      </c>
      <c r="K6" s="880"/>
      <c r="L6" s="881"/>
      <c r="M6" s="881"/>
      <c r="N6" s="881"/>
      <c r="O6" s="881"/>
      <c r="P6" s="882"/>
      <c r="Q6" s="882"/>
      <c r="R6" s="882"/>
      <c r="S6" s="1552">
        <v>4074</v>
      </c>
      <c r="T6" s="1553">
        <v>14222</v>
      </c>
    </row>
    <row r="7" spans="1:45" ht="34.35" customHeight="1">
      <c r="A7" s="87" t="s">
        <v>16</v>
      </c>
      <c r="B7" s="37" t="s">
        <v>604</v>
      </c>
      <c r="C7" s="73">
        <v>6</v>
      </c>
      <c r="D7" s="79" t="s">
        <v>611</v>
      </c>
      <c r="E7" s="1"/>
      <c r="F7" s="71" t="s">
        <v>136</v>
      </c>
      <c r="G7" s="70" t="s">
        <v>106</v>
      </c>
      <c r="H7" s="70" t="s">
        <v>40</v>
      </c>
      <c r="I7" s="1"/>
      <c r="J7" s="57">
        <v>45748</v>
      </c>
      <c r="K7" s="880"/>
      <c r="L7" s="881"/>
      <c r="M7" s="881"/>
      <c r="N7" s="881"/>
      <c r="O7" s="881"/>
      <c r="P7" s="882"/>
      <c r="Q7" s="882"/>
      <c r="R7" s="882"/>
      <c r="S7" s="1554">
        <f>(S6*31.9)/1000000</f>
        <v>0.12996059999999998</v>
      </c>
      <c r="T7" s="885">
        <f>(583602.67/1000000)-S7</f>
        <v>0.45364207000000001</v>
      </c>
    </row>
    <row r="8" spans="1:45" ht="34.35" customHeight="1">
      <c r="A8" s="87" t="s">
        <v>16</v>
      </c>
      <c r="B8" s="37" t="s">
        <v>586</v>
      </c>
      <c r="C8" s="73">
        <v>1</v>
      </c>
      <c r="D8" s="72" t="s">
        <v>587</v>
      </c>
      <c r="E8" s="3"/>
      <c r="F8" s="71" t="s">
        <v>589</v>
      </c>
      <c r="G8" s="70" t="s">
        <v>106</v>
      </c>
      <c r="H8" s="70" t="s">
        <v>40</v>
      </c>
      <c r="I8" s="42"/>
      <c r="J8" s="57">
        <v>45778</v>
      </c>
      <c r="K8" s="886">
        <v>229.31567749999999</v>
      </c>
      <c r="L8" s="887">
        <v>333.30114999999995</v>
      </c>
      <c r="M8" s="887">
        <v>404.14184999999998</v>
      </c>
      <c r="N8" s="887">
        <v>200.172875</v>
      </c>
      <c r="O8" s="887">
        <v>310.21098499999999</v>
      </c>
      <c r="P8" s="934">
        <v>60.359810699999997</v>
      </c>
      <c r="Q8" s="934">
        <v>20.231071</v>
      </c>
      <c r="R8" s="934">
        <v>1.7661979999999999</v>
      </c>
      <c r="S8" s="880"/>
      <c r="T8" s="881"/>
    </row>
    <row r="9" spans="1:45" ht="34.35" customHeight="1">
      <c r="A9" s="87" t="s">
        <v>16</v>
      </c>
      <c r="B9" s="37" t="s">
        <v>586</v>
      </c>
      <c r="C9" s="73">
        <v>2</v>
      </c>
      <c r="D9" s="72" t="s">
        <v>593</v>
      </c>
      <c r="E9" s="72"/>
      <c r="F9" s="71" t="s">
        <v>714</v>
      </c>
      <c r="G9" s="70" t="s">
        <v>106</v>
      </c>
      <c r="H9" s="70" t="s">
        <v>40</v>
      </c>
      <c r="I9" s="21"/>
      <c r="J9" s="57">
        <v>45778</v>
      </c>
      <c r="K9" s="889">
        <v>1.0059917285409807</v>
      </c>
      <c r="L9" s="885">
        <v>0.40675454937432864</v>
      </c>
      <c r="M9" s="885">
        <v>3.7811834090397012</v>
      </c>
      <c r="N9" s="885">
        <v>1.5841123766306222</v>
      </c>
      <c r="O9" s="885">
        <v>1.0786383108190336</v>
      </c>
      <c r="P9" s="888"/>
      <c r="Q9" s="888"/>
      <c r="R9" s="888"/>
      <c r="S9" s="880"/>
      <c r="T9" s="881"/>
    </row>
    <row r="10" spans="1:45" ht="34.35" customHeight="1">
      <c r="A10" s="87" t="s">
        <v>16</v>
      </c>
      <c r="B10" s="37" t="s">
        <v>586</v>
      </c>
      <c r="C10" s="73">
        <v>3</v>
      </c>
      <c r="D10" s="79" t="s">
        <v>599</v>
      </c>
      <c r="E10" s="79"/>
      <c r="F10" s="71" t="s">
        <v>288</v>
      </c>
      <c r="G10" s="70" t="s">
        <v>106</v>
      </c>
      <c r="H10" s="70" t="s">
        <v>40</v>
      </c>
      <c r="I10" s="1"/>
      <c r="J10" s="57">
        <v>45778</v>
      </c>
      <c r="K10" s="883">
        <v>0</v>
      </c>
      <c r="L10" s="884">
        <v>0</v>
      </c>
      <c r="M10" s="884">
        <v>0</v>
      </c>
      <c r="N10" s="884">
        <v>0</v>
      </c>
      <c r="O10" s="884">
        <v>0</v>
      </c>
      <c r="P10" s="921">
        <v>0</v>
      </c>
      <c r="Q10" s="921">
        <v>0</v>
      </c>
      <c r="R10" s="921">
        <v>3</v>
      </c>
      <c r="S10" s="880"/>
      <c r="T10" s="881"/>
    </row>
    <row r="11" spans="1:45" ht="34.35" customHeight="1">
      <c r="A11" s="87" t="s">
        <v>16</v>
      </c>
      <c r="B11" s="37" t="s">
        <v>586</v>
      </c>
      <c r="C11" s="73">
        <v>4</v>
      </c>
      <c r="D11" s="79" t="s">
        <v>601</v>
      </c>
      <c r="E11" s="1"/>
      <c r="F11" s="71" t="s">
        <v>136</v>
      </c>
      <c r="G11" s="70" t="s">
        <v>106</v>
      </c>
      <c r="H11" s="70" t="s">
        <v>40</v>
      </c>
      <c r="I11" s="1"/>
      <c r="J11" s="57">
        <v>45778</v>
      </c>
      <c r="K11" s="886">
        <v>1.3103753</v>
      </c>
      <c r="L11" s="887">
        <v>1.9045780000000001</v>
      </c>
      <c r="M11" s="887">
        <v>2.3093819999999998</v>
      </c>
      <c r="N11" s="887">
        <v>1.143845</v>
      </c>
      <c r="O11" s="887">
        <v>1.7726341999999999</v>
      </c>
      <c r="P11" s="934">
        <v>0.34491320399999997</v>
      </c>
      <c r="Q11" s="934">
        <v>0.11560612000000001</v>
      </c>
      <c r="R11" s="934">
        <v>1.0092559999999999E-2</v>
      </c>
      <c r="S11" s="880"/>
      <c r="T11" s="881"/>
    </row>
    <row r="12" spans="1:45" ht="34.35" customHeight="1">
      <c r="A12" s="87" t="s">
        <v>16</v>
      </c>
      <c r="B12" s="37" t="s">
        <v>604</v>
      </c>
      <c r="C12" s="73">
        <v>5</v>
      </c>
      <c r="D12" s="79" t="s">
        <v>605</v>
      </c>
      <c r="E12" s="1"/>
      <c r="F12" s="71" t="s">
        <v>607</v>
      </c>
      <c r="G12" s="70" t="s">
        <v>106</v>
      </c>
      <c r="H12" s="70" t="s">
        <v>40</v>
      </c>
      <c r="I12" s="26"/>
      <c r="J12" s="57">
        <v>45778</v>
      </c>
      <c r="K12" s="880"/>
      <c r="L12" s="881"/>
      <c r="M12" s="881"/>
      <c r="N12" s="881"/>
      <c r="O12" s="881"/>
      <c r="P12" s="882"/>
      <c r="Q12" s="882"/>
      <c r="R12" s="882"/>
      <c r="S12" s="1552">
        <v>5099</v>
      </c>
      <c r="T12" s="1553">
        <v>17767</v>
      </c>
    </row>
    <row r="13" spans="1:45" ht="34.35" customHeight="1">
      <c r="A13" s="87" t="s">
        <v>16</v>
      </c>
      <c r="B13" s="37" t="s">
        <v>604</v>
      </c>
      <c r="C13" s="73">
        <v>6</v>
      </c>
      <c r="D13" s="79" t="s">
        <v>611</v>
      </c>
      <c r="E13" s="1"/>
      <c r="F13" s="71" t="s">
        <v>136</v>
      </c>
      <c r="G13" s="70" t="s">
        <v>106</v>
      </c>
      <c r="H13" s="70" t="s">
        <v>40</v>
      </c>
      <c r="I13" s="1"/>
      <c r="J13" s="57">
        <v>45778</v>
      </c>
      <c r="K13" s="880"/>
      <c r="L13" s="881"/>
      <c r="M13" s="881"/>
      <c r="N13" s="881"/>
      <c r="O13" s="881"/>
      <c r="P13" s="882"/>
      <c r="Q13" s="882"/>
      <c r="R13" s="882"/>
      <c r="S13" s="889">
        <f>S12*34.44/1000000</f>
        <v>0.17560956</v>
      </c>
      <c r="T13" s="889">
        <f>T12*34.44/1000000</f>
        <v>0.61189547999999994</v>
      </c>
    </row>
    <row r="14" spans="1:45" ht="34.35" customHeight="1">
      <c r="A14" s="87" t="s">
        <v>16</v>
      </c>
      <c r="B14" s="37" t="s">
        <v>586</v>
      </c>
      <c r="C14" s="73">
        <v>1</v>
      </c>
      <c r="D14" s="72" t="s">
        <v>587</v>
      </c>
      <c r="E14" s="3"/>
      <c r="F14" s="71" t="s">
        <v>589</v>
      </c>
      <c r="G14" s="70" t="s">
        <v>106</v>
      </c>
      <c r="H14" s="70" t="s">
        <v>40</v>
      </c>
      <c r="I14" s="42"/>
      <c r="J14" s="57">
        <v>45809</v>
      </c>
      <c r="K14" s="886">
        <v>218.87848499999998</v>
      </c>
      <c r="L14" s="887">
        <v>325.39954999999998</v>
      </c>
      <c r="M14" s="887">
        <v>382.92176999999998</v>
      </c>
      <c r="N14" s="887">
        <v>199.60702999999998</v>
      </c>
      <c r="O14" s="887">
        <v>297.38278500000001</v>
      </c>
      <c r="P14" s="934">
        <v>62.580909999999996</v>
      </c>
      <c r="Q14" s="934">
        <v>21.038605</v>
      </c>
      <c r="R14" s="934">
        <v>1.6743299999999999</v>
      </c>
      <c r="S14" s="880"/>
      <c r="T14" s="881"/>
    </row>
    <row r="15" spans="1:45" ht="34.35" customHeight="1">
      <c r="A15" s="87" t="s">
        <v>16</v>
      </c>
      <c r="B15" s="37" t="s">
        <v>586</v>
      </c>
      <c r="C15" s="73">
        <v>2</v>
      </c>
      <c r="D15" s="72" t="s">
        <v>593</v>
      </c>
      <c r="E15" s="72"/>
      <c r="F15" s="71" t="s">
        <v>714</v>
      </c>
      <c r="G15" s="70" t="s">
        <v>106</v>
      </c>
      <c r="H15" s="70" t="s">
        <v>40</v>
      </c>
      <c r="I15" s="21"/>
      <c r="J15" s="879">
        <v>45809</v>
      </c>
      <c r="K15" s="883">
        <v>0.998</v>
      </c>
      <c r="L15" s="884">
        <v>0.373</v>
      </c>
      <c r="M15" s="884">
        <v>3.6160000000000001</v>
      </c>
      <c r="N15" s="885">
        <v>1.50719</v>
      </c>
      <c r="O15" s="885">
        <v>1.0593539999999999</v>
      </c>
      <c r="P15" s="882"/>
      <c r="Q15" s="882"/>
      <c r="R15" s="882"/>
      <c r="S15" s="880"/>
      <c r="T15" s="881"/>
    </row>
    <row r="16" spans="1:45" ht="34.35" customHeight="1">
      <c r="A16" s="87" t="s">
        <v>16</v>
      </c>
      <c r="B16" s="37" t="s">
        <v>586</v>
      </c>
      <c r="C16" s="73">
        <v>3</v>
      </c>
      <c r="D16" s="79" t="s">
        <v>599</v>
      </c>
      <c r="E16" s="79"/>
      <c r="F16" s="71" t="s">
        <v>288</v>
      </c>
      <c r="G16" s="70" t="s">
        <v>106</v>
      </c>
      <c r="H16" s="70" t="s">
        <v>40</v>
      </c>
      <c r="I16" s="1"/>
      <c r="J16" s="57">
        <v>45809</v>
      </c>
      <c r="K16" s="883">
        <v>0</v>
      </c>
      <c r="L16" s="884">
        <v>0</v>
      </c>
      <c r="M16" s="884">
        <v>0</v>
      </c>
      <c r="N16" s="884">
        <v>0</v>
      </c>
      <c r="O16" s="884">
        <v>0</v>
      </c>
      <c r="P16" s="921">
        <v>3</v>
      </c>
      <c r="Q16" s="921">
        <v>3</v>
      </c>
      <c r="R16" s="921">
        <v>3</v>
      </c>
      <c r="S16" s="880"/>
      <c r="T16" s="881"/>
    </row>
    <row r="17" spans="1:20" ht="34.35" customHeight="1">
      <c r="A17" s="87" t="s">
        <v>16</v>
      </c>
      <c r="B17" s="37" t="s">
        <v>586</v>
      </c>
      <c r="C17" s="73">
        <v>4</v>
      </c>
      <c r="D17" s="79" t="s">
        <v>601</v>
      </c>
      <c r="E17" s="1"/>
      <c r="F17" s="71" t="s">
        <v>136</v>
      </c>
      <c r="G17" s="70" t="s">
        <v>106</v>
      </c>
      <c r="H17" s="70" t="s">
        <v>40</v>
      </c>
      <c r="I17" s="1"/>
      <c r="J17" s="57">
        <v>45809</v>
      </c>
      <c r="K17" s="883">
        <v>1.3129999999999999</v>
      </c>
      <c r="L17" s="884">
        <v>1.952</v>
      </c>
      <c r="M17" s="884">
        <v>2.298</v>
      </c>
      <c r="N17" s="884">
        <v>1.198</v>
      </c>
      <c r="O17" s="884">
        <v>1.784</v>
      </c>
      <c r="P17" s="921">
        <v>0.375</v>
      </c>
      <c r="Q17" s="921">
        <v>0.126</v>
      </c>
      <c r="R17" s="930">
        <v>0.01</v>
      </c>
      <c r="S17" s="880"/>
      <c r="T17" s="881"/>
    </row>
    <row r="18" spans="1:20" ht="34.35" customHeight="1">
      <c r="A18" s="87" t="s">
        <v>16</v>
      </c>
      <c r="B18" s="37" t="s">
        <v>604</v>
      </c>
      <c r="C18" s="73">
        <v>5</v>
      </c>
      <c r="D18" s="79" t="s">
        <v>605</v>
      </c>
      <c r="E18" s="1"/>
      <c r="F18" s="71" t="s">
        <v>607</v>
      </c>
      <c r="G18" s="70" t="s">
        <v>106</v>
      </c>
      <c r="H18" s="70" t="s">
        <v>40</v>
      </c>
      <c r="I18" s="26"/>
      <c r="J18" s="57">
        <v>45809</v>
      </c>
      <c r="K18" s="880"/>
      <c r="L18" s="881"/>
      <c r="M18" s="881"/>
      <c r="N18" s="881"/>
      <c r="O18" s="881"/>
      <c r="P18" s="882"/>
      <c r="Q18" s="882"/>
      <c r="R18" s="882"/>
      <c r="S18" s="1555">
        <v>5325</v>
      </c>
      <c r="T18" s="1556">
        <v>18591</v>
      </c>
    </row>
    <row r="19" spans="1:20" ht="34.35" customHeight="1">
      <c r="A19" s="87" t="s">
        <v>16</v>
      </c>
      <c r="B19" s="37" t="s">
        <v>604</v>
      </c>
      <c r="C19" s="73">
        <v>6</v>
      </c>
      <c r="D19" s="79" t="s">
        <v>611</v>
      </c>
      <c r="E19" s="1"/>
      <c r="F19" s="71" t="s">
        <v>136</v>
      </c>
      <c r="G19" s="70" t="s">
        <v>106</v>
      </c>
      <c r="H19" s="70" t="s">
        <v>40</v>
      </c>
      <c r="I19" s="1"/>
      <c r="J19" s="57">
        <v>45809</v>
      </c>
      <c r="K19" s="880"/>
      <c r="L19" s="881"/>
      <c r="M19" s="881"/>
      <c r="N19" s="881"/>
      <c r="O19" s="881"/>
      <c r="P19" s="882"/>
      <c r="Q19" s="882"/>
      <c r="R19" s="882"/>
      <c r="S19" s="883">
        <v>0.183</v>
      </c>
      <c r="T19" s="884">
        <v>0.64</v>
      </c>
    </row>
    <row r="20" spans="1:20" ht="34.35" customHeight="1">
      <c r="A20" s="87" t="s">
        <v>16</v>
      </c>
      <c r="B20" s="37" t="s">
        <v>586</v>
      </c>
      <c r="C20" s="73">
        <v>1</v>
      </c>
      <c r="D20" s="72" t="s">
        <v>587</v>
      </c>
      <c r="E20" s="3"/>
      <c r="F20" s="71" t="s">
        <v>589</v>
      </c>
      <c r="G20" s="70" t="s">
        <v>106</v>
      </c>
      <c r="H20" s="70" t="s">
        <v>40</v>
      </c>
      <c r="I20" s="42"/>
      <c r="J20" s="57">
        <v>45839</v>
      </c>
      <c r="K20" s="886">
        <v>204.12605500000001</v>
      </c>
      <c r="L20" s="887">
        <v>309.22745000000003</v>
      </c>
      <c r="M20" s="887">
        <v>385.47015500000003</v>
      </c>
      <c r="N20" s="887">
        <v>202.17326499999999</v>
      </c>
      <c r="O20" s="887">
        <v>272.48798499999998</v>
      </c>
      <c r="P20" s="934">
        <v>57.099175000000002</v>
      </c>
      <c r="Q20" s="934">
        <v>22.65879</v>
      </c>
      <c r="R20" s="934">
        <v>1.8076099999999997</v>
      </c>
      <c r="S20" s="880"/>
      <c r="T20" s="881"/>
    </row>
    <row r="21" spans="1:20" ht="34.35" customHeight="1">
      <c r="A21" s="87" t="s">
        <v>16</v>
      </c>
      <c r="B21" s="37" t="s">
        <v>586</v>
      </c>
      <c r="C21" s="73">
        <v>2</v>
      </c>
      <c r="D21" s="72" t="s">
        <v>593</v>
      </c>
      <c r="E21" s="72"/>
      <c r="F21" s="71" t="s">
        <v>714</v>
      </c>
      <c r="G21" s="70" t="s">
        <v>106</v>
      </c>
      <c r="H21" s="70" t="s">
        <v>40</v>
      </c>
      <c r="I21" s="21"/>
      <c r="J21" s="57">
        <v>45839</v>
      </c>
      <c r="K21" s="889">
        <v>0.97725103152233028</v>
      </c>
      <c r="L21" s="885">
        <v>0.3904056027537412</v>
      </c>
      <c r="M21" s="885">
        <v>3.7002458713396207</v>
      </c>
      <c r="N21" s="885">
        <v>1.4333353850868449</v>
      </c>
      <c r="O21" s="885">
        <v>0.97525983283289552</v>
      </c>
      <c r="P21" s="882"/>
      <c r="Q21" s="882"/>
      <c r="R21" s="882"/>
      <c r="S21" s="880"/>
      <c r="T21" s="881"/>
    </row>
    <row r="22" spans="1:20" ht="34.35" customHeight="1">
      <c r="A22" s="87" t="s">
        <v>16</v>
      </c>
      <c r="B22" s="37" t="s">
        <v>586</v>
      </c>
      <c r="C22" s="73">
        <v>3</v>
      </c>
      <c r="D22" s="79" t="s">
        <v>599</v>
      </c>
      <c r="E22" s="79"/>
      <c r="F22" s="71" t="s">
        <v>288</v>
      </c>
      <c r="G22" s="70" t="s">
        <v>106</v>
      </c>
      <c r="H22" s="70" t="s">
        <v>40</v>
      </c>
      <c r="I22" s="1"/>
      <c r="J22" s="57">
        <v>45839</v>
      </c>
      <c r="K22" s="883">
        <v>1</v>
      </c>
      <c r="L22" s="884">
        <v>1</v>
      </c>
      <c r="M22" s="884">
        <v>0</v>
      </c>
      <c r="N22" s="884">
        <v>0</v>
      </c>
      <c r="O22" s="884">
        <v>0</v>
      </c>
      <c r="P22" s="921">
        <v>4</v>
      </c>
      <c r="Q22" s="921">
        <v>4</v>
      </c>
      <c r="R22" s="921">
        <v>4</v>
      </c>
      <c r="S22" s="880"/>
      <c r="T22" s="881"/>
    </row>
    <row r="23" spans="1:20" ht="34.35" customHeight="1">
      <c r="A23" s="87" t="s">
        <v>16</v>
      </c>
      <c r="B23" s="37" t="s">
        <v>586</v>
      </c>
      <c r="C23" s="73">
        <v>4</v>
      </c>
      <c r="D23" s="79" t="s">
        <v>601</v>
      </c>
      <c r="E23" s="1"/>
      <c r="F23" s="71" t="s">
        <v>136</v>
      </c>
      <c r="G23" s="70" t="s">
        <v>106</v>
      </c>
      <c r="H23" s="70" t="s">
        <v>40</v>
      </c>
      <c r="I23" s="1"/>
      <c r="J23" s="57">
        <v>45839</v>
      </c>
      <c r="K23" s="889">
        <v>1.2247563299999999</v>
      </c>
      <c r="L23" s="885">
        <v>1.8553647</v>
      </c>
      <c r="M23" s="885">
        <v>2.3128209299999996</v>
      </c>
      <c r="N23" s="885">
        <v>1.2130395899999999</v>
      </c>
      <c r="O23" s="885">
        <v>1.6349279099999998</v>
      </c>
      <c r="P23" s="930">
        <v>0.34259505000000001</v>
      </c>
      <c r="Q23" s="930">
        <v>0.13595273999999999</v>
      </c>
      <c r="R23" s="930">
        <v>1.084566E-2</v>
      </c>
      <c r="S23" s="880"/>
      <c r="T23" s="881"/>
    </row>
    <row r="24" spans="1:20" ht="34.35" customHeight="1">
      <c r="A24" s="87" t="s">
        <v>16</v>
      </c>
      <c r="B24" s="37" t="s">
        <v>604</v>
      </c>
      <c r="C24" s="73">
        <v>5</v>
      </c>
      <c r="D24" s="79" t="s">
        <v>605</v>
      </c>
      <c r="E24" s="1"/>
      <c r="F24" s="71" t="s">
        <v>607</v>
      </c>
      <c r="G24" s="70" t="s">
        <v>106</v>
      </c>
      <c r="H24" s="70" t="s">
        <v>40</v>
      </c>
      <c r="I24" s="26"/>
      <c r="J24" s="879">
        <v>45839</v>
      </c>
      <c r="K24" s="880"/>
      <c r="L24" s="881"/>
      <c r="M24" s="881"/>
      <c r="N24" s="881"/>
      <c r="O24" s="881"/>
      <c r="P24" s="882"/>
      <c r="Q24" s="882"/>
      <c r="R24" s="882"/>
      <c r="S24" s="883">
        <v>6864</v>
      </c>
      <c r="T24" s="884">
        <v>14588</v>
      </c>
    </row>
    <row r="25" spans="1:20" ht="34.35" customHeight="1">
      <c r="A25" s="87" t="s">
        <v>16</v>
      </c>
      <c r="B25" s="37" t="s">
        <v>604</v>
      </c>
      <c r="C25" s="73">
        <v>6</v>
      </c>
      <c r="D25" s="79" t="s">
        <v>611</v>
      </c>
      <c r="E25" s="1"/>
      <c r="F25" s="71" t="s">
        <v>136</v>
      </c>
      <c r="G25" s="70" t="s">
        <v>106</v>
      </c>
      <c r="H25" s="70" t="s">
        <v>40</v>
      </c>
      <c r="I25" s="1"/>
      <c r="J25" s="57">
        <v>45839</v>
      </c>
      <c r="K25" s="880"/>
      <c r="L25" s="881"/>
      <c r="M25" s="881"/>
      <c r="N25" s="881"/>
      <c r="O25" s="881"/>
      <c r="P25" s="882"/>
      <c r="Q25" s="882"/>
      <c r="R25" s="882"/>
      <c r="S25" s="889">
        <f>S24*34.4/1000000</f>
        <v>0.23612159999999999</v>
      </c>
      <c r="T25" s="889">
        <f>T24*34.4/1000000</f>
        <v>0.50182719999999992</v>
      </c>
    </row>
    <row r="26" spans="1:20" ht="34.35" customHeight="1">
      <c r="A26" s="87" t="s">
        <v>16</v>
      </c>
      <c r="B26" s="37" t="s">
        <v>586</v>
      </c>
      <c r="C26" s="73">
        <v>1</v>
      </c>
      <c r="D26" s="72" t="s">
        <v>587</v>
      </c>
      <c r="E26" s="3"/>
      <c r="F26" s="71" t="s">
        <v>589</v>
      </c>
      <c r="G26" s="70" t="s">
        <v>106</v>
      </c>
      <c r="H26" s="70" t="s">
        <v>40</v>
      </c>
      <c r="I26" s="42"/>
      <c r="J26" s="57">
        <v>45870</v>
      </c>
      <c r="K26" s="886">
        <v>202.33272499999998</v>
      </c>
      <c r="L26" s="887">
        <v>313.29129999999998</v>
      </c>
      <c r="M26" s="887">
        <v>391.76049499999999</v>
      </c>
      <c r="N26" s="887">
        <v>208.67601999999999</v>
      </c>
      <c r="O26" s="887">
        <v>273.89873</v>
      </c>
      <c r="P26" s="934">
        <v>57.325870000000002</v>
      </c>
      <c r="Q26" s="934">
        <v>24.134985</v>
      </c>
      <c r="R26" s="934">
        <v>1.8296250000000001</v>
      </c>
      <c r="S26" s="880"/>
      <c r="T26" s="881"/>
    </row>
    <row r="27" spans="1:20" ht="34.35" customHeight="1">
      <c r="A27" s="87" t="s">
        <v>16</v>
      </c>
      <c r="B27" s="37" t="s">
        <v>586</v>
      </c>
      <c r="C27" s="73">
        <v>2</v>
      </c>
      <c r="D27" s="72" t="s">
        <v>593</v>
      </c>
      <c r="E27" s="72"/>
      <c r="F27" s="71" t="s">
        <v>714</v>
      </c>
      <c r="G27" s="70" t="s">
        <v>106</v>
      </c>
      <c r="H27" s="70" t="s">
        <v>40</v>
      </c>
      <c r="I27" s="21"/>
      <c r="J27" s="57">
        <v>45870</v>
      </c>
      <c r="K27" s="889">
        <v>1.0001083071105346</v>
      </c>
      <c r="L27" s="885">
        <v>0.42305717865461606</v>
      </c>
      <c r="M27" s="885">
        <v>3.5265393189833905</v>
      </c>
      <c r="N27" s="885">
        <v>1.5968337625466058</v>
      </c>
      <c r="O27" s="885">
        <v>1.0282198991056</v>
      </c>
      <c r="P27" s="882"/>
      <c r="Q27" s="882"/>
      <c r="R27" s="882"/>
      <c r="S27" s="880"/>
      <c r="T27" s="881"/>
    </row>
    <row r="28" spans="1:20" ht="34.35" customHeight="1">
      <c r="A28" s="87" t="s">
        <v>16</v>
      </c>
      <c r="B28" s="37" t="s">
        <v>586</v>
      </c>
      <c r="C28" s="73">
        <v>3</v>
      </c>
      <c r="D28" s="79" t="s">
        <v>599</v>
      </c>
      <c r="E28" s="79"/>
      <c r="F28" s="71" t="s">
        <v>288</v>
      </c>
      <c r="G28" s="70" t="s">
        <v>106</v>
      </c>
      <c r="H28" s="70" t="s">
        <v>40</v>
      </c>
      <c r="I28" s="1"/>
      <c r="J28" s="57">
        <v>45870</v>
      </c>
      <c r="K28" s="883">
        <v>0</v>
      </c>
      <c r="L28" s="884">
        <v>0</v>
      </c>
      <c r="M28" s="884">
        <v>0</v>
      </c>
      <c r="N28" s="884">
        <v>0</v>
      </c>
      <c r="O28" s="884">
        <v>0</v>
      </c>
      <c r="P28" s="921">
        <v>2</v>
      </c>
      <c r="Q28" s="921">
        <v>2</v>
      </c>
      <c r="R28" s="921">
        <v>2</v>
      </c>
      <c r="S28" s="880"/>
      <c r="T28" s="881"/>
    </row>
    <row r="29" spans="1:20" ht="34.35" customHeight="1">
      <c r="A29" s="87" t="s">
        <v>16</v>
      </c>
      <c r="B29" s="37" t="s">
        <v>586</v>
      </c>
      <c r="C29" s="73">
        <v>4</v>
      </c>
      <c r="D29" s="79" t="s">
        <v>601</v>
      </c>
      <c r="E29" s="1"/>
      <c r="F29" s="71" t="s">
        <v>136</v>
      </c>
      <c r="G29" s="70" t="s">
        <v>106</v>
      </c>
      <c r="H29" s="70" t="s">
        <v>40</v>
      </c>
      <c r="I29" s="1"/>
      <c r="J29" s="57">
        <v>45870</v>
      </c>
      <c r="K29" s="889">
        <v>1.2139963499999999</v>
      </c>
      <c r="L29" s="885">
        <v>1.8797477999999999</v>
      </c>
      <c r="M29" s="885">
        <v>2.3505629699999999</v>
      </c>
      <c r="N29" s="885">
        <v>1.2520561199999998</v>
      </c>
      <c r="O29" s="885">
        <v>1.6433923799999999</v>
      </c>
      <c r="P29" s="930">
        <v>0.34395521999999995</v>
      </c>
      <c r="Q29" s="930">
        <v>0.14480991000000001</v>
      </c>
      <c r="R29" s="930">
        <v>1.097775E-2</v>
      </c>
      <c r="S29" s="880"/>
      <c r="T29" s="881"/>
    </row>
    <row r="30" spans="1:20" ht="34.35" customHeight="1">
      <c r="A30" s="87" t="s">
        <v>16</v>
      </c>
      <c r="B30" s="37" t="s">
        <v>604</v>
      </c>
      <c r="C30" s="73">
        <v>5</v>
      </c>
      <c r="D30" s="79" t="s">
        <v>605</v>
      </c>
      <c r="E30" s="1"/>
      <c r="F30" s="71" t="s">
        <v>607</v>
      </c>
      <c r="G30" s="70" t="s">
        <v>106</v>
      </c>
      <c r="H30" s="70" t="s">
        <v>40</v>
      </c>
      <c r="I30" s="26"/>
      <c r="J30" s="57">
        <v>45870</v>
      </c>
      <c r="K30" s="880"/>
      <c r="L30" s="881"/>
      <c r="M30" s="881"/>
      <c r="N30" s="881"/>
      <c r="O30" s="881"/>
      <c r="P30" s="882"/>
      <c r="Q30" s="882"/>
      <c r="R30" s="882"/>
      <c r="S30" s="883">
        <v>7740</v>
      </c>
      <c r="T30" s="884">
        <v>15024</v>
      </c>
    </row>
    <row r="31" spans="1:20" ht="34.35" customHeight="1">
      <c r="A31" s="87" t="s">
        <v>16</v>
      </c>
      <c r="B31" s="37" t="s">
        <v>604</v>
      </c>
      <c r="C31" s="73">
        <v>6</v>
      </c>
      <c r="D31" s="79" t="s">
        <v>611</v>
      </c>
      <c r="E31" s="1"/>
      <c r="F31" s="71" t="s">
        <v>136</v>
      </c>
      <c r="G31" s="70" t="s">
        <v>106</v>
      </c>
      <c r="H31" s="70" t="s">
        <v>40</v>
      </c>
      <c r="I31" s="1"/>
      <c r="J31" s="57">
        <v>45870</v>
      </c>
      <c r="K31" s="880"/>
      <c r="L31" s="881"/>
      <c r="M31" s="881"/>
      <c r="N31" s="881"/>
      <c r="O31" s="881"/>
      <c r="P31" s="882"/>
      <c r="Q31" s="882"/>
      <c r="R31" s="882"/>
      <c r="S31" s="883">
        <v>0.26400000000000001</v>
      </c>
      <c r="T31" s="884">
        <v>0.51200000000000001</v>
      </c>
    </row>
    <row r="32" spans="1:20" ht="34.35" customHeight="1">
      <c r="A32" s="87" t="s">
        <v>16</v>
      </c>
      <c r="B32" s="37" t="s">
        <v>586</v>
      </c>
      <c r="C32" s="73">
        <v>1</v>
      </c>
      <c r="D32" s="72" t="s">
        <v>587</v>
      </c>
      <c r="E32" s="3"/>
      <c r="F32" s="71" t="s">
        <v>589</v>
      </c>
      <c r="G32" s="70" t="s">
        <v>106</v>
      </c>
      <c r="H32" s="70" t="s">
        <v>40</v>
      </c>
      <c r="I32" s="42"/>
      <c r="J32" s="57">
        <v>45901</v>
      </c>
      <c r="K32" s="886">
        <v>221.319175</v>
      </c>
      <c r="L32" s="887">
        <v>337.06155000000001</v>
      </c>
      <c r="M32" s="887">
        <v>395.82375000000002</v>
      </c>
      <c r="N32" s="887">
        <v>213.13852</v>
      </c>
      <c r="O32" s="887">
        <v>297.06803000000002</v>
      </c>
      <c r="P32" s="934">
        <v>59.968859999999999</v>
      </c>
      <c r="Q32" s="934">
        <v>23.407895</v>
      </c>
      <c r="R32" s="934">
        <v>1.868895</v>
      </c>
      <c r="S32" s="880"/>
      <c r="T32" s="881"/>
    </row>
    <row r="33" spans="1:20" ht="34.35" customHeight="1">
      <c r="A33" s="87" t="s">
        <v>16</v>
      </c>
      <c r="B33" s="37" t="s">
        <v>586</v>
      </c>
      <c r="C33" s="73">
        <v>2</v>
      </c>
      <c r="D33" s="72" t="s">
        <v>593</v>
      </c>
      <c r="E33" s="72"/>
      <c r="F33" s="71" t="s">
        <v>714</v>
      </c>
      <c r="G33" s="70" t="s">
        <v>106</v>
      </c>
      <c r="H33" s="70" t="s">
        <v>40</v>
      </c>
      <c r="I33" s="21"/>
      <c r="J33" s="879">
        <v>45901</v>
      </c>
      <c r="K33" s="886">
        <v>0.92216322900000003</v>
      </c>
      <c r="L33" s="887">
        <v>0.39701007100000002</v>
      </c>
      <c r="M33" s="887">
        <v>3.56597973</v>
      </c>
      <c r="N33" s="887">
        <v>1.4904791610000001</v>
      </c>
      <c r="O33" s="887">
        <v>1.0138840609999999</v>
      </c>
      <c r="P33" s="888"/>
      <c r="Q33" s="888"/>
      <c r="R33" s="888"/>
      <c r="S33" s="880"/>
      <c r="T33" s="881"/>
    </row>
    <row r="34" spans="1:20" ht="34.35" customHeight="1">
      <c r="A34" s="87" t="s">
        <v>16</v>
      </c>
      <c r="B34" s="37" t="s">
        <v>586</v>
      </c>
      <c r="C34" s="73">
        <v>3</v>
      </c>
      <c r="D34" s="79" t="s">
        <v>599</v>
      </c>
      <c r="E34" s="79"/>
      <c r="F34" s="71" t="s">
        <v>288</v>
      </c>
      <c r="G34" s="70" t="s">
        <v>106</v>
      </c>
      <c r="H34" s="70" t="s">
        <v>40</v>
      </c>
      <c r="I34" s="1"/>
      <c r="J34" s="57">
        <v>45901</v>
      </c>
      <c r="K34" s="883">
        <v>0</v>
      </c>
      <c r="L34" s="884">
        <v>0</v>
      </c>
      <c r="M34" s="884">
        <v>0</v>
      </c>
      <c r="N34" s="884">
        <v>0</v>
      </c>
      <c r="O34" s="884">
        <v>0</v>
      </c>
      <c r="P34" s="921">
        <v>2</v>
      </c>
      <c r="Q34" s="921">
        <v>2</v>
      </c>
      <c r="R34" s="921">
        <v>2</v>
      </c>
      <c r="S34" s="880"/>
      <c r="T34" s="881"/>
    </row>
    <row r="35" spans="1:20" ht="34.35" customHeight="1">
      <c r="A35" s="87" t="s">
        <v>16</v>
      </c>
      <c r="B35" s="37" t="s">
        <v>586</v>
      </c>
      <c r="C35" s="73">
        <v>4</v>
      </c>
      <c r="D35" s="79" t="s">
        <v>601</v>
      </c>
      <c r="E35" s="1"/>
      <c r="F35" s="71" t="s">
        <v>136</v>
      </c>
      <c r="G35" s="70" t="s">
        <v>106</v>
      </c>
      <c r="H35" s="70" t="s">
        <v>40</v>
      </c>
      <c r="I35" s="1"/>
      <c r="J35" s="57">
        <v>45901</v>
      </c>
      <c r="K35" s="889">
        <v>1.3279150500000001</v>
      </c>
      <c r="L35" s="885">
        <v>2.0223692999999998</v>
      </c>
      <c r="M35" s="885">
        <v>2.3749425</v>
      </c>
      <c r="N35" s="885">
        <v>1.27883112</v>
      </c>
      <c r="O35" s="885">
        <v>1.78240818</v>
      </c>
      <c r="P35" s="930">
        <v>0.35981316000000002</v>
      </c>
      <c r="Q35" s="930">
        <v>0.14044736999999999</v>
      </c>
      <c r="R35" s="930">
        <v>1.121337E-2</v>
      </c>
      <c r="S35" s="880"/>
      <c r="T35" s="881"/>
    </row>
    <row r="36" spans="1:20" ht="34.35" customHeight="1">
      <c r="A36" s="87" t="s">
        <v>16</v>
      </c>
      <c r="B36" s="37" t="s">
        <v>604</v>
      </c>
      <c r="C36" s="73">
        <v>5</v>
      </c>
      <c r="D36" s="79" t="s">
        <v>605</v>
      </c>
      <c r="E36" s="1"/>
      <c r="F36" s="71" t="s">
        <v>607</v>
      </c>
      <c r="G36" s="70" t="s">
        <v>106</v>
      </c>
      <c r="H36" s="70" t="s">
        <v>40</v>
      </c>
      <c r="I36" s="26"/>
      <c r="J36" s="57">
        <v>45901</v>
      </c>
      <c r="K36" s="880"/>
      <c r="L36" s="881"/>
      <c r="M36" s="881"/>
      <c r="N36" s="881"/>
      <c r="O36" s="881"/>
      <c r="P36" s="882"/>
      <c r="Q36" s="882"/>
      <c r="R36" s="882"/>
      <c r="S36" s="883">
        <v>7642</v>
      </c>
      <c r="T36" s="884">
        <v>17873</v>
      </c>
    </row>
    <row r="37" spans="1:20" ht="34.35" customHeight="1">
      <c r="A37" s="87" t="s">
        <v>16</v>
      </c>
      <c r="B37" s="37" t="s">
        <v>604</v>
      </c>
      <c r="C37" s="73">
        <v>6</v>
      </c>
      <c r="D37" s="79" t="s">
        <v>611</v>
      </c>
      <c r="E37" s="1"/>
      <c r="F37" s="71" t="s">
        <v>136</v>
      </c>
      <c r="G37" s="70" t="s">
        <v>106</v>
      </c>
      <c r="H37" s="70" t="s">
        <v>40</v>
      </c>
      <c r="I37" s="1"/>
      <c r="J37" s="57">
        <v>45901</v>
      </c>
      <c r="K37" s="1557"/>
      <c r="L37" s="1558"/>
      <c r="M37" s="1558"/>
      <c r="N37" s="1558"/>
      <c r="O37" s="1558"/>
      <c r="P37" s="1559"/>
      <c r="Q37" s="1559"/>
      <c r="R37" s="1559"/>
      <c r="S37" s="883">
        <v>0.28000000000000003</v>
      </c>
      <c r="T37" s="884">
        <v>0.67</v>
      </c>
    </row>
    <row r="38" spans="1:20" ht="34.35" customHeight="1">
      <c r="A38" s="87" t="s">
        <v>16</v>
      </c>
      <c r="B38" s="37" t="s">
        <v>586</v>
      </c>
      <c r="C38" s="73">
        <v>1</v>
      </c>
      <c r="D38" s="72" t="s">
        <v>587</v>
      </c>
      <c r="E38" s="3"/>
      <c r="F38" s="71" t="s">
        <v>589</v>
      </c>
      <c r="G38" s="70" t="s">
        <v>106</v>
      </c>
      <c r="H38" s="70" t="s">
        <v>40</v>
      </c>
      <c r="I38" s="42"/>
      <c r="J38" s="57">
        <v>45931</v>
      </c>
      <c r="K38" s="886">
        <v>206.54240949999996</v>
      </c>
      <c r="L38" s="887">
        <v>315.55973749999998</v>
      </c>
      <c r="M38" s="887">
        <v>381.83113499999996</v>
      </c>
      <c r="N38" s="887">
        <v>199.18576999999999</v>
      </c>
      <c r="O38" s="887">
        <v>293.81338</v>
      </c>
      <c r="P38" s="934">
        <v>58.814625450000001</v>
      </c>
      <c r="Q38" s="934">
        <v>22.558770499999998</v>
      </c>
      <c r="R38" s="934">
        <v>1.8710370000000001</v>
      </c>
      <c r="S38" s="880"/>
      <c r="T38" s="881"/>
    </row>
    <row r="39" spans="1:20" ht="34.35" customHeight="1">
      <c r="A39" s="87" t="s">
        <v>16</v>
      </c>
      <c r="B39" s="37" t="s">
        <v>586</v>
      </c>
      <c r="C39" s="73">
        <v>2</v>
      </c>
      <c r="D39" s="72" t="s">
        <v>593</v>
      </c>
      <c r="E39" s="72"/>
      <c r="F39" s="71" t="s">
        <v>714</v>
      </c>
      <c r="G39" s="70" t="s">
        <v>106</v>
      </c>
      <c r="H39" s="70" t="s">
        <v>40</v>
      </c>
      <c r="I39" s="21"/>
      <c r="J39" s="57">
        <v>45931</v>
      </c>
      <c r="K39" s="889">
        <v>0.98406203768407652</v>
      </c>
      <c r="L39" s="885">
        <v>0.40686071907985855</v>
      </c>
      <c r="M39" s="885">
        <v>3.4773018951226216</v>
      </c>
      <c r="N39" s="885">
        <v>1.5239719415956774</v>
      </c>
      <c r="O39" s="885">
        <v>1.1050545769937059</v>
      </c>
      <c r="P39" s="888"/>
      <c r="Q39" s="888"/>
      <c r="R39" s="888"/>
      <c r="S39" s="880"/>
      <c r="T39" s="881"/>
    </row>
    <row r="40" spans="1:20" ht="34.35" customHeight="1">
      <c r="A40" s="87" t="s">
        <v>16</v>
      </c>
      <c r="B40" s="37" t="s">
        <v>586</v>
      </c>
      <c r="C40" s="73">
        <v>3</v>
      </c>
      <c r="D40" s="79" t="s">
        <v>599</v>
      </c>
      <c r="E40" s="79"/>
      <c r="F40" s="71" t="s">
        <v>288</v>
      </c>
      <c r="G40" s="70" t="s">
        <v>106</v>
      </c>
      <c r="H40" s="70" t="s">
        <v>40</v>
      </c>
      <c r="I40" s="1"/>
      <c r="J40" s="57">
        <v>45931</v>
      </c>
      <c r="K40" s="883">
        <v>3</v>
      </c>
      <c r="L40" s="884">
        <v>3</v>
      </c>
      <c r="M40" s="884">
        <v>3</v>
      </c>
      <c r="N40" s="884">
        <v>3</v>
      </c>
      <c r="O40" s="884">
        <v>3</v>
      </c>
      <c r="P40" s="921">
        <v>3</v>
      </c>
      <c r="Q40" s="921">
        <v>3</v>
      </c>
      <c r="R40" s="921">
        <v>3</v>
      </c>
      <c r="S40" s="880"/>
      <c r="T40" s="881"/>
    </row>
    <row r="41" spans="1:20" ht="34.35" customHeight="1">
      <c r="A41" s="87" t="s">
        <v>16</v>
      </c>
      <c r="B41" s="37" t="s">
        <v>586</v>
      </c>
      <c r="C41" s="73">
        <v>4</v>
      </c>
      <c r="D41" s="79" t="s">
        <v>601</v>
      </c>
      <c r="E41" s="1"/>
      <c r="F41" s="71" t="s">
        <v>136</v>
      </c>
      <c r="G41" s="70" t="s">
        <v>106</v>
      </c>
      <c r="H41" s="70" t="s">
        <v>40</v>
      </c>
      <c r="I41" s="1"/>
      <c r="J41" s="57">
        <v>45931</v>
      </c>
      <c r="K41" s="889">
        <v>1.242725758</v>
      </c>
      <c r="L41" s="885">
        <v>1.8986619499999999</v>
      </c>
      <c r="M41" s="885">
        <v>2.2974041400000003</v>
      </c>
      <c r="N41" s="885">
        <v>1.19846228</v>
      </c>
      <c r="O41" s="885">
        <v>1.7678183200000002</v>
      </c>
      <c r="P41" s="930">
        <v>0.3538762338</v>
      </c>
      <c r="Q41" s="930">
        <v>0.13573176200000001</v>
      </c>
      <c r="R41" s="930">
        <v>1.1257668E-2</v>
      </c>
      <c r="S41" s="880"/>
      <c r="T41" s="881"/>
    </row>
    <row r="42" spans="1:20" ht="34.35" customHeight="1">
      <c r="A42" s="87" t="s">
        <v>16</v>
      </c>
      <c r="B42" s="37" t="s">
        <v>604</v>
      </c>
      <c r="C42" s="73">
        <v>5</v>
      </c>
      <c r="D42" s="79" t="s">
        <v>605</v>
      </c>
      <c r="E42" s="1"/>
      <c r="F42" s="71" t="s">
        <v>607</v>
      </c>
      <c r="G42" s="70" t="s">
        <v>106</v>
      </c>
      <c r="H42" s="70" t="s">
        <v>40</v>
      </c>
      <c r="I42" s="26"/>
      <c r="J42" s="879">
        <v>45931</v>
      </c>
      <c r="K42" s="880"/>
      <c r="L42" s="881"/>
      <c r="M42" s="881"/>
      <c r="N42" s="881"/>
      <c r="O42" s="881"/>
      <c r="P42" s="882"/>
      <c r="Q42" s="882"/>
      <c r="R42" s="882"/>
      <c r="S42" s="1552">
        <v>8061</v>
      </c>
      <c r="T42" s="1553">
        <v>18394</v>
      </c>
    </row>
    <row r="43" spans="1:20" ht="34.35" customHeight="1">
      <c r="A43" s="87" t="s">
        <v>16</v>
      </c>
      <c r="B43" s="37" t="s">
        <v>604</v>
      </c>
      <c r="C43" s="73">
        <v>6</v>
      </c>
      <c r="D43" s="79" t="s">
        <v>611</v>
      </c>
      <c r="E43" s="1"/>
      <c r="F43" s="71" t="s">
        <v>136</v>
      </c>
      <c r="G43" s="70" t="s">
        <v>106</v>
      </c>
      <c r="H43" s="70" t="s">
        <v>40</v>
      </c>
      <c r="I43" s="1"/>
      <c r="J43" s="57">
        <v>45931</v>
      </c>
      <c r="K43" s="880"/>
      <c r="L43" s="881"/>
      <c r="M43" s="881"/>
      <c r="N43" s="881"/>
      <c r="O43" s="881"/>
      <c r="P43" s="882"/>
      <c r="Q43" s="882"/>
      <c r="R43" s="882"/>
      <c r="S43" s="886">
        <f>(S42*35.5)/1000000</f>
        <v>0.28616550000000002</v>
      </c>
      <c r="T43" s="887">
        <f>(T42*35.5)/1000000</f>
        <v>0.65298699999999998</v>
      </c>
    </row>
    <row r="44" spans="1:20" ht="34.35" customHeight="1">
      <c r="A44" s="87" t="s">
        <v>16</v>
      </c>
      <c r="B44" s="37" t="s">
        <v>586</v>
      </c>
      <c r="C44" s="73">
        <v>1</v>
      </c>
      <c r="D44" s="72" t="s">
        <v>587</v>
      </c>
      <c r="E44" s="3"/>
      <c r="F44" s="71" t="s">
        <v>589</v>
      </c>
      <c r="G44" s="70" t="s">
        <v>106</v>
      </c>
      <c r="H44" s="70" t="s">
        <v>40</v>
      </c>
      <c r="I44" s="42"/>
      <c r="J44" s="57">
        <v>45962</v>
      </c>
      <c r="K44" s="889">
        <v>215.20019500000001</v>
      </c>
      <c r="L44" s="885">
        <v>331.8553</v>
      </c>
      <c r="M44" s="885">
        <v>392.47330499999998</v>
      </c>
      <c r="N44" s="885">
        <v>206.26448500000001</v>
      </c>
      <c r="O44" s="885">
        <v>303.25722000000002</v>
      </c>
      <c r="P44" s="930">
        <v>65.914100000000005</v>
      </c>
      <c r="Q44" s="930">
        <v>22.13757</v>
      </c>
      <c r="R44" s="930">
        <v>1.8266500000000001</v>
      </c>
      <c r="S44" s="880"/>
      <c r="T44" s="881"/>
    </row>
    <row r="45" spans="1:20" ht="34.35" customHeight="1">
      <c r="A45" s="87" t="s">
        <v>16</v>
      </c>
      <c r="B45" s="37" t="s">
        <v>586</v>
      </c>
      <c r="C45" s="73">
        <v>2</v>
      </c>
      <c r="D45" s="72" t="s">
        <v>593</v>
      </c>
      <c r="E45" s="72"/>
      <c r="F45" s="71" t="s">
        <v>714</v>
      </c>
      <c r="G45" s="70" t="s">
        <v>106</v>
      </c>
      <c r="H45" s="70" t="s">
        <v>40</v>
      </c>
      <c r="I45" s="21"/>
      <c r="J45" s="57">
        <v>45962</v>
      </c>
      <c r="K45" s="889">
        <v>1.005608388</v>
      </c>
      <c r="L45" s="885">
        <v>0.42709819799999998</v>
      </c>
      <c r="M45" s="885">
        <v>3.5042259379999998</v>
      </c>
      <c r="N45" s="885">
        <v>1.393678953</v>
      </c>
      <c r="O45" s="885">
        <v>1.0529764580000001</v>
      </c>
      <c r="P45" s="930"/>
      <c r="Q45" s="930"/>
      <c r="R45" s="930"/>
      <c r="S45" s="880"/>
      <c r="T45" s="881"/>
    </row>
    <row r="46" spans="1:20" ht="34.35" customHeight="1">
      <c r="A46" s="87" t="s">
        <v>16</v>
      </c>
      <c r="B46" s="37" t="s">
        <v>586</v>
      </c>
      <c r="C46" s="73">
        <v>3</v>
      </c>
      <c r="D46" s="79" t="s">
        <v>599</v>
      </c>
      <c r="E46" s="79"/>
      <c r="F46" s="71" t="s">
        <v>288</v>
      </c>
      <c r="G46" s="70" t="s">
        <v>106</v>
      </c>
      <c r="H46" s="70" t="s">
        <v>40</v>
      </c>
      <c r="I46" s="1"/>
      <c r="J46" s="57">
        <v>45962</v>
      </c>
      <c r="K46" s="883">
        <v>2</v>
      </c>
      <c r="L46" s="884">
        <v>2</v>
      </c>
      <c r="M46" s="884">
        <v>2</v>
      </c>
      <c r="N46" s="884">
        <v>2</v>
      </c>
      <c r="O46" s="884">
        <v>2</v>
      </c>
      <c r="P46" s="921">
        <v>2</v>
      </c>
      <c r="Q46" s="921">
        <v>2</v>
      </c>
      <c r="R46" s="921">
        <v>2</v>
      </c>
      <c r="S46" s="880"/>
      <c r="T46" s="881"/>
    </row>
    <row r="47" spans="1:20" ht="34.35" customHeight="1">
      <c r="A47" s="87" t="s">
        <v>16</v>
      </c>
      <c r="B47" s="37" t="s">
        <v>586</v>
      </c>
      <c r="C47" s="73">
        <v>4</v>
      </c>
      <c r="D47" s="79" t="s">
        <v>601</v>
      </c>
      <c r="E47" s="1"/>
      <c r="F47" s="71" t="s">
        <v>136</v>
      </c>
      <c r="G47" s="70" t="s">
        <v>106</v>
      </c>
      <c r="H47" s="70" t="s">
        <v>40</v>
      </c>
      <c r="I47" s="1"/>
      <c r="J47" s="57">
        <v>45962</v>
      </c>
      <c r="K47" s="889">
        <v>1.3129020300000001</v>
      </c>
      <c r="L47" s="885">
        <v>2.0245962</v>
      </c>
      <c r="M47" s="885">
        <v>2.39441697</v>
      </c>
      <c r="N47" s="885">
        <v>1.25838669</v>
      </c>
      <c r="O47" s="885">
        <v>1.8501238799999999</v>
      </c>
      <c r="P47" s="930">
        <v>0.40213140000000003</v>
      </c>
      <c r="Q47" s="930">
        <v>0.13505777999999999</v>
      </c>
      <c r="R47" s="930">
        <v>1.1144100000000001E-2</v>
      </c>
      <c r="S47" s="880"/>
      <c r="T47" s="881"/>
    </row>
    <row r="48" spans="1:20" ht="34.35" customHeight="1">
      <c r="A48" s="87" t="s">
        <v>16</v>
      </c>
      <c r="B48" s="37" t="s">
        <v>604</v>
      </c>
      <c r="C48" s="73">
        <v>5</v>
      </c>
      <c r="D48" s="79" t="s">
        <v>605</v>
      </c>
      <c r="E48" s="1"/>
      <c r="F48" s="71" t="s">
        <v>607</v>
      </c>
      <c r="G48" s="70" t="s">
        <v>106</v>
      </c>
      <c r="H48" s="70" t="s">
        <v>40</v>
      </c>
      <c r="I48" s="26"/>
      <c r="J48" s="57">
        <v>45962</v>
      </c>
      <c r="K48" s="880"/>
      <c r="L48" s="881"/>
      <c r="M48" s="881"/>
      <c r="N48" s="881"/>
      <c r="O48" s="881"/>
      <c r="P48" s="882"/>
      <c r="Q48" s="882"/>
      <c r="R48" s="882"/>
      <c r="S48" s="883">
        <v>8872</v>
      </c>
      <c r="T48" s="884">
        <v>19098</v>
      </c>
    </row>
    <row r="49" spans="1:20" ht="34.35" customHeight="1">
      <c r="A49" s="87" t="s">
        <v>16</v>
      </c>
      <c r="B49" s="37" t="s">
        <v>604</v>
      </c>
      <c r="C49" s="73">
        <v>6</v>
      </c>
      <c r="D49" s="79" t="s">
        <v>611</v>
      </c>
      <c r="E49" s="1"/>
      <c r="F49" s="71" t="s">
        <v>136</v>
      </c>
      <c r="G49" s="70" t="s">
        <v>106</v>
      </c>
      <c r="H49" s="70" t="s">
        <v>40</v>
      </c>
      <c r="I49" s="1"/>
      <c r="J49" s="57">
        <v>45962</v>
      </c>
      <c r="K49" s="880"/>
      <c r="L49" s="881"/>
      <c r="M49" s="881"/>
      <c r="N49" s="881"/>
      <c r="O49" s="881"/>
      <c r="P49" s="882"/>
      <c r="Q49" s="882"/>
      <c r="R49" s="882"/>
      <c r="S49" s="886">
        <f>317795.04/1000000</f>
        <v>0.31779503999999997</v>
      </c>
      <c r="T49" s="887">
        <f>684090.36/1000000</f>
        <v>0.68409036000000001</v>
      </c>
    </row>
    <row r="50" spans="1:20" ht="34.35" customHeight="1">
      <c r="A50" s="87" t="s">
        <v>16</v>
      </c>
      <c r="B50" s="37" t="s">
        <v>586</v>
      </c>
      <c r="C50" s="73">
        <v>1</v>
      </c>
      <c r="D50" s="72" t="s">
        <v>587</v>
      </c>
      <c r="E50" s="3"/>
      <c r="F50" s="71" t="s">
        <v>589</v>
      </c>
      <c r="G50" s="70" t="s">
        <v>106</v>
      </c>
      <c r="H50" s="70" t="s">
        <v>40</v>
      </c>
      <c r="I50" s="42"/>
      <c r="J50" s="57">
        <v>45992</v>
      </c>
      <c r="K50" s="886">
        <v>189.01067499999999</v>
      </c>
      <c r="L50" s="887">
        <v>284.32074999999998</v>
      </c>
      <c r="M50" s="887">
        <v>330.74026999999995</v>
      </c>
      <c r="N50" s="887">
        <v>171.08034999999998</v>
      </c>
      <c r="O50" s="887">
        <v>256.32302499999997</v>
      </c>
      <c r="P50" s="934">
        <v>55.146385000000002</v>
      </c>
      <c r="Q50" s="934">
        <v>19.301799999999997</v>
      </c>
      <c r="R50" s="934">
        <v>1.6683799999999998</v>
      </c>
      <c r="S50" s="880"/>
      <c r="T50" s="881"/>
    </row>
    <row r="51" spans="1:20" ht="34.35" customHeight="1">
      <c r="A51" s="87" t="s">
        <v>16</v>
      </c>
      <c r="B51" s="37" t="s">
        <v>586</v>
      </c>
      <c r="C51" s="73">
        <v>2</v>
      </c>
      <c r="D51" s="72" t="s">
        <v>593</v>
      </c>
      <c r="E51" s="72"/>
      <c r="F51" s="71" t="s">
        <v>714</v>
      </c>
      <c r="G51" s="70" t="s">
        <v>106</v>
      </c>
      <c r="H51" s="70" t="s">
        <v>40</v>
      </c>
      <c r="I51" s="21"/>
      <c r="J51" s="879">
        <v>45992</v>
      </c>
      <c r="K51" s="889">
        <v>0.87891993443276839</v>
      </c>
      <c r="L51" s="885">
        <v>0.34118570148142469</v>
      </c>
      <c r="M51" s="885">
        <v>3.3597837470940113</v>
      </c>
      <c r="N51" s="885">
        <v>1.5792850282531248</v>
      </c>
      <c r="O51" s="885">
        <v>0.99417787796893631</v>
      </c>
      <c r="P51" s="882"/>
      <c r="Q51" s="882"/>
      <c r="R51" s="882"/>
      <c r="S51" s="880"/>
      <c r="T51" s="881"/>
    </row>
    <row r="52" spans="1:20" ht="34.35" customHeight="1">
      <c r="A52" s="87" t="s">
        <v>16</v>
      </c>
      <c r="B52" s="37" t="s">
        <v>586</v>
      </c>
      <c r="C52" s="73">
        <v>3</v>
      </c>
      <c r="D52" s="79" t="s">
        <v>599</v>
      </c>
      <c r="E52" s="79"/>
      <c r="F52" s="71" t="s">
        <v>288</v>
      </c>
      <c r="G52" s="70" t="s">
        <v>106</v>
      </c>
      <c r="H52" s="70" t="s">
        <v>40</v>
      </c>
      <c r="I52" s="1"/>
      <c r="J52" s="57">
        <v>45992</v>
      </c>
      <c r="K52" s="883">
        <v>7</v>
      </c>
      <c r="L52" s="884">
        <v>7</v>
      </c>
      <c r="M52" s="884">
        <v>7</v>
      </c>
      <c r="N52" s="884">
        <v>7</v>
      </c>
      <c r="O52" s="884">
        <v>7</v>
      </c>
      <c r="P52" s="921">
        <v>7</v>
      </c>
      <c r="Q52" s="921">
        <v>7</v>
      </c>
      <c r="R52" s="921">
        <v>7</v>
      </c>
      <c r="S52" s="880"/>
      <c r="T52" s="881"/>
    </row>
    <row r="53" spans="1:20" ht="34.35" customHeight="1">
      <c r="A53" s="87" t="s">
        <v>16</v>
      </c>
      <c r="B53" s="37" t="s">
        <v>586</v>
      </c>
      <c r="C53" s="73">
        <v>4</v>
      </c>
      <c r="D53" s="79" t="s">
        <v>601</v>
      </c>
      <c r="E53" s="1"/>
      <c r="F53" s="71" t="s">
        <v>136</v>
      </c>
      <c r="G53" s="70" t="s">
        <v>106</v>
      </c>
      <c r="H53" s="70" t="s">
        <v>40</v>
      </c>
      <c r="I53" s="1"/>
      <c r="J53" s="57">
        <v>45992</v>
      </c>
      <c r="K53" s="889">
        <v>1.0832376500000001</v>
      </c>
      <c r="L53" s="885">
        <v>1.6294685</v>
      </c>
      <c r="M53" s="885">
        <v>1.89550306</v>
      </c>
      <c r="N53" s="885">
        <v>0.9804773</v>
      </c>
      <c r="O53" s="885">
        <v>1.4690109499999999</v>
      </c>
      <c r="P53" s="930">
        <v>0.31604903000000001</v>
      </c>
      <c r="Q53" s="930">
        <v>0.11062040000000001</v>
      </c>
      <c r="R53" s="930">
        <v>9.5616400000000015E-3</v>
      </c>
      <c r="S53" s="880"/>
      <c r="T53" s="881"/>
    </row>
    <row r="54" spans="1:20" ht="34.35" customHeight="1">
      <c r="A54" s="87" t="s">
        <v>16</v>
      </c>
      <c r="B54" s="37" t="s">
        <v>604</v>
      </c>
      <c r="C54" s="73">
        <v>5</v>
      </c>
      <c r="D54" s="79" t="s">
        <v>605</v>
      </c>
      <c r="E54" s="1"/>
      <c r="F54" s="71" t="s">
        <v>607</v>
      </c>
      <c r="G54" s="70" t="s">
        <v>106</v>
      </c>
      <c r="H54" s="70" t="s">
        <v>40</v>
      </c>
      <c r="I54" s="26"/>
      <c r="J54" s="57">
        <v>45992</v>
      </c>
      <c r="K54" s="880"/>
      <c r="L54" s="881"/>
      <c r="M54" s="881"/>
      <c r="N54" s="881"/>
      <c r="O54" s="881"/>
      <c r="P54" s="882"/>
      <c r="Q54" s="882"/>
      <c r="R54" s="882"/>
      <c r="S54" s="1552">
        <v>8954</v>
      </c>
      <c r="T54" s="1553">
        <v>20536</v>
      </c>
    </row>
    <row r="55" spans="1:20" ht="34.35" customHeight="1">
      <c r="A55" s="87" t="s">
        <v>16</v>
      </c>
      <c r="B55" s="37" t="s">
        <v>604</v>
      </c>
      <c r="C55" s="73">
        <v>6</v>
      </c>
      <c r="D55" s="79" t="s">
        <v>611</v>
      </c>
      <c r="E55" s="1"/>
      <c r="F55" s="71" t="s">
        <v>136</v>
      </c>
      <c r="G55" s="70" t="s">
        <v>106</v>
      </c>
      <c r="H55" s="70" t="s">
        <v>40</v>
      </c>
      <c r="I55" s="1"/>
      <c r="J55" s="57">
        <v>45992</v>
      </c>
      <c r="K55" s="880"/>
      <c r="L55" s="881"/>
      <c r="M55" s="881"/>
      <c r="N55" s="881"/>
      <c r="O55" s="881"/>
      <c r="P55" s="882"/>
      <c r="Q55" s="882"/>
      <c r="R55" s="882"/>
      <c r="S55" s="1549">
        <v>0.44800000000000001</v>
      </c>
      <c r="T55" s="1549">
        <v>0.69599999999999995</v>
      </c>
    </row>
    <row r="56" spans="1:20" ht="34.35" customHeight="1">
      <c r="A56" s="87" t="s">
        <v>16</v>
      </c>
      <c r="B56" s="37" t="s">
        <v>586</v>
      </c>
      <c r="C56" s="73">
        <v>1</v>
      </c>
      <c r="D56" s="72" t="s">
        <v>587</v>
      </c>
      <c r="E56" s="3"/>
      <c r="F56" s="71" t="s">
        <v>589</v>
      </c>
      <c r="G56" s="70" t="s">
        <v>106</v>
      </c>
      <c r="H56" s="70" t="s">
        <v>40</v>
      </c>
      <c r="I56" s="42"/>
      <c r="J56" s="57">
        <v>46023</v>
      </c>
      <c r="K56" s="886">
        <v>219.37471499999998</v>
      </c>
      <c r="L56" s="887">
        <v>328.36264999999997</v>
      </c>
      <c r="M56" s="887">
        <v>359.82387</v>
      </c>
      <c r="N56" s="887">
        <v>188.92677999999998</v>
      </c>
      <c r="O56" s="887">
        <v>290.36475999999999</v>
      </c>
      <c r="P56" s="934">
        <v>57.523409999999998</v>
      </c>
      <c r="Q56" s="934">
        <v>19.53623</v>
      </c>
      <c r="R56" s="934">
        <v>1.7159799999999998</v>
      </c>
      <c r="S56" s="880"/>
      <c r="T56" s="881"/>
    </row>
    <row r="57" spans="1:20" ht="34.35" customHeight="1">
      <c r="A57" s="87" t="s">
        <v>16</v>
      </c>
      <c r="B57" s="37" t="s">
        <v>586</v>
      </c>
      <c r="C57" s="73">
        <v>2</v>
      </c>
      <c r="D57" s="72" t="s">
        <v>593</v>
      </c>
      <c r="E57" s="72"/>
      <c r="F57" s="71" t="s">
        <v>714</v>
      </c>
      <c r="G57" s="70" t="s">
        <v>106</v>
      </c>
      <c r="H57" s="70" t="s">
        <v>40</v>
      </c>
      <c r="I57" s="21"/>
      <c r="J57" s="57">
        <v>46023</v>
      </c>
      <c r="K57" s="886">
        <v>0.91525107211250478</v>
      </c>
      <c r="L57" s="887">
        <v>0.37557044761580238</v>
      </c>
      <c r="M57" s="887">
        <v>3.7620206247704888</v>
      </c>
      <c r="N57" s="887">
        <v>1.7156524428347431</v>
      </c>
      <c r="O57" s="887">
        <v>1.0447214853791926</v>
      </c>
      <c r="P57" s="1712"/>
      <c r="Q57" s="1712"/>
      <c r="R57" s="1712"/>
      <c r="S57" s="880"/>
      <c r="T57" s="881"/>
    </row>
    <row r="58" spans="1:20" ht="34.35" customHeight="1">
      <c r="A58" s="87" t="s">
        <v>16</v>
      </c>
      <c r="B58" s="37" t="s">
        <v>586</v>
      </c>
      <c r="C58" s="73">
        <v>3</v>
      </c>
      <c r="D58" s="79" t="s">
        <v>599</v>
      </c>
      <c r="E58" s="79"/>
      <c r="F58" s="71" t="s">
        <v>288</v>
      </c>
      <c r="G58" s="70" t="s">
        <v>106</v>
      </c>
      <c r="H58" s="70" t="s">
        <v>40</v>
      </c>
      <c r="I58" s="1"/>
      <c r="J58" s="57">
        <v>46023</v>
      </c>
      <c r="K58" s="883">
        <v>2</v>
      </c>
      <c r="L58" s="884">
        <v>3</v>
      </c>
      <c r="M58" s="884">
        <v>3</v>
      </c>
      <c r="N58" s="884">
        <v>3</v>
      </c>
      <c r="O58" s="884">
        <v>0</v>
      </c>
      <c r="P58" s="921">
        <v>3</v>
      </c>
      <c r="Q58" s="921">
        <v>3</v>
      </c>
      <c r="R58" s="921">
        <v>3</v>
      </c>
      <c r="S58" s="880"/>
      <c r="T58" s="881"/>
    </row>
    <row r="59" spans="1:20" ht="34.35" customHeight="1">
      <c r="A59" s="87" t="s">
        <v>16</v>
      </c>
      <c r="B59" s="37" t="s">
        <v>586</v>
      </c>
      <c r="C59" s="73">
        <v>4</v>
      </c>
      <c r="D59" s="79" t="s">
        <v>601</v>
      </c>
      <c r="E59" s="1"/>
      <c r="F59" s="71" t="s">
        <v>136</v>
      </c>
      <c r="G59" s="70" t="s">
        <v>106</v>
      </c>
      <c r="H59" s="70" t="s">
        <v>40</v>
      </c>
      <c r="I59" s="1"/>
      <c r="J59" s="57">
        <v>46023</v>
      </c>
      <c r="K59" s="883">
        <v>1.23513495</v>
      </c>
      <c r="L59" s="884">
        <v>1.8487644999999999</v>
      </c>
      <c r="M59" s="884">
        <v>2.0258991000000002</v>
      </c>
      <c r="N59" s="884">
        <v>1.0637054000000001</v>
      </c>
      <c r="O59" s="884">
        <v>1.6348268000000001</v>
      </c>
      <c r="P59" s="921">
        <v>0.32387129999999997</v>
      </c>
      <c r="Q59" s="921">
        <v>0.10999390000000001</v>
      </c>
      <c r="R59" s="921">
        <v>9.6613999999999988E-3</v>
      </c>
      <c r="S59" s="880"/>
      <c r="T59" s="881"/>
    </row>
    <row r="60" spans="1:20" ht="34.35" customHeight="1">
      <c r="A60" s="87" t="s">
        <v>16</v>
      </c>
      <c r="B60" s="37" t="s">
        <v>604</v>
      </c>
      <c r="C60" s="73">
        <v>5</v>
      </c>
      <c r="D60" s="79" t="s">
        <v>605</v>
      </c>
      <c r="E60" s="1"/>
      <c r="F60" s="71" t="s">
        <v>607</v>
      </c>
      <c r="G60" s="70" t="s">
        <v>106</v>
      </c>
      <c r="H60" s="70" t="s">
        <v>40</v>
      </c>
      <c r="I60" s="26"/>
      <c r="J60" s="879">
        <v>46023</v>
      </c>
      <c r="K60" s="1713"/>
      <c r="L60" s="1714"/>
      <c r="M60" s="1714"/>
      <c r="N60" s="1714"/>
      <c r="O60" s="1714"/>
      <c r="P60" s="1712"/>
      <c r="Q60" s="1712"/>
      <c r="R60" s="1712"/>
      <c r="S60" s="883">
        <v>8825</v>
      </c>
      <c r="T60" s="884">
        <v>13573</v>
      </c>
    </row>
    <row r="61" spans="1:20" ht="34.35" customHeight="1" thickBot="1">
      <c r="A61" s="87" t="s">
        <v>16</v>
      </c>
      <c r="B61" s="37" t="s">
        <v>604</v>
      </c>
      <c r="C61" s="73">
        <v>6</v>
      </c>
      <c r="D61" s="79" t="s">
        <v>611</v>
      </c>
      <c r="E61" s="1"/>
      <c r="F61" s="71" t="s">
        <v>136</v>
      </c>
      <c r="G61" s="70" t="s">
        <v>106</v>
      </c>
      <c r="H61" s="70" t="s">
        <v>40</v>
      </c>
      <c r="I61" s="1"/>
      <c r="J61" s="57">
        <v>46023</v>
      </c>
      <c r="K61" s="1715"/>
      <c r="L61" s="1716"/>
      <c r="M61" s="1716"/>
      <c r="N61" s="1716"/>
      <c r="O61" s="1716"/>
      <c r="P61" s="1717"/>
      <c r="Q61" s="1717"/>
      <c r="R61" s="1717"/>
      <c r="S61" s="890">
        <v>0.32800000000000001</v>
      </c>
      <c r="T61" s="891">
        <v>0.505</v>
      </c>
    </row>
    <row r="62" spans="1:20" ht="34.35" customHeight="1" thickBot="1">
      <c r="A62" s="87" t="s">
        <v>16</v>
      </c>
      <c r="B62" s="37" t="s">
        <v>586</v>
      </c>
      <c r="C62" s="73">
        <v>1</v>
      </c>
      <c r="D62" s="72" t="s">
        <v>587</v>
      </c>
      <c r="E62" s="3"/>
      <c r="F62" s="71" t="s">
        <v>589</v>
      </c>
      <c r="G62" s="70" t="s">
        <v>106</v>
      </c>
      <c r="H62" s="70" t="s">
        <v>40</v>
      </c>
      <c r="I62" s="42"/>
      <c r="J62" s="57">
        <v>46054</v>
      </c>
      <c r="K62" s="890">
        <v>222.88462000000001</v>
      </c>
      <c r="L62" s="891">
        <v>333.2833</v>
      </c>
      <c r="M62" s="891">
        <v>361.77249499999999</v>
      </c>
      <c r="N62" s="891">
        <v>197.52155500000001</v>
      </c>
      <c r="O62" s="891">
        <v>291.27094499999998</v>
      </c>
      <c r="P62" s="892">
        <v>59.83558</v>
      </c>
      <c r="Q62" s="892">
        <v>19.566575</v>
      </c>
      <c r="R62" s="892">
        <v>0.86870000000000003</v>
      </c>
      <c r="S62" s="1560"/>
      <c r="T62" s="1561"/>
    </row>
    <row r="63" spans="1:20" ht="34.35" customHeight="1" thickBot="1">
      <c r="A63" s="87" t="s">
        <v>16</v>
      </c>
      <c r="B63" s="37" t="s">
        <v>586</v>
      </c>
      <c r="C63" s="73">
        <v>2</v>
      </c>
      <c r="D63" s="72" t="s">
        <v>593</v>
      </c>
      <c r="E63" s="72"/>
      <c r="F63" s="71" t="s">
        <v>714</v>
      </c>
      <c r="G63" s="70" t="s">
        <v>106</v>
      </c>
      <c r="H63" s="70" t="s">
        <v>40</v>
      </c>
      <c r="I63" s="21"/>
      <c r="J63" s="57">
        <v>46054</v>
      </c>
      <c r="K63" s="890">
        <v>1</v>
      </c>
      <c r="L63" s="891">
        <v>0.38</v>
      </c>
      <c r="M63" s="891">
        <v>3.87</v>
      </c>
      <c r="N63" s="891">
        <v>1.32</v>
      </c>
      <c r="O63" s="891">
        <v>1.1000000000000001</v>
      </c>
      <c r="P63" s="892"/>
      <c r="Q63" s="892"/>
      <c r="R63" s="892"/>
      <c r="S63" s="1560"/>
      <c r="T63" s="1561"/>
    </row>
    <row r="64" spans="1:20" ht="34.35" customHeight="1" thickBot="1">
      <c r="A64" s="87" t="s">
        <v>16</v>
      </c>
      <c r="B64" s="37" t="s">
        <v>586</v>
      </c>
      <c r="C64" s="73">
        <v>3</v>
      </c>
      <c r="D64" s="79" t="s">
        <v>599</v>
      </c>
      <c r="E64" s="79"/>
      <c r="F64" s="71" t="s">
        <v>288</v>
      </c>
      <c r="G64" s="70" t="s">
        <v>106</v>
      </c>
      <c r="H64" s="70" t="s">
        <v>40</v>
      </c>
      <c r="I64" s="1"/>
      <c r="J64" s="57">
        <v>46054</v>
      </c>
      <c r="K64" s="890">
        <v>2</v>
      </c>
      <c r="L64" s="891">
        <v>2</v>
      </c>
      <c r="M64" s="891">
        <v>2</v>
      </c>
      <c r="N64" s="891">
        <v>2</v>
      </c>
      <c r="O64" s="891">
        <v>2</v>
      </c>
      <c r="P64" s="892">
        <v>2</v>
      </c>
      <c r="Q64" s="892">
        <v>2</v>
      </c>
      <c r="R64" s="892">
        <v>2</v>
      </c>
      <c r="S64" s="1560"/>
      <c r="T64" s="1561"/>
    </row>
    <row r="65" spans="1:20" ht="34.35" customHeight="1" thickBot="1">
      <c r="A65" s="87" t="s">
        <v>16</v>
      </c>
      <c r="B65" s="37" t="s">
        <v>586</v>
      </c>
      <c r="C65" s="73">
        <v>4</v>
      </c>
      <c r="D65" s="79" t="s">
        <v>601</v>
      </c>
      <c r="E65" s="1"/>
      <c r="F65" s="71" t="s">
        <v>136</v>
      </c>
      <c r="G65" s="70" t="s">
        <v>106</v>
      </c>
      <c r="H65" s="70" t="s">
        <v>40</v>
      </c>
      <c r="I65" s="1"/>
      <c r="J65" s="57">
        <v>46054</v>
      </c>
      <c r="K65" s="890">
        <v>1.3223238799999999</v>
      </c>
      <c r="L65" s="891">
        <v>1.9772942</v>
      </c>
      <c r="M65" s="891">
        <v>2.1463141299999999</v>
      </c>
      <c r="N65" s="891">
        <v>1.1718505699999999</v>
      </c>
      <c r="O65" s="891">
        <v>1.72804443</v>
      </c>
      <c r="P65" s="892">
        <v>0.35499091999999999</v>
      </c>
      <c r="Q65" s="892">
        <v>0.11608404999999999</v>
      </c>
      <c r="R65" s="892">
        <v>5.1538E-3</v>
      </c>
      <c r="S65" s="1560"/>
      <c r="T65" s="1561"/>
    </row>
    <row r="66" spans="1:20" ht="34.35" customHeight="1" thickBot="1">
      <c r="A66" s="87" t="s">
        <v>16</v>
      </c>
      <c r="B66" s="37" t="s">
        <v>604</v>
      </c>
      <c r="C66" s="73">
        <v>5</v>
      </c>
      <c r="D66" s="79" t="s">
        <v>605</v>
      </c>
      <c r="E66" s="1"/>
      <c r="F66" s="71" t="s">
        <v>607</v>
      </c>
      <c r="G66" s="70" t="s">
        <v>106</v>
      </c>
      <c r="H66" s="70" t="s">
        <v>40</v>
      </c>
      <c r="I66" s="26"/>
      <c r="J66" s="57">
        <v>46054</v>
      </c>
      <c r="K66" s="1560"/>
      <c r="L66" s="1561"/>
      <c r="M66" s="1561"/>
      <c r="N66" s="1561"/>
      <c r="O66" s="1561"/>
      <c r="P66" s="1562"/>
      <c r="Q66" s="1562"/>
      <c r="R66" s="1562"/>
      <c r="S66" s="2559">
        <v>10318</v>
      </c>
      <c r="T66" s="2560">
        <v>18359</v>
      </c>
    </row>
    <row r="67" spans="1:20" ht="34.35" customHeight="1" thickBot="1">
      <c r="A67" s="87" t="s">
        <v>16</v>
      </c>
      <c r="B67" s="37" t="s">
        <v>604</v>
      </c>
      <c r="C67" s="73">
        <v>6</v>
      </c>
      <c r="D67" s="79" t="s">
        <v>611</v>
      </c>
      <c r="E67" s="1"/>
      <c r="F67" s="71" t="s">
        <v>136</v>
      </c>
      <c r="G67" s="70" t="s">
        <v>106</v>
      </c>
      <c r="H67" s="70" t="s">
        <v>40</v>
      </c>
      <c r="I67" s="1"/>
      <c r="J67" s="57">
        <v>46054</v>
      </c>
      <c r="K67" s="1560"/>
      <c r="L67" s="1561"/>
      <c r="M67" s="1561"/>
      <c r="N67" s="1561"/>
      <c r="O67" s="1561"/>
      <c r="P67" s="1562"/>
      <c r="Q67" s="1562"/>
      <c r="R67" s="1562"/>
      <c r="S67" s="890">
        <v>0.40400000000000003</v>
      </c>
      <c r="T67" s="891">
        <v>0.71960000000000002</v>
      </c>
    </row>
    <row r="68" spans="1:20" ht="34.35" customHeight="1" thickBot="1">
      <c r="A68" s="87" t="s">
        <v>16</v>
      </c>
      <c r="B68" s="37" t="s">
        <v>586</v>
      </c>
      <c r="C68" s="73">
        <v>1</v>
      </c>
      <c r="D68" s="72" t="s">
        <v>587</v>
      </c>
      <c r="E68" s="3"/>
      <c r="F68" s="71" t="s">
        <v>589</v>
      </c>
      <c r="G68" s="70" t="s">
        <v>106</v>
      </c>
      <c r="H68" s="70" t="s">
        <v>40</v>
      </c>
      <c r="I68" s="42"/>
      <c r="J68" s="57">
        <v>46082</v>
      </c>
      <c r="K68" s="890"/>
      <c r="L68" s="891"/>
      <c r="M68" s="891"/>
      <c r="N68" s="891"/>
      <c r="O68" s="891"/>
      <c r="P68" s="892"/>
      <c r="Q68" s="892"/>
      <c r="R68" s="892"/>
      <c r="S68" s="1560"/>
      <c r="T68" s="1561"/>
    </row>
    <row r="69" spans="1:20" ht="34.35" customHeight="1" thickBot="1">
      <c r="A69" s="87" t="s">
        <v>16</v>
      </c>
      <c r="B69" s="37" t="s">
        <v>586</v>
      </c>
      <c r="C69" s="73">
        <v>2</v>
      </c>
      <c r="D69" s="72" t="s">
        <v>593</v>
      </c>
      <c r="E69" s="72"/>
      <c r="F69" s="71" t="s">
        <v>714</v>
      </c>
      <c r="G69" s="70" t="s">
        <v>106</v>
      </c>
      <c r="H69" s="70" t="s">
        <v>40</v>
      </c>
      <c r="I69" s="21"/>
      <c r="J69" s="879">
        <v>46082</v>
      </c>
      <c r="K69" s="890"/>
      <c r="L69" s="891"/>
      <c r="M69" s="891"/>
      <c r="N69" s="891"/>
      <c r="O69" s="891"/>
      <c r="P69" s="892"/>
      <c r="Q69" s="892"/>
      <c r="R69" s="892"/>
      <c r="S69" s="1560"/>
      <c r="T69" s="1561"/>
    </row>
    <row r="70" spans="1:20" ht="34.35" customHeight="1" thickBot="1">
      <c r="A70" s="87" t="s">
        <v>16</v>
      </c>
      <c r="B70" s="37" t="s">
        <v>586</v>
      </c>
      <c r="C70" s="73">
        <v>3</v>
      </c>
      <c r="D70" s="79" t="s">
        <v>599</v>
      </c>
      <c r="E70" s="79"/>
      <c r="F70" s="71" t="s">
        <v>288</v>
      </c>
      <c r="G70" s="70" t="s">
        <v>106</v>
      </c>
      <c r="H70" s="70" t="s">
        <v>40</v>
      </c>
      <c r="I70" s="1"/>
      <c r="J70" s="57">
        <v>46082</v>
      </c>
      <c r="K70" s="890"/>
      <c r="L70" s="891"/>
      <c r="M70" s="891"/>
      <c r="N70" s="891"/>
      <c r="O70" s="891"/>
      <c r="P70" s="892"/>
      <c r="Q70" s="892"/>
      <c r="R70" s="892"/>
      <c r="S70" s="1560"/>
      <c r="T70" s="1561"/>
    </row>
    <row r="71" spans="1:20" ht="34.35" customHeight="1" thickBot="1">
      <c r="A71" s="87" t="s">
        <v>16</v>
      </c>
      <c r="B71" s="37" t="s">
        <v>586</v>
      </c>
      <c r="C71" s="73">
        <v>4</v>
      </c>
      <c r="D71" s="79" t="s">
        <v>601</v>
      </c>
      <c r="E71" s="1"/>
      <c r="F71" s="71" t="s">
        <v>136</v>
      </c>
      <c r="G71" s="70" t="s">
        <v>106</v>
      </c>
      <c r="H71" s="70" t="s">
        <v>40</v>
      </c>
      <c r="I71" s="1"/>
      <c r="J71" s="57">
        <v>46082</v>
      </c>
      <c r="K71" s="890"/>
      <c r="L71" s="891"/>
      <c r="M71" s="891"/>
      <c r="N71" s="891"/>
      <c r="O71" s="891"/>
      <c r="P71" s="892"/>
      <c r="Q71" s="892"/>
      <c r="R71" s="892"/>
      <c r="S71" s="1560"/>
      <c r="T71" s="1561"/>
    </row>
    <row r="72" spans="1:20" ht="34.35" customHeight="1" thickBot="1">
      <c r="A72" s="87" t="s">
        <v>16</v>
      </c>
      <c r="B72" s="37" t="s">
        <v>604</v>
      </c>
      <c r="C72" s="73">
        <v>5</v>
      </c>
      <c r="D72" s="79" t="s">
        <v>605</v>
      </c>
      <c r="E72" s="1"/>
      <c r="F72" s="71" t="s">
        <v>607</v>
      </c>
      <c r="G72" s="70" t="s">
        <v>106</v>
      </c>
      <c r="H72" s="70" t="s">
        <v>40</v>
      </c>
      <c r="I72" s="26"/>
      <c r="J72" s="57">
        <v>46082</v>
      </c>
      <c r="K72" s="1560"/>
      <c r="L72" s="1561"/>
      <c r="M72" s="1561"/>
      <c r="N72" s="1561"/>
      <c r="O72" s="1561"/>
      <c r="P72" s="1562"/>
      <c r="Q72" s="1562"/>
      <c r="R72" s="1562"/>
      <c r="S72" s="890"/>
      <c r="T72" s="891"/>
    </row>
    <row r="73" spans="1:20" ht="34.35" customHeight="1" thickBot="1">
      <c r="A73" s="87" t="s">
        <v>16</v>
      </c>
      <c r="B73" s="37" t="s">
        <v>604</v>
      </c>
      <c r="C73" s="73">
        <v>6</v>
      </c>
      <c r="D73" s="79" t="s">
        <v>611</v>
      </c>
      <c r="E73" s="1"/>
      <c r="F73" s="71" t="s">
        <v>136</v>
      </c>
      <c r="G73" s="70" t="s">
        <v>106</v>
      </c>
      <c r="H73" s="70" t="s">
        <v>40</v>
      </c>
      <c r="I73" s="1"/>
      <c r="J73" s="57">
        <v>46082</v>
      </c>
      <c r="K73" s="1560"/>
      <c r="L73" s="1561"/>
      <c r="M73" s="1561"/>
      <c r="N73" s="1561"/>
      <c r="O73" s="1561"/>
      <c r="P73" s="1562"/>
      <c r="Q73" s="1562"/>
      <c r="R73" s="1562"/>
      <c r="S73" s="890"/>
      <c r="T73" s="891"/>
    </row>
    <row r="74" spans="1:20" ht="34.35" customHeight="1">
      <c r="B74" s="48"/>
      <c r="J74"/>
    </row>
    <row r="75" spans="1:20" ht="34.35" customHeight="1">
      <c r="B75" s="48"/>
      <c r="J75"/>
    </row>
    <row r="76" spans="1:20" ht="34.35" customHeight="1">
      <c r="B76" s="48"/>
      <c r="J76"/>
    </row>
    <row r="77" spans="1:20" ht="34.35" customHeight="1">
      <c r="B77" s="48"/>
      <c r="J77"/>
    </row>
    <row r="79" spans="1:20" ht="34.35" customHeight="1">
      <c r="B79" s="48"/>
      <c r="J79"/>
    </row>
    <row r="80" spans="1:20" ht="34.35" customHeight="1">
      <c r="B80" s="48"/>
      <c r="J80"/>
    </row>
    <row r="81" spans="10:10" ht="34.35" customHeight="1">
      <c r="J81"/>
    </row>
    <row r="82" spans="10:10" ht="34.35" customHeight="1">
      <c r="J82"/>
    </row>
    <row r="83" spans="10:10" ht="34.35" customHeight="1">
      <c r="J83"/>
    </row>
    <row r="84" spans="10:10" ht="34.35" customHeight="1">
      <c r="J84"/>
    </row>
    <row r="85" spans="10:10" ht="34.35" customHeight="1">
      <c r="J85"/>
    </row>
    <row r="86" spans="10:10" ht="34.35" customHeight="1">
      <c r="J86"/>
    </row>
    <row r="88" spans="10:10" ht="34.35" customHeight="1">
      <c r="J88"/>
    </row>
    <row r="89" spans="10:10" ht="34.35" customHeight="1">
      <c r="J89"/>
    </row>
    <row r="90" spans="10:10" ht="34.35" customHeight="1">
      <c r="J90"/>
    </row>
    <row r="91" spans="10:10" ht="34.35" customHeight="1">
      <c r="J91"/>
    </row>
    <row r="92" spans="10:10" ht="34.35" customHeight="1">
      <c r="J92"/>
    </row>
    <row r="93" spans="10:10" ht="34.35" customHeight="1">
      <c r="J93"/>
    </row>
    <row r="94" spans="10:10" ht="34.35" customHeight="1">
      <c r="J94"/>
    </row>
    <row r="95" spans="10:10" ht="34.35" customHeight="1">
      <c r="J95"/>
    </row>
    <row r="97" spans="10:10" ht="34.35" customHeight="1">
      <c r="J97"/>
    </row>
    <row r="98" spans="10:10" ht="34.35" customHeight="1">
      <c r="J98"/>
    </row>
    <row r="99" spans="10:10" ht="34.35" customHeight="1">
      <c r="J99"/>
    </row>
    <row r="100" spans="10:10" ht="34.35" customHeight="1">
      <c r="J100"/>
    </row>
    <row r="101" spans="10:10" ht="34.35" customHeight="1">
      <c r="J101"/>
    </row>
    <row r="102" spans="10:10" ht="34.35" customHeight="1">
      <c r="J102"/>
    </row>
    <row r="103" spans="10:10" ht="34.35" customHeight="1">
      <c r="J103"/>
    </row>
    <row r="104" spans="10:10" ht="34.35" customHeight="1">
      <c r="J104"/>
    </row>
    <row r="106" spans="10:10" ht="34.35" customHeight="1">
      <c r="J106"/>
    </row>
    <row r="107" spans="10:10" ht="34.35" customHeight="1">
      <c r="J107"/>
    </row>
    <row r="108" spans="10:10" ht="34.35" customHeight="1">
      <c r="J108"/>
    </row>
    <row r="109" spans="10:10" ht="34.35" customHeight="1">
      <c r="J109"/>
    </row>
  </sheetData>
  <sheetProtection algorithmName="SHA-512" hashValue="alfpp1CTjAbcTaXn62cU4N1MRLuruZCkF1UbIlMXj6uITfIlAnwS4IrCLEsVMMpDzKNRYvrrZ6bduvqIigKJnA==" saltValue="/MzjVCLb+hXEtmj1/i37bw==" spinCount="100000" sheet="1" formatCells="0" formatColumns="0" formatRows="0" sort="0" autoFilter="0" pivotTables="0"/>
  <autoFilter ref="A1:J73" xr:uid="{C175ED8F-DA9F-46F6-9A5B-2EC514B6EAF7}">
    <filterColumn colId="3">
      <filters>
        <filter val="Water usage"/>
      </filters>
    </filterColumn>
  </autoFilter>
  <conditionalFormatting sqref="D2:T73">
    <cfRule type="expression" dxfId="3" priority="1">
      <formula>MONTH($J2)=MONTH(TODAY()-29)</formula>
    </cfRule>
  </conditionalFormatting>
  <pageMargins left="0.7" right="0.7" top="0.75" bottom="0.75" header="0.3" footer="0.3"/>
  <headerFooter>
    <oddHeader>&amp;C&amp;"Calibri"&amp;10&amp;KFF0000 CONFIDENTIAL&amp;1#_x000D_</oddHead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8B01D-C93E-4622-B88B-41B09BF3C3CF}">
  <sheetPr codeName="Sheet16" filterMode="1"/>
  <dimension ref="A1:X135"/>
  <sheetViews>
    <sheetView showGridLines="0" topLeftCell="E1" zoomScale="60" zoomScaleNormal="60" workbookViewId="0">
      <pane ySplit="1" topLeftCell="A128" activePane="bottomLeft" state="frozen"/>
      <selection activeCell="D69" sqref="D69"/>
      <selection pane="bottomLeft" activeCell="Y149" sqref="Y149"/>
    </sheetView>
  </sheetViews>
  <sheetFormatPr defaultColWidth="8.109375" defaultRowHeight="34.35" customHeight="1"/>
  <cols>
    <col min="1" max="1" width="10.88671875" style="1788" customWidth="1"/>
    <col min="2" max="2" width="27.33203125" style="1788" customWidth="1"/>
    <col min="3" max="3" width="6.88671875" style="1788" customWidth="1"/>
    <col min="4" max="4" width="17.88671875" style="1813" customWidth="1"/>
    <col min="5" max="5" width="11.109375" style="1814" customWidth="1"/>
    <col min="6" max="6" width="8.109375" style="1788" customWidth="1"/>
    <col min="7" max="7" width="26.33203125" style="1788" customWidth="1"/>
    <col min="8" max="8" width="14" style="1815" customWidth="1"/>
    <col min="9" max="9" width="12.109375" style="1788" customWidth="1"/>
    <col min="10" max="10" width="10.109375" style="1817" customWidth="1"/>
    <col min="11" max="11" width="10" style="1817" customWidth="1"/>
    <col min="12" max="12" width="12.109375" style="1810" bestFit="1" customWidth="1"/>
    <col min="13" max="13" width="11.109375" style="1810" bestFit="1" customWidth="1"/>
    <col min="14" max="14" width="10.109375" style="1810" customWidth="1"/>
    <col min="15" max="15" width="27.109375" style="1810" customWidth="1"/>
    <col min="16" max="16" width="21.109375" style="1810" customWidth="1"/>
    <col min="17" max="24" width="8.109375" style="1810"/>
    <col min="25" max="16384" width="8.109375" style="1788"/>
  </cols>
  <sheetData>
    <row r="1" spans="1:24" s="1773" customFormat="1" ht="58.5" customHeight="1">
      <c r="A1" s="1729" t="s">
        <v>1</v>
      </c>
      <c r="B1" s="1729" t="s">
        <v>19</v>
      </c>
      <c r="C1" s="1729" t="s">
        <v>93</v>
      </c>
      <c r="D1" s="1729" t="s">
        <v>21</v>
      </c>
      <c r="E1" s="1730" t="s">
        <v>22</v>
      </c>
      <c r="F1" s="1821" t="s">
        <v>23</v>
      </c>
      <c r="G1" s="1822" t="s">
        <v>24</v>
      </c>
      <c r="H1" s="1730" t="s">
        <v>25</v>
      </c>
      <c r="I1" s="1793" t="s">
        <v>26</v>
      </c>
      <c r="J1" s="1794" t="s">
        <v>27</v>
      </c>
      <c r="K1" s="1795" t="s">
        <v>28</v>
      </c>
      <c r="L1" s="1794" t="s">
        <v>29</v>
      </c>
      <c r="M1" s="1796" t="s">
        <v>30</v>
      </c>
      <c r="N1" s="1797" t="s">
        <v>31</v>
      </c>
      <c r="O1" s="1798" t="s">
        <v>32</v>
      </c>
      <c r="P1" s="1798" t="s">
        <v>33</v>
      </c>
      <c r="Q1" s="1799" t="s">
        <v>34</v>
      </c>
      <c r="R1" s="1800" t="s">
        <v>35</v>
      </c>
      <c r="S1" s="1801"/>
      <c r="T1" s="1801"/>
      <c r="U1" s="1801"/>
      <c r="V1" s="1801"/>
      <c r="W1" s="1801"/>
      <c r="X1" s="1801"/>
    </row>
    <row r="2" spans="1:24" s="1732" customFormat="1" ht="30.6" customHeight="1">
      <c r="A2" s="1733" t="s">
        <v>18</v>
      </c>
      <c r="B2" s="1733" t="s">
        <v>715</v>
      </c>
      <c r="C2" s="1734">
        <v>1</v>
      </c>
      <c r="D2" s="1735" t="s">
        <v>715</v>
      </c>
      <c r="E2" s="1736" t="s">
        <v>136</v>
      </c>
      <c r="F2" s="1737" t="s">
        <v>327</v>
      </c>
      <c r="G2" s="1737" t="s">
        <v>41</v>
      </c>
      <c r="H2" s="1738">
        <v>31107.790052372686</v>
      </c>
      <c r="I2" s="1739">
        <v>45748</v>
      </c>
      <c r="J2" s="1785">
        <v>2433.5929999999998</v>
      </c>
      <c r="K2" s="1785">
        <v>2357.2170000000001</v>
      </c>
      <c r="L2" s="1785">
        <f t="shared" ref="L2:L12" si="0">J2</f>
        <v>2433.5929999999998</v>
      </c>
      <c r="M2" s="1785">
        <f t="shared" ref="M2:M12" si="1">K2</f>
        <v>2357.2170000000001</v>
      </c>
      <c r="N2" s="1741"/>
      <c r="O2" s="1742"/>
      <c r="P2" s="1742"/>
      <c r="Q2" s="1742"/>
      <c r="R2" s="1742"/>
    </row>
    <row r="3" spans="1:24" s="1732" customFormat="1" ht="30.6" customHeight="1">
      <c r="A3" s="1733" t="s">
        <v>18</v>
      </c>
      <c r="B3" s="1743" t="s">
        <v>716</v>
      </c>
      <c r="C3" s="1734">
        <v>2</v>
      </c>
      <c r="D3" s="1735" t="s">
        <v>717</v>
      </c>
      <c r="E3" s="1736" t="s">
        <v>136</v>
      </c>
      <c r="F3" s="1737" t="s">
        <v>327</v>
      </c>
      <c r="G3" s="1737" t="s">
        <v>718</v>
      </c>
      <c r="H3" s="1744">
        <v>3713.109806620002</v>
      </c>
      <c r="I3" s="1739">
        <v>45748</v>
      </c>
      <c r="J3" s="1740">
        <v>156.393</v>
      </c>
      <c r="K3" s="1740">
        <v>184.065</v>
      </c>
      <c r="L3" s="1740">
        <f t="shared" si="0"/>
        <v>156.393</v>
      </c>
      <c r="M3" s="1740">
        <f t="shared" si="1"/>
        <v>184.065</v>
      </c>
      <c r="N3" s="1741"/>
      <c r="O3" s="1742"/>
      <c r="P3" s="1742"/>
      <c r="Q3" s="1742"/>
      <c r="R3" s="1742"/>
    </row>
    <row r="4" spans="1:24" s="1732" customFormat="1" ht="30.6" customHeight="1">
      <c r="A4" s="1733" t="s">
        <v>18</v>
      </c>
      <c r="B4" s="1743" t="s">
        <v>716</v>
      </c>
      <c r="C4" s="1734">
        <v>3</v>
      </c>
      <c r="D4" s="1745" t="s">
        <v>719</v>
      </c>
      <c r="E4" s="1736" t="s">
        <v>133</v>
      </c>
      <c r="F4" s="1737"/>
      <c r="G4" s="1737"/>
      <c r="H4" s="1746">
        <v>0.11899999999999999</v>
      </c>
      <c r="I4" s="1739">
        <v>45748</v>
      </c>
      <c r="J4" s="1747">
        <v>6.4000000000000001E-2</v>
      </c>
      <c r="K4" s="1747">
        <v>7.8E-2</v>
      </c>
      <c r="L4" s="1747">
        <f t="shared" si="0"/>
        <v>6.4000000000000001E-2</v>
      </c>
      <c r="M4" s="1747">
        <f t="shared" si="1"/>
        <v>7.8E-2</v>
      </c>
      <c r="N4" s="1741"/>
      <c r="O4" s="1742"/>
      <c r="P4" s="1742"/>
      <c r="Q4" s="1742"/>
      <c r="R4" s="1742"/>
    </row>
    <row r="5" spans="1:24" s="1732" customFormat="1" ht="30.6" customHeight="1">
      <c r="A5" s="1733" t="s">
        <v>18</v>
      </c>
      <c r="B5" s="1735" t="s">
        <v>720</v>
      </c>
      <c r="C5" s="1734">
        <v>4</v>
      </c>
      <c r="D5" s="1735" t="s">
        <v>41</v>
      </c>
      <c r="E5" s="1736" t="s">
        <v>133</v>
      </c>
      <c r="F5" s="1737" t="s">
        <v>327</v>
      </c>
      <c r="G5" s="1737" t="s">
        <v>41</v>
      </c>
      <c r="H5" s="1748">
        <v>0.45454176016007819</v>
      </c>
      <c r="I5" s="1739">
        <v>45748</v>
      </c>
      <c r="J5" s="1749" t="s">
        <v>41</v>
      </c>
      <c r="K5" s="1749" t="s">
        <v>41</v>
      </c>
      <c r="L5" s="1750">
        <v>0.64119999999999999</v>
      </c>
      <c r="M5" s="1750">
        <v>0.55730000000000002</v>
      </c>
      <c r="N5" s="1741"/>
      <c r="O5" s="1742"/>
      <c r="P5" s="1742"/>
      <c r="Q5" s="1742"/>
      <c r="R5" s="1742"/>
    </row>
    <row r="6" spans="1:24" s="1732" customFormat="1" ht="30.6" customHeight="1">
      <c r="A6" s="1733" t="s">
        <v>18</v>
      </c>
      <c r="B6" s="1735" t="s">
        <v>721</v>
      </c>
      <c r="C6" s="1734">
        <v>5</v>
      </c>
      <c r="D6" s="1735" t="s">
        <v>41</v>
      </c>
      <c r="E6" s="1736" t="s">
        <v>133</v>
      </c>
      <c r="F6" s="1737" t="s">
        <v>722</v>
      </c>
      <c r="G6" s="1737" t="s">
        <v>41</v>
      </c>
      <c r="H6" s="1748">
        <v>9.9467434385779166E-2</v>
      </c>
      <c r="I6" s="1739">
        <v>45748</v>
      </c>
      <c r="J6" s="1751" t="s">
        <v>41</v>
      </c>
      <c r="K6" s="1751" t="s">
        <v>41</v>
      </c>
      <c r="L6" s="1752">
        <v>0.1148</v>
      </c>
      <c r="M6" s="1752">
        <v>9.8299999999999998E-2</v>
      </c>
      <c r="N6" s="1753"/>
      <c r="O6" s="1754"/>
      <c r="P6" s="1754"/>
      <c r="Q6" s="1754"/>
      <c r="R6" s="1754"/>
    </row>
    <row r="7" spans="1:24" s="1732" customFormat="1" ht="30.6" customHeight="1">
      <c r="A7" s="1733" t="s">
        <v>18</v>
      </c>
      <c r="B7" s="1733" t="s">
        <v>723</v>
      </c>
      <c r="C7" s="1734">
        <v>6</v>
      </c>
      <c r="D7" s="1735" t="s">
        <v>724</v>
      </c>
      <c r="E7" s="1736" t="s">
        <v>133</v>
      </c>
      <c r="F7" s="1737" t="s">
        <v>327</v>
      </c>
      <c r="G7" s="1737" t="s">
        <v>725</v>
      </c>
      <c r="H7" s="1755">
        <v>1</v>
      </c>
      <c r="I7" s="1739">
        <v>45748</v>
      </c>
      <c r="J7" s="1755">
        <v>1</v>
      </c>
      <c r="K7" s="1756">
        <v>0.96</v>
      </c>
      <c r="L7" s="1755">
        <f t="shared" si="0"/>
        <v>1</v>
      </c>
      <c r="M7" s="1756">
        <f t="shared" si="1"/>
        <v>0.96</v>
      </c>
      <c r="N7" s="1741"/>
      <c r="O7" s="1742"/>
      <c r="P7" s="1742"/>
      <c r="Q7" s="1742"/>
      <c r="R7" s="1742"/>
    </row>
    <row r="8" spans="1:24" s="1732" customFormat="1" ht="30.6" customHeight="1">
      <c r="A8" s="1733" t="s">
        <v>18</v>
      </c>
      <c r="B8" s="1733" t="s">
        <v>723</v>
      </c>
      <c r="C8" s="1734">
        <v>7</v>
      </c>
      <c r="D8" s="1735" t="s">
        <v>726</v>
      </c>
      <c r="E8" s="1736" t="s">
        <v>727</v>
      </c>
      <c r="F8" s="1737" t="s">
        <v>327</v>
      </c>
      <c r="G8" s="1737" t="s">
        <v>725</v>
      </c>
      <c r="H8" s="1757">
        <v>32918.007010287365</v>
      </c>
      <c r="I8" s="1739">
        <v>45748</v>
      </c>
      <c r="J8" s="1758">
        <v>2530.617191407076</v>
      </c>
      <c r="K8" s="1758">
        <v>2416.963568541667</v>
      </c>
      <c r="L8" s="1758">
        <f t="shared" si="0"/>
        <v>2530.617191407076</v>
      </c>
      <c r="M8" s="1758">
        <f t="shared" si="1"/>
        <v>2416.963568541667</v>
      </c>
      <c r="N8" s="1753"/>
      <c r="O8" s="1754"/>
      <c r="P8" s="1754"/>
      <c r="Q8" s="1754"/>
      <c r="R8" s="1754"/>
      <c r="S8" s="1731"/>
      <c r="T8" s="1731"/>
      <c r="U8" s="1731"/>
      <c r="V8" s="1731"/>
      <c r="W8" s="1731"/>
      <c r="X8" s="1731"/>
    </row>
    <row r="9" spans="1:24" s="1732" customFormat="1" ht="30.6" customHeight="1">
      <c r="A9" s="1733" t="s">
        <v>18</v>
      </c>
      <c r="B9" s="1733" t="s">
        <v>723</v>
      </c>
      <c r="C9" s="1734">
        <v>8</v>
      </c>
      <c r="D9" s="1735" t="s">
        <v>728</v>
      </c>
      <c r="E9" s="1736" t="s">
        <v>133</v>
      </c>
      <c r="F9" s="1737" t="s">
        <v>327</v>
      </c>
      <c r="G9" s="1737" t="s">
        <v>725</v>
      </c>
      <c r="H9" s="1755">
        <v>1</v>
      </c>
      <c r="I9" s="1739">
        <v>45748</v>
      </c>
      <c r="J9" s="1755">
        <v>1</v>
      </c>
      <c r="K9" s="1756">
        <v>0.9</v>
      </c>
      <c r="L9" s="1755">
        <f t="shared" si="0"/>
        <v>1</v>
      </c>
      <c r="M9" s="1756">
        <f t="shared" si="1"/>
        <v>0.9</v>
      </c>
      <c r="N9" s="1741"/>
      <c r="O9" s="1742"/>
      <c r="P9" s="1742"/>
      <c r="Q9" s="1742"/>
      <c r="R9" s="1742"/>
    </row>
    <row r="10" spans="1:24" s="1732" customFormat="1" ht="30.6" customHeight="1">
      <c r="A10" s="1733" t="s">
        <v>18</v>
      </c>
      <c r="B10" s="1733" t="s">
        <v>723</v>
      </c>
      <c r="C10" s="1734">
        <v>9</v>
      </c>
      <c r="D10" s="1735" t="s">
        <v>729</v>
      </c>
      <c r="E10" s="1736" t="s">
        <v>727</v>
      </c>
      <c r="F10" s="1737" t="s">
        <v>327</v>
      </c>
      <c r="G10" s="1737" t="s">
        <v>725</v>
      </c>
      <c r="H10" s="1757">
        <v>9984</v>
      </c>
      <c r="I10" s="1739">
        <v>45748</v>
      </c>
      <c r="J10" s="1740">
        <v>836</v>
      </c>
      <c r="K10" s="1758">
        <v>751</v>
      </c>
      <c r="L10" s="1758">
        <f t="shared" si="0"/>
        <v>836</v>
      </c>
      <c r="M10" s="1758">
        <f t="shared" si="1"/>
        <v>751</v>
      </c>
      <c r="N10" s="1753"/>
      <c r="O10" s="1754"/>
      <c r="P10" s="1754"/>
      <c r="Q10" s="1754"/>
      <c r="R10" s="1754"/>
      <c r="S10" s="1731"/>
      <c r="T10" s="1731"/>
    </row>
    <row r="11" spans="1:24" s="1732" customFormat="1" ht="30.6" customHeight="1">
      <c r="A11" s="1733" t="s">
        <v>18</v>
      </c>
      <c r="B11" s="1733" t="s">
        <v>730</v>
      </c>
      <c r="C11" s="1734">
        <v>10</v>
      </c>
      <c r="D11" s="1735" t="s">
        <v>504</v>
      </c>
      <c r="E11" s="1736" t="s">
        <v>136</v>
      </c>
      <c r="F11" s="1737" t="s">
        <v>327</v>
      </c>
      <c r="G11" s="1737" t="s">
        <v>40</v>
      </c>
      <c r="H11" s="1759">
        <v>1174.3420820195504</v>
      </c>
      <c r="I11" s="1739">
        <v>45748</v>
      </c>
      <c r="J11" s="1760">
        <f>[2]Labor!$G$158/1000000</f>
        <v>68.169434146549506</v>
      </c>
      <c r="K11" s="1760">
        <f>[2]Labor!$M$158/1000000</f>
        <v>64.8903828131251</v>
      </c>
      <c r="L11" s="1760">
        <f t="shared" si="0"/>
        <v>68.169434146549506</v>
      </c>
      <c r="M11" s="1760">
        <f t="shared" si="1"/>
        <v>64.8903828131251</v>
      </c>
      <c r="N11" s="1741"/>
      <c r="O11" s="1742"/>
      <c r="P11" s="1742"/>
      <c r="Q11" s="1742"/>
      <c r="R11" s="1742"/>
    </row>
    <row r="12" spans="1:24" s="1732" customFormat="1" ht="30.6" customHeight="1">
      <c r="A12" s="1733" t="s">
        <v>18</v>
      </c>
      <c r="B12" s="1733" t="s">
        <v>730</v>
      </c>
      <c r="C12" s="1734">
        <v>11</v>
      </c>
      <c r="D12" s="1735" t="s">
        <v>508</v>
      </c>
      <c r="E12" s="1736" t="s">
        <v>136</v>
      </c>
      <c r="F12" s="1737" t="s">
        <v>327</v>
      </c>
      <c r="G12" s="1737" t="s">
        <v>40</v>
      </c>
      <c r="H12" s="1759">
        <v>962.16729885251311</v>
      </c>
      <c r="I12" s="1761">
        <v>45748</v>
      </c>
      <c r="J12" s="1760">
        <v>88.804000000000002</v>
      </c>
      <c r="K12" s="1760">
        <v>79.069999999999993</v>
      </c>
      <c r="L12" s="1760">
        <f t="shared" si="0"/>
        <v>88.804000000000002</v>
      </c>
      <c r="M12" s="1760">
        <f t="shared" si="1"/>
        <v>79.069999999999993</v>
      </c>
      <c r="N12" s="1741"/>
      <c r="O12" s="1742"/>
      <c r="P12" s="1742"/>
      <c r="Q12" s="1742"/>
      <c r="R12" s="1742"/>
    </row>
    <row r="13" spans="1:24" s="1732" customFormat="1" ht="30.6" customHeight="1">
      <c r="A13" s="1733" t="s">
        <v>18</v>
      </c>
      <c r="B13" s="1733" t="s">
        <v>715</v>
      </c>
      <c r="C13" s="1734">
        <v>1</v>
      </c>
      <c r="D13" s="1735" t="s">
        <v>715</v>
      </c>
      <c r="E13" s="1736" t="s">
        <v>136</v>
      </c>
      <c r="F13" s="1737" t="s">
        <v>327</v>
      </c>
      <c r="G13" s="1737" t="s">
        <v>41</v>
      </c>
      <c r="H13" s="1762">
        <v>31107.790052372686</v>
      </c>
      <c r="I13" s="1761">
        <v>45778</v>
      </c>
      <c r="J13" s="1740">
        <v>2465.239</v>
      </c>
      <c r="K13" s="1760">
        <f>2770014.34282/1000</f>
        <v>2770.0143428199999</v>
      </c>
      <c r="L13" s="1742">
        <f>L2+J13</f>
        <v>4898.8320000000003</v>
      </c>
      <c r="M13" s="1742">
        <f>M2+K13</f>
        <v>5127.2313428199996</v>
      </c>
      <c r="N13" s="1741"/>
      <c r="O13" s="1742"/>
      <c r="P13" s="1742"/>
      <c r="Q13" s="1742"/>
      <c r="R13" s="1742"/>
    </row>
    <row r="14" spans="1:24" s="1732" customFormat="1" ht="30.6" customHeight="1">
      <c r="A14" s="1733" t="s">
        <v>18</v>
      </c>
      <c r="B14" s="1743" t="s">
        <v>716</v>
      </c>
      <c r="C14" s="1734">
        <v>2</v>
      </c>
      <c r="D14" s="1735" t="s">
        <v>717</v>
      </c>
      <c r="E14" s="1736" t="s">
        <v>136</v>
      </c>
      <c r="F14" s="1737" t="s">
        <v>327</v>
      </c>
      <c r="G14" s="1737" t="s">
        <v>718</v>
      </c>
      <c r="H14" s="1744">
        <v>3713.109806620002</v>
      </c>
      <c r="I14" s="1761">
        <v>45778</v>
      </c>
      <c r="J14" s="1740">
        <v>300.26100000000002</v>
      </c>
      <c r="K14" s="1760">
        <v>510.54616451000254</v>
      </c>
      <c r="L14" s="1742">
        <f>L3+J14</f>
        <v>456.654</v>
      </c>
      <c r="M14" s="1742">
        <f>M3+K14</f>
        <v>694.61116451000248</v>
      </c>
      <c r="N14" s="1741"/>
      <c r="O14" s="1742"/>
      <c r="P14" s="1742"/>
      <c r="Q14" s="1742"/>
      <c r="R14" s="1742"/>
    </row>
    <row r="15" spans="1:24" s="1732" customFormat="1" ht="30.6" customHeight="1">
      <c r="A15" s="1733" t="s">
        <v>18</v>
      </c>
      <c r="B15" s="1743" t="s">
        <v>716</v>
      </c>
      <c r="C15" s="1734">
        <v>3</v>
      </c>
      <c r="D15" s="1745" t="s">
        <v>719</v>
      </c>
      <c r="E15" s="1736" t="s">
        <v>133</v>
      </c>
      <c r="F15" s="1737"/>
      <c r="G15" s="1737"/>
      <c r="H15" s="1746">
        <v>0.11899999999999999</v>
      </c>
      <c r="I15" s="1761">
        <v>45778</v>
      </c>
      <c r="J15" s="1763">
        <v>0.122</v>
      </c>
      <c r="K15" s="1763">
        <f>K14/K13</f>
        <v>0.18431174041873136</v>
      </c>
      <c r="L15" s="1764">
        <f>L14/L13</f>
        <v>9.3216913745970464E-2</v>
      </c>
      <c r="M15" s="1764">
        <f>M14/M13</f>
        <v>0.13547490215800626</v>
      </c>
      <c r="N15" s="1753"/>
      <c r="O15" s="1754"/>
      <c r="P15" s="1754"/>
      <c r="Q15" s="1754"/>
      <c r="R15" s="1754"/>
    </row>
    <row r="16" spans="1:24" s="1732" customFormat="1" ht="30.6" customHeight="1">
      <c r="A16" s="1733" t="s">
        <v>18</v>
      </c>
      <c r="B16" s="1735" t="s">
        <v>720</v>
      </c>
      <c r="C16" s="1734">
        <v>4</v>
      </c>
      <c r="D16" s="1735" t="s">
        <v>41</v>
      </c>
      <c r="E16" s="1736" t="s">
        <v>133</v>
      </c>
      <c r="F16" s="1737" t="s">
        <v>327</v>
      </c>
      <c r="G16" s="1737" t="s">
        <v>41</v>
      </c>
      <c r="H16" s="1748">
        <v>0.45454176016007819</v>
      </c>
      <c r="I16" s="1761">
        <v>45778</v>
      </c>
      <c r="J16" s="1749" t="s">
        <v>41</v>
      </c>
      <c r="K16" s="1749" t="s">
        <v>41</v>
      </c>
      <c r="L16" s="1750">
        <v>0.50170000000000003</v>
      </c>
      <c r="M16" s="1750">
        <v>0.3537496733116885</v>
      </c>
      <c r="N16" s="1741"/>
      <c r="O16" s="1742"/>
      <c r="P16" s="1742"/>
      <c r="Q16" s="1742"/>
      <c r="R16" s="1742"/>
    </row>
    <row r="17" spans="1:24" s="1732" customFormat="1" ht="30.6" customHeight="1">
      <c r="A17" s="1733" t="s">
        <v>18</v>
      </c>
      <c r="B17" s="1735" t="s">
        <v>721</v>
      </c>
      <c r="C17" s="1734">
        <v>5</v>
      </c>
      <c r="D17" s="1735" t="s">
        <v>41</v>
      </c>
      <c r="E17" s="1736" t="s">
        <v>133</v>
      </c>
      <c r="F17" s="1737" t="s">
        <v>722</v>
      </c>
      <c r="G17" s="1737" t="s">
        <v>41</v>
      </c>
      <c r="H17" s="1748">
        <v>9.9467434385779166E-2</v>
      </c>
      <c r="I17" s="1761">
        <v>45778</v>
      </c>
      <c r="J17" s="1749" t="s">
        <v>41</v>
      </c>
      <c r="K17" s="1749" t="s">
        <v>41</v>
      </c>
      <c r="L17" s="1750">
        <v>9.3899999999999997E-2</v>
      </c>
      <c r="M17" s="1750">
        <v>7.4157318699649019E-2</v>
      </c>
      <c r="N17" s="1741"/>
      <c r="O17" s="1742"/>
      <c r="P17" s="1742"/>
      <c r="Q17" s="1742"/>
      <c r="R17" s="1742"/>
    </row>
    <row r="18" spans="1:24" s="1732" customFormat="1" ht="30.6" customHeight="1">
      <c r="A18" s="1733" t="s">
        <v>18</v>
      </c>
      <c r="B18" s="1733" t="s">
        <v>723</v>
      </c>
      <c r="C18" s="1734">
        <v>6</v>
      </c>
      <c r="D18" s="1735" t="s">
        <v>724</v>
      </c>
      <c r="E18" s="1736" t="s">
        <v>133</v>
      </c>
      <c r="F18" s="1737" t="s">
        <v>327</v>
      </c>
      <c r="G18" s="1737" t="s">
        <v>725</v>
      </c>
      <c r="H18" s="1755">
        <v>1</v>
      </c>
      <c r="I18" s="1761">
        <v>45778</v>
      </c>
      <c r="J18" s="1755">
        <v>1</v>
      </c>
      <c r="K18" s="1756">
        <f>K19/J19</f>
        <v>0.9513513513513514</v>
      </c>
      <c r="L18" s="1755">
        <v>1</v>
      </c>
      <c r="M18" s="1756">
        <f>M19/L19</f>
        <v>0.95296508646400302</v>
      </c>
      <c r="N18" s="1741"/>
      <c r="O18" s="1742"/>
      <c r="P18" s="1742"/>
      <c r="Q18" s="1742"/>
      <c r="R18" s="1742"/>
    </row>
    <row r="19" spans="1:24" s="1732" customFormat="1" ht="30.6" customHeight="1">
      <c r="A19" s="1733" t="s">
        <v>18</v>
      </c>
      <c r="B19" s="1733" t="s">
        <v>723</v>
      </c>
      <c r="C19" s="1734">
        <v>7</v>
      </c>
      <c r="D19" s="1735" t="s">
        <v>726</v>
      </c>
      <c r="E19" s="1736" t="s">
        <v>727</v>
      </c>
      <c r="F19" s="1737" t="s">
        <v>327</v>
      </c>
      <c r="G19" s="1737" t="s">
        <v>725</v>
      </c>
      <c r="H19" s="1765"/>
      <c r="I19" s="1761">
        <v>45778</v>
      </c>
      <c r="J19" s="1766">
        <v>3330</v>
      </c>
      <c r="K19" s="1766">
        <v>3168</v>
      </c>
      <c r="L19" s="1754">
        <f>J19+L8</f>
        <v>5860.6171914070765</v>
      </c>
      <c r="M19" s="1754">
        <f>K19+M8</f>
        <v>5584.963568541667</v>
      </c>
      <c r="N19" s="1753"/>
      <c r="O19" s="1754"/>
      <c r="P19" s="1754"/>
      <c r="Q19" s="1754"/>
      <c r="R19" s="1754"/>
      <c r="S19" s="1731"/>
      <c r="T19" s="1731"/>
      <c r="U19" s="1731"/>
      <c r="V19" s="1731"/>
      <c r="W19" s="1731"/>
      <c r="X19" s="1731"/>
    </row>
    <row r="20" spans="1:24" s="1732" customFormat="1" ht="30.6" customHeight="1">
      <c r="A20" s="1733" t="s">
        <v>18</v>
      </c>
      <c r="B20" s="1733" t="s">
        <v>723</v>
      </c>
      <c r="C20" s="1734">
        <v>8</v>
      </c>
      <c r="D20" s="1735" t="s">
        <v>728</v>
      </c>
      <c r="E20" s="1736" t="s">
        <v>133</v>
      </c>
      <c r="F20" s="1737" t="s">
        <v>327</v>
      </c>
      <c r="G20" s="1737" t="s">
        <v>725</v>
      </c>
      <c r="H20" s="1755">
        <v>1</v>
      </c>
      <c r="I20" s="1761">
        <v>45778</v>
      </c>
      <c r="J20" s="1755">
        <v>1</v>
      </c>
      <c r="K20" s="1756">
        <f>K21/J21</f>
        <v>0.94224924012158051</v>
      </c>
      <c r="L20" s="1755">
        <v>1</v>
      </c>
      <c r="M20" s="1756">
        <f>M21/L21</f>
        <v>0.9221064179923204</v>
      </c>
      <c r="N20" s="1741"/>
      <c r="O20" s="1742"/>
      <c r="P20" s="1742"/>
      <c r="Q20" s="1742"/>
      <c r="R20" s="1742"/>
    </row>
    <row r="21" spans="1:24" s="1732" customFormat="1" ht="30.6" customHeight="1">
      <c r="A21" s="1733" t="s">
        <v>18</v>
      </c>
      <c r="B21" s="1733" t="s">
        <v>723</v>
      </c>
      <c r="C21" s="1734">
        <v>9</v>
      </c>
      <c r="D21" s="1735" t="s">
        <v>729</v>
      </c>
      <c r="E21" s="1736" t="s">
        <v>727</v>
      </c>
      <c r="F21" s="1737" t="s">
        <v>327</v>
      </c>
      <c r="G21" s="1737" t="s">
        <v>725</v>
      </c>
      <c r="H21" s="1765"/>
      <c r="I21" s="1761">
        <v>45778</v>
      </c>
      <c r="J21" s="1760">
        <v>987</v>
      </c>
      <c r="K21" s="1766">
        <v>930</v>
      </c>
      <c r="L21" s="1754">
        <f t="shared" ref="L21:M23" si="2">J21+L10</f>
        <v>1823</v>
      </c>
      <c r="M21" s="1754">
        <f t="shared" si="2"/>
        <v>1681</v>
      </c>
      <c r="N21" s="1753"/>
      <c r="O21" s="1754"/>
      <c r="P21" s="1754"/>
      <c r="Q21" s="1754"/>
      <c r="R21" s="1754"/>
      <c r="S21" s="1731"/>
      <c r="T21" s="1731"/>
    </row>
    <row r="22" spans="1:24" s="1732" customFormat="1" ht="30.6" customHeight="1">
      <c r="A22" s="1733" t="s">
        <v>18</v>
      </c>
      <c r="B22" s="1733" t="s">
        <v>730</v>
      </c>
      <c r="C22" s="1734">
        <v>10</v>
      </c>
      <c r="D22" s="1735" t="s">
        <v>504</v>
      </c>
      <c r="E22" s="1736" t="s">
        <v>136</v>
      </c>
      <c r="F22" s="1737" t="s">
        <v>327</v>
      </c>
      <c r="G22" s="1737" t="s">
        <v>40</v>
      </c>
      <c r="H22" s="1759">
        <v>1174.3420820195504</v>
      </c>
      <c r="I22" s="1761">
        <v>45778</v>
      </c>
      <c r="J22" s="1760">
        <f>[2]Labor!$R$158/1000000</f>
        <v>82.015342882542612</v>
      </c>
      <c r="K22" s="1760">
        <f>[2]Labor!$X$158/1000000</f>
        <v>87.072982887455595</v>
      </c>
      <c r="L22" s="1742">
        <f>J22+L11</f>
        <v>150.18477702909212</v>
      </c>
      <c r="M22" s="1742">
        <f>K22+M11</f>
        <v>151.96336570058071</v>
      </c>
      <c r="N22" s="1741"/>
      <c r="O22" s="1742"/>
      <c r="P22" s="1742"/>
      <c r="Q22" s="1742"/>
      <c r="R22" s="1742"/>
    </row>
    <row r="23" spans="1:24" s="1732" customFormat="1" ht="30.6" customHeight="1">
      <c r="A23" s="1733" t="s">
        <v>18</v>
      </c>
      <c r="B23" s="1733" t="s">
        <v>730</v>
      </c>
      <c r="C23" s="1734">
        <v>11</v>
      </c>
      <c r="D23" s="1735" t="s">
        <v>508</v>
      </c>
      <c r="E23" s="1736" t="s">
        <v>136</v>
      </c>
      <c r="F23" s="1737" t="s">
        <v>327</v>
      </c>
      <c r="G23" s="1737" t="s">
        <v>40</v>
      </c>
      <c r="H23" s="1759">
        <v>962.16729885251311</v>
      </c>
      <c r="I23" s="1761">
        <v>45778</v>
      </c>
      <c r="J23" s="1760">
        <v>69</v>
      </c>
      <c r="K23" s="1760">
        <v>69</v>
      </c>
      <c r="L23" s="1742">
        <f t="shared" si="2"/>
        <v>157.804</v>
      </c>
      <c r="M23" s="1742">
        <f t="shared" si="2"/>
        <v>148.07</v>
      </c>
      <c r="N23" s="1741"/>
      <c r="O23" s="1742"/>
      <c r="P23" s="1742"/>
      <c r="Q23" s="1742"/>
      <c r="R23" s="1742"/>
    </row>
    <row r="24" spans="1:24" s="1732" customFormat="1" ht="30.6" customHeight="1">
      <c r="A24" s="1733" t="s">
        <v>18</v>
      </c>
      <c r="B24" s="1733" t="s">
        <v>715</v>
      </c>
      <c r="C24" s="1734">
        <v>1</v>
      </c>
      <c r="D24" s="1735" t="s">
        <v>715</v>
      </c>
      <c r="E24" s="1736" t="s">
        <v>136</v>
      </c>
      <c r="F24" s="1737" t="s">
        <v>327</v>
      </c>
      <c r="G24" s="1737" t="s">
        <v>41</v>
      </c>
      <c r="H24" s="1762">
        <v>31107.790052372686</v>
      </c>
      <c r="I24" s="1761">
        <v>45809</v>
      </c>
      <c r="J24" s="1758">
        <v>2688.837</v>
      </c>
      <c r="K24" s="1758">
        <v>3035.3589999999999</v>
      </c>
      <c r="L24" s="1758">
        <f>J24+L13</f>
        <v>7587.6689999999999</v>
      </c>
      <c r="M24" s="1758">
        <f>K24+M13</f>
        <v>8162.5903428199999</v>
      </c>
      <c r="N24" s="1753"/>
      <c r="O24" s="1754"/>
      <c r="P24" s="1754"/>
      <c r="Q24" s="1754"/>
      <c r="R24" s="1754"/>
    </row>
    <row r="25" spans="1:24" s="1732" customFormat="1" ht="30.6" customHeight="1">
      <c r="A25" s="1733" t="s">
        <v>18</v>
      </c>
      <c r="B25" s="1743" t="s">
        <v>716</v>
      </c>
      <c r="C25" s="1734">
        <v>2</v>
      </c>
      <c r="D25" s="1735" t="s">
        <v>717</v>
      </c>
      <c r="E25" s="1736" t="s">
        <v>136</v>
      </c>
      <c r="F25" s="1737" t="s">
        <v>327</v>
      </c>
      <c r="G25" s="1737" t="s">
        <v>718</v>
      </c>
      <c r="H25" s="1744">
        <v>3713.109806620002</v>
      </c>
      <c r="I25" s="1761">
        <v>45809</v>
      </c>
      <c r="J25" s="1740">
        <v>293.45299999999997</v>
      </c>
      <c r="K25" s="1740">
        <v>320.685</v>
      </c>
      <c r="L25" s="1740">
        <f>J25+L14</f>
        <v>750.10699999999997</v>
      </c>
      <c r="M25" s="1740">
        <f>K25+M14</f>
        <v>1015.2961645100024</v>
      </c>
      <c r="N25" s="1741"/>
      <c r="O25" s="1742"/>
      <c r="P25" s="1742"/>
      <c r="Q25" s="1742"/>
      <c r="R25" s="1742"/>
    </row>
    <row r="26" spans="1:24" s="1732" customFormat="1" ht="30.6" customHeight="1">
      <c r="A26" s="1733" t="s">
        <v>18</v>
      </c>
      <c r="B26" s="1743" t="s">
        <v>716</v>
      </c>
      <c r="C26" s="1734">
        <v>3</v>
      </c>
      <c r="D26" s="1745" t="s">
        <v>719</v>
      </c>
      <c r="E26" s="1736" t="s">
        <v>133</v>
      </c>
      <c r="F26" s="1737"/>
      <c r="G26" s="1737"/>
      <c r="H26" s="1746">
        <v>0.11899999999999999</v>
      </c>
      <c r="I26" s="1761">
        <v>45809</v>
      </c>
      <c r="J26" s="1747">
        <v>0.109</v>
      </c>
      <c r="K26" s="1747">
        <f>K25/K24</f>
        <v>0.10564977651737406</v>
      </c>
      <c r="L26" s="1747">
        <f>L25/L24</f>
        <v>9.8858687694468483E-2</v>
      </c>
      <c r="M26" s="1747">
        <f>M25/M24</f>
        <v>0.12438406460065463</v>
      </c>
      <c r="N26" s="1741"/>
      <c r="O26" s="1742"/>
      <c r="P26" s="1742"/>
      <c r="Q26" s="1742"/>
      <c r="R26" s="1742"/>
    </row>
    <row r="27" spans="1:24" s="1732" customFormat="1" ht="30.6" customHeight="1">
      <c r="A27" s="1733" t="s">
        <v>18</v>
      </c>
      <c r="B27" s="1735" t="s">
        <v>720</v>
      </c>
      <c r="C27" s="1734">
        <v>4</v>
      </c>
      <c r="D27" s="1735" t="s">
        <v>41</v>
      </c>
      <c r="E27" s="1736" t="s">
        <v>133</v>
      </c>
      <c r="F27" s="1737" t="s">
        <v>327</v>
      </c>
      <c r="G27" s="1737" t="s">
        <v>41</v>
      </c>
      <c r="H27" s="1748">
        <v>0.45454176016007819</v>
      </c>
      <c r="I27" s="1761">
        <v>45809</v>
      </c>
      <c r="J27" s="1749" t="s">
        <v>41</v>
      </c>
      <c r="K27" s="1749" t="s">
        <v>41</v>
      </c>
      <c r="L27" s="1750">
        <v>0.48870000000000002</v>
      </c>
      <c r="M27" s="1750">
        <v>0.37519999999999998</v>
      </c>
      <c r="N27" s="1741"/>
      <c r="O27" s="1742"/>
      <c r="P27" s="1742"/>
      <c r="Q27" s="1742"/>
      <c r="R27" s="1742"/>
    </row>
    <row r="28" spans="1:24" s="1732" customFormat="1" ht="30.6" customHeight="1">
      <c r="A28" s="1733" t="s">
        <v>18</v>
      </c>
      <c r="B28" s="1735" t="s">
        <v>721</v>
      </c>
      <c r="C28" s="1734">
        <v>5</v>
      </c>
      <c r="D28" s="1735" t="s">
        <v>41</v>
      </c>
      <c r="E28" s="1736" t="s">
        <v>133</v>
      </c>
      <c r="F28" s="1737" t="s">
        <v>722</v>
      </c>
      <c r="G28" s="1737" t="s">
        <v>41</v>
      </c>
      <c r="H28" s="1748">
        <v>9.9467434385779166E-2</v>
      </c>
      <c r="I28" s="1761">
        <v>45809</v>
      </c>
      <c r="J28" s="1749" t="s">
        <v>41</v>
      </c>
      <c r="K28" s="1749" t="s">
        <v>41</v>
      </c>
      <c r="L28" s="1750">
        <v>9.4500000000000001E-2</v>
      </c>
      <c r="M28" s="1750">
        <v>7.4700000000000003E-2</v>
      </c>
      <c r="N28" s="1741"/>
      <c r="O28" s="1742"/>
      <c r="P28" s="1742"/>
      <c r="Q28" s="1742"/>
      <c r="R28" s="1742"/>
    </row>
    <row r="29" spans="1:24" s="1732" customFormat="1" ht="30.6" customHeight="1">
      <c r="A29" s="1733" t="s">
        <v>18</v>
      </c>
      <c r="B29" s="1733" t="s">
        <v>723</v>
      </c>
      <c r="C29" s="1734">
        <v>6</v>
      </c>
      <c r="D29" s="1735" t="s">
        <v>724</v>
      </c>
      <c r="E29" s="1736" t="s">
        <v>133</v>
      </c>
      <c r="F29" s="1737" t="s">
        <v>327</v>
      </c>
      <c r="G29" s="1737" t="s">
        <v>725</v>
      </c>
      <c r="H29" s="1755">
        <v>1</v>
      </c>
      <c r="I29" s="1761">
        <v>45809</v>
      </c>
      <c r="J29" s="1767">
        <v>1</v>
      </c>
      <c r="K29" s="1747">
        <f>K30/J30</f>
        <v>0.95191424196018382</v>
      </c>
      <c r="L29" s="1755">
        <v>1</v>
      </c>
      <c r="M29" s="1768">
        <f>M30/L30</f>
        <v>0.95258911109346034</v>
      </c>
      <c r="N29" s="1741"/>
      <c r="O29" s="1742"/>
      <c r="P29" s="1742"/>
      <c r="Q29" s="1742"/>
      <c r="R29" s="1742"/>
    </row>
    <row r="30" spans="1:24" s="1732" customFormat="1" ht="30.6" customHeight="1">
      <c r="A30" s="1733" t="s">
        <v>18</v>
      </c>
      <c r="B30" s="1733" t="s">
        <v>723</v>
      </c>
      <c r="C30" s="1734">
        <v>7</v>
      </c>
      <c r="D30" s="1735" t="s">
        <v>726</v>
      </c>
      <c r="E30" s="1736" t="s">
        <v>727</v>
      </c>
      <c r="F30" s="1737" t="s">
        <v>327</v>
      </c>
      <c r="G30" s="1737" t="s">
        <v>725</v>
      </c>
      <c r="H30" s="1765"/>
      <c r="I30" s="1761">
        <v>45809</v>
      </c>
      <c r="J30" s="1758">
        <v>3265</v>
      </c>
      <c r="K30" s="1758">
        <v>3108</v>
      </c>
      <c r="L30" s="1754">
        <f>J30+L19</f>
        <v>9125.6171914070765</v>
      </c>
      <c r="M30" s="1754">
        <f>K30+M19</f>
        <v>8692.963568541667</v>
      </c>
      <c r="N30" s="1753"/>
      <c r="O30" s="1754"/>
      <c r="P30" s="1754"/>
      <c r="Q30" s="1754"/>
      <c r="R30" s="1754"/>
      <c r="S30" s="1731"/>
      <c r="T30" s="1731"/>
      <c r="U30" s="1731"/>
      <c r="V30" s="1731"/>
      <c r="W30" s="1731"/>
      <c r="X30" s="1731"/>
    </row>
    <row r="31" spans="1:24" s="1732" customFormat="1" ht="30.6" customHeight="1">
      <c r="A31" s="1733" t="s">
        <v>18</v>
      </c>
      <c r="B31" s="1733" t="s">
        <v>723</v>
      </c>
      <c r="C31" s="1734">
        <v>8</v>
      </c>
      <c r="D31" s="1735" t="s">
        <v>728</v>
      </c>
      <c r="E31" s="1736" t="s">
        <v>133</v>
      </c>
      <c r="F31" s="1737" t="s">
        <v>327</v>
      </c>
      <c r="G31" s="1737" t="s">
        <v>725</v>
      </c>
      <c r="H31" s="1755">
        <v>1</v>
      </c>
      <c r="I31" s="1761">
        <v>45809</v>
      </c>
      <c r="J31" s="1755">
        <v>1</v>
      </c>
      <c r="K31" s="1747">
        <f>K32/J32</f>
        <v>0.94769230769230772</v>
      </c>
      <c r="L31" s="1755">
        <v>1</v>
      </c>
      <c r="M31" s="1747">
        <f>M32/L32</f>
        <v>0.93102215868477489</v>
      </c>
      <c r="N31" s="1741"/>
      <c r="O31" s="1742"/>
      <c r="P31" s="1742"/>
      <c r="Q31" s="1742"/>
      <c r="R31" s="1742"/>
    </row>
    <row r="32" spans="1:24" s="1732" customFormat="1" ht="30.6" customHeight="1">
      <c r="A32" s="1733" t="s">
        <v>18</v>
      </c>
      <c r="B32" s="1733" t="s">
        <v>723</v>
      </c>
      <c r="C32" s="1734">
        <v>9</v>
      </c>
      <c r="D32" s="1735" t="s">
        <v>729</v>
      </c>
      <c r="E32" s="1736" t="s">
        <v>727</v>
      </c>
      <c r="F32" s="1737" t="s">
        <v>327</v>
      </c>
      <c r="G32" s="1737" t="s">
        <v>725</v>
      </c>
      <c r="H32" s="1765"/>
      <c r="I32" s="1761">
        <v>45809</v>
      </c>
      <c r="J32" s="1760">
        <v>975</v>
      </c>
      <c r="K32" s="1758">
        <v>924</v>
      </c>
      <c r="L32" s="1754">
        <f t="shared" ref="L32:M34" si="3">J32+L21</f>
        <v>2798</v>
      </c>
      <c r="M32" s="1754">
        <f t="shared" si="3"/>
        <v>2605</v>
      </c>
      <c r="N32" s="1753"/>
      <c r="O32" s="1754"/>
      <c r="P32" s="1754"/>
      <c r="Q32" s="1754"/>
      <c r="R32" s="1754"/>
      <c r="S32" s="1731"/>
      <c r="T32" s="1731"/>
    </row>
    <row r="33" spans="1:24" s="1732" customFormat="1" ht="30.6" customHeight="1">
      <c r="A33" s="1733" t="s">
        <v>18</v>
      </c>
      <c r="B33" s="1733" t="s">
        <v>730</v>
      </c>
      <c r="C33" s="1734">
        <v>10</v>
      </c>
      <c r="D33" s="1735" t="s">
        <v>504</v>
      </c>
      <c r="E33" s="1736" t="s">
        <v>136</v>
      </c>
      <c r="F33" s="1737" t="s">
        <v>327</v>
      </c>
      <c r="G33" s="1737" t="s">
        <v>40</v>
      </c>
      <c r="H33" s="1759">
        <v>1174.3420820195504</v>
      </c>
      <c r="I33" s="1761">
        <v>45809</v>
      </c>
      <c r="J33" s="1766">
        <v>83.284341597210599</v>
      </c>
      <c r="K33" s="1766">
        <v>81.955211054408736</v>
      </c>
      <c r="L33" s="1754">
        <f>J33+L22</f>
        <v>233.4691186263027</v>
      </c>
      <c r="M33" s="1754">
        <f>K33+M22</f>
        <v>233.91857675498943</v>
      </c>
      <c r="N33" s="1753"/>
      <c r="O33" s="1754"/>
      <c r="P33" s="1754"/>
      <c r="Q33" s="1754"/>
      <c r="R33" s="1754"/>
    </row>
    <row r="34" spans="1:24" s="1732" customFormat="1" ht="30.6" customHeight="1">
      <c r="A34" s="1733" t="s">
        <v>18</v>
      </c>
      <c r="B34" s="1733" t="s">
        <v>730</v>
      </c>
      <c r="C34" s="1734">
        <v>11</v>
      </c>
      <c r="D34" s="1735" t="s">
        <v>508</v>
      </c>
      <c r="E34" s="1736" t="s">
        <v>136</v>
      </c>
      <c r="F34" s="1737" t="s">
        <v>327</v>
      </c>
      <c r="G34" s="1737" t="s">
        <v>40</v>
      </c>
      <c r="H34" s="1759">
        <v>962.16729885251311</v>
      </c>
      <c r="I34" s="1761">
        <v>45809</v>
      </c>
      <c r="J34" s="1760">
        <v>64</v>
      </c>
      <c r="K34" s="1760">
        <v>60</v>
      </c>
      <c r="L34" s="1742">
        <f t="shared" si="3"/>
        <v>221.804</v>
      </c>
      <c r="M34" s="1742">
        <f t="shared" si="3"/>
        <v>208.07</v>
      </c>
      <c r="N34" s="1741"/>
      <c r="O34" s="1742"/>
      <c r="P34" s="1742"/>
      <c r="Q34" s="1742"/>
      <c r="R34" s="1742"/>
    </row>
    <row r="35" spans="1:24" s="1732" customFormat="1" ht="30.6" customHeight="1">
      <c r="A35" s="1733" t="s">
        <v>18</v>
      </c>
      <c r="B35" s="1733" t="s">
        <v>715</v>
      </c>
      <c r="C35" s="1734">
        <v>1</v>
      </c>
      <c r="D35" s="1735" t="s">
        <v>715</v>
      </c>
      <c r="E35" s="1736" t="s">
        <v>136</v>
      </c>
      <c r="F35" s="1737" t="s">
        <v>327</v>
      </c>
      <c r="G35" s="1737" t="s">
        <v>41</v>
      </c>
      <c r="H35" s="1762">
        <v>31107.790052372686</v>
      </c>
      <c r="I35" s="1761">
        <v>45839</v>
      </c>
      <c r="J35" s="1740">
        <v>2594.0569999999998</v>
      </c>
      <c r="K35" s="1760">
        <v>2805.5522574800029</v>
      </c>
      <c r="L35" s="1740">
        <f>J35+L24</f>
        <v>10181.725999999999</v>
      </c>
      <c r="M35" s="1740">
        <f>K35+M24</f>
        <v>10968.142600300003</v>
      </c>
      <c r="N35" s="1741"/>
      <c r="O35" s="1742"/>
      <c r="P35" s="1742"/>
      <c r="Q35" s="1742"/>
      <c r="R35" s="1742"/>
    </row>
    <row r="36" spans="1:24" s="1732" customFormat="1" ht="30.6" customHeight="1">
      <c r="A36" s="1733" t="s">
        <v>18</v>
      </c>
      <c r="B36" s="1743" t="s">
        <v>716</v>
      </c>
      <c r="C36" s="1734">
        <v>2</v>
      </c>
      <c r="D36" s="1735" t="s">
        <v>717</v>
      </c>
      <c r="E36" s="1736" t="s">
        <v>136</v>
      </c>
      <c r="F36" s="1737" t="s">
        <v>327</v>
      </c>
      <c r="G36" s="1737" t="s">
        <v>718</v>
      </c>
      <c r="H36" s="1744">
        <v>3713.109806620002</v>
      </c>
      <c r="I36" s="1761">
        <v>45839</v>
      </c>
      <c r="J36" s="1740">
        <v>321.18400000000003</v>
      </c>
      <c r="K36" s="1760">
        <v>361.65420000000273</v>
      </c>
      <c r="L36" s="1740">
        <f>J36+L25</f>
        <v>1071.2909999999999</v>
      </c>
      <c r="M36" s="1740">
        <f>K36+M25</f>
        <v>1376.9503645100051</v>
      </c>
      <c r="N36" s="1741"/>
      <c r="O36" s="1742"/>
      <c r="P36" s="1742"/>
      <c r="Q36" s="1742"/>
      <c r="R36" s="1742"/>
    </row>
    <row r="37" spans="1:24" s="1732" customFormat="1" ht="30.6" customHeight="1">
      <c r="A37" s="1733" t="s">
        <v>18</v>
      </c>
      <c r="B37" s="1743" t="s">
        <v>716</v>
      </c>
      <c r="C37" s="1734">
        <v>3</v>
      </c>
      <c r="D37" s="1745" t="s">
        <v>719</v>
      </c>
      <c r="E37" s="1736" t="s">
        <v>133</v>
      </c>
      <c r="F37" s="1737"/>
      <c r="G37" s="1737"/>
      <c r="H37" s="1746">
        <v>0.11899999999999999</v>
      </c>
      <c r="I37" s="1761">
        <v>45839</v>
      </c>
      <c r="J37" s="1747">
        <v>0.124</v>
      </c>
      <c r="K37" s="1747">
        <f>K36/K35</f>
        <v>0.12890659906112281</v>
      </c>
      <c r="L37" s="1747">
        <f>L36/L35</f>
        <v>0.10521703294706615</v>
      </c>
      <c r="M37" s="1747">
        <f>M36/M35</f>
        <v>0.12554088825142942</v>
      </c>
      <c r="N37" s="1741"/>
      <c r="O37" s="1742"/>
      <c r="P37" s="1742"/>
      <c r="Q37" s="1742"/>
      <c r="R37" s="1742"/>
    </row>
    <row r="38" spans="1:24" s="1732" customFormat="1" ht="30.6" customHeight="1">
      <c r="A38" s="1733" t="s">
        <v>18</v>
      </c>
      <c r="B38" s="1735" t="s">
        <v>720</v>
      </c>
      <c r="C38" s="1734">
        <v>4</v>
      </c>
      <c r="D38" s="1735" t="s">
        <v>41</v>
      </c>
      <c r="E38" s="1736" t="s">
        <v>133</v>
      </c>
      <c r="F38" s="1737" t="s">
        <v>327</v>
      </c>
      <c r="G38" s="1737" t="s">
        <v>41</v>
      </c>
      <c r="H38" s="1748">
        <v>0.45454176016007819</v>
      </c>
      <c r="I38" s="1761">
        <v>45839</v>
      </c>
      <c r="J38" s="1749" t="s">
        <v>41</v>
      </c>
      <c r="K38" s="1749" t="s">
        <v>41</v>
      </c>
      <c r="L38" s="1750">
        <v>0.47810000000000002</v>
      </c>
      <c r="M38" s="1750">
        <v>0.38521698955143724</v>
      </c>
      <c r="N38" s="1741"/>
      <c r="O38" s="1742"/>
      <c r="P38" s="1742"/>
      <c r="Q38" s="1742"/>
      <c r="R38" s="1742"/>
    </row>
    <row r="39" spans="1:24" s="1732" customFormat="1" ht="30.6" customHeight="1">
      <c r="A39" s="1733" t="s">
        <v>18</v>
      </c>
      <c r="B39" s="1735" t="s">
        <v>721</v>
      </c>
      <c r="C39" s="1734">
        <v>5</v>
      </c>
      <c r="D39" s="1735" t="s">
        <v>41</v>
      </c>
      <c r="E39" s="1736" t="s">
        <v>133</v>
      </c>
      <c r="F39" s="1737" t="s">
        <v>722</v>
      </c>
      <c r="G39" s="1737" t="s">
        <v>41</v>
      </c>
      <c r="H39" s="1748">
        <v>9.9467434385779166E-2</v>
      </c>
      <c r="I39" s="1761">
        <v>45839</v>
      </c>
      <c r="J39" s="1749" t="s">
        <v>41</v>
      </c>
      <c r="K39" s="1749" t="s">
        <v>41</v>
      </c>
      <c r="L39" s="1750">
        <v>9.64E-2</v>
      </c>
      <c r="M39" s="1750">
        <v>7.8662648901678692E-2</v>
      </c>
      <c r="N39" s="1741"/>
      <c r="O39" s="1742"/>
      <c r="P39" s="1742"/>
      <c r="Q39" s="1742"/>
      <c r="R39" s="1742"/>
    </row>
    <row r="40" spans="1:24" s="1732" customFormat="1" ht="30.6" customHeight="1">
      <c r="A40" s="1733" t="s">
        <v>18</v>
      </c>
      <c r="B40" s="1733" t="s">
        <v>723</v>
      </c>
      <c r="C40" s="1734">
        <v>6</v>
      </c>
      <c r="D40" s="1735" t="s">
        <v>724</v>
      </c>
      <c r="E40" s="1736" t="s">
        <v>133</v>
      </c>
      <c r="F40" s="1737" t="s">
        <v>327</v>
      </c>
      <c r="G40" s="1737" t="s">
        <v>725</v>
      </c>
      <c r="H40" s="1755">
        <v>1</v>
      </c>
      <c r="I40" s="1761">
        <v>45839</v>
      </c>
      <c r="J40" s="1755">
        <v>1</v>
      </c>
      <c r="K40" s="1756">
        <f>K41/J41</f>
        <v>0.99879879879879885</v>
      </c>
      <c r="L40" s="1755">
        <v>1</v>
      </c>
      <c r="M40" s="1768">
        <f>M41/L41</f>
        <v>0.96494323676175198</v>
      </c>
      <c r="N40" s="1741"/>
      <c r="O40" s="1742"/>
      <c r="P40" s="1742"/>
      <c r="Q40" s="1742"/>
      <c r="R40" s="1742"/>
    </row>
    <row r="41" spans="1:24" s="1732" customFormat="1" ht="30.6" customHeight="1">
      <c r="A41" s="1733" t="s">
        <v>18</v>
      </c>
      <c r="B41" s="1733" t="s">
        <v>723</v>
      </c>
      <c r="C41" s="1734">
        <v>7</v>
      </c>
      <c r="D41" s="1735" t="s">
        <v>726</v>
      </c>
      <c r="E41" s="1736" t="s">
        <v>727</v>
      </c>
      <c r="F41" s="1737" t="s">
        <v>327</v>
      </c>
      <c r="G41" s="1737" t="s">
        <v>725</v>
      </c>
      <c r="H41" s="1765"/>
      <c r="I41" s="1761">
        <v>45839</v>
      </c>
      <c r="J41" s="1758">
        <v>3330</v>
      </c>
      <c r="K41" s="1758">
        <v>3326</v>
      </c>
      <c r="L41" s="1758">
        <f>J41+L30</f>
        <v>12455.617191407076</v>
      </c>
      <c r="M41" s="1758">
        <f>K41+M30</f>
        <v>12018.963568541667</v>
      </c>
      <c r="N41" s="1753"/>
      <c r="O41" s="1754"/>
      <c r="P41" s="1754"/>
      <c r="Q41" s="1754"/>
      <c r="R41" s="1754"/>
      <c r="S41" s="1731"/>
      <c r="T41" s="1731"/>
      <c r="U41" s="1731"/>
      <c r="V41" s="1731"/>
      <c r="W41" s="1731"/>
      <c r="X41" s="1731"/>
    </row>
    <row r="42" spans="1:24" s="1732" customFormat="1" ht="30.6" customHeight="1">
      <c r="A42" s="1733" t="s">
        <v>18</v>
      </c>
      <c r="B42" s="1733" t="s">
        <v>723</v>
      </c>
      <c r="C42" s="1734">
        <v>8</v>
      </c>
      <c r="D42" s="1735" t="s">
        <v>728</v>
      </c>
      <c r="E42" s="1736" t="s">
        <v>133</v>
      </c>
      <c r="F42" s="1737" t="s">
        <v>327</v>
      </c>
      <c r="G42" s="1737" t="s">
        <v>725</v>
      </c>
      <c r="H42" s="1755">
        <v>1</v>
      </c>
      <c r="I42" s="1761">
        <v>45839</v>
      </c>
      <c r="J42" s="1769">
        <v>1</v>
      </c>
      <c r="K42" s="1763">
        <f>K43/J43</f>
        <v>0.9493554420908954</v>
      </c>
      <c r="L42" s="1769">
        <v>1</v>
      </c>
      <c r="M42" s="1763">
        <f>M43/L43</f>
        <v>0.93581019527072518</v>
      </c>
      <c r="N42" s="1753"/>
      <c r="O42" s="1754"/>
      <c r="P42" s="1754"/>
      <c r="Q42" s="1754"/>
      <c r="R42" s="1754"/>
    </row>
    <row r="43" spans="1:24" s="1732" customFormat="1" ht="30.6" customHeight="1">
      <c r="A43" s="1733" t="s">
        <v>18</v>
      </c>
      <c r="B43" s="1733" t="s">
        <v>723</v>
      </c>
      <c r="C43" s="1734">
        <v>9</v>
      </c>
      <c r="D43" s="1735" t="s">
        <v>729</v>
      </c>
      <c r="E43" s="1736" t="s">
        <v>727</v>
      </c>
      <c r="F43" s="1737" t="s">
        <v>327</v>
      </c>
      <c r="G43" s="1737" t="s">
        <v>725</v>
      </c>
      <c r="H43" s="1765"/>
      <c r="I43" s="1761">
        <v>45839</v>
      </c>
      <c r="J43" s="1760">
        <v>989.05</v>
      </c>
      <c r="K43" s="1766">
        <v>938.96</v>
      </c>
      <c r="L43" s="1766">
        <f t="shared" ref="L43:M45" si="4">J43+L32</f>
        <v>3787.05</v>
      </c>
      <c r="M43" s="1766">
        <f t="shared" si="4"/>
        <v>3543.96</v>
      </c>
      <c r="N43" s="1753"/>
      <c r="O43" s="1754"/>
      <c r="P43" s="1754"/>
      <c r="Q43" s="1754"/>
      <c r="R43" s="1754"/>
      <c r="S43" s="1731"/>
      <c r="T43" s="1731"/>
    </row>
    <row r="44" spans="1:24" s="1732" customFormat="1" ht="30.6" customHeight="1">
      <c r="A44" s="1733" t="s">
        <v>18</v>
      </c>
      <c r="B44" s="1733" t="s">
        <v>730</v>
      </c>
      <c r="C44" s="1734">
        <v>10</v>
      </c>
      <c r="D44" s="1735" t="s">
        <v>504</v>
      </c>
      <c r="E44" s="1736" t="s">
        <v>136</v>
      </c>
      <c r="F44" s="1737" t="s">
        <v>327</v>
      </c>
      <c r="G44" s="1737" t="s">
        <v>40</v>
      </c>
      <c r="H44" s="1759">
        <v>1174.3420820195504</v>
      </c>
      <c r="I44" s="1761">
        <v>45839</v>
      </c>
      <c r="J44" s="1760">
        <f>[2]Labor!$AN$158/1000000</f>
        <v>76.93047373230165</v>
      </c>
      <c r="K44" s="1760">
        <f>[2]Labor!$AT$158/1000000</f>
        <v>79.172603462630633</v>
      </c>
      <c r="L44" s="1760">
        <f>J44+L33</f>
        <v>310.39959235860437</v>
      </c>
      <c r="M44" s="1760">
        <f>K44+M33</f>
        <v>313.09118021762004</v>
      </c>
      <c r="N44" s="1741"/>
      <c r="O44" s="1742"/>
      <c r="P44" s="1742"/>
      <c r="Q44" s="1742"/>
      <c r="R44" s="1742"/>
    </row>
    <row r="45" spans="1:24" s="1732" customFormat="1" ht="30.6" customHeight="1">
      <c r="A45" s="1733" t="s">
        <v>18</v>
      </c>
      <c r="B45" s="1733" t="s">
        <v>730</v>
      </c>
      <c r="C45" s="1734">
        <v>11</v>
      </c>
      <c r="D45" s="1735" t="s">
        <v>508</v>
      </c>
      <c r="E45" s="1736" t="s">
        <v>136</v>
      </c>
      <c r="F45" s="1737" t="s">
        <v>327</v>
      </c>
      <c r="G45" s="1737" t="s">
        <v>40</v>
      </c>
      <c r="H45" s="1759">
        <v>962.16729885251311</v>
      </c>
      <c r="I45" s="1761">
        <v>45839</v>
      </c>
      <c r="J45" s="1760">
        <v>64.23</v>
      </c>
      <c r="K45" s="1760">
        <v>59.368000000000002</v>
      </c>
      <c r="L45" s="1760">
        <f t="shared" si="4"/>
        <v>286.03399999999999</v>
      </c>
      <c r="M45" s="1760">
        <f t="shared" si="4"/>
        <v>267.43799999999999</v>
      </c>
      <c r="N45" s="1741"/>
      <c r="O45" s="1742"/>
      <c r="P45" s="1742"/>
      <c r="Q45" s="1742"/>
      <c r="R45" s="1742"/>
    </row>
    <row r="46" spans="1:24" s="1732" customFormat="1" ht="30.6" customHeight="1">
      <c r="A46" s="1733" t="s">
        <v>18</v>
      </c>
      <c r="B46" s="1733" t="s">
        <v>715</v>
      </c>
      <c r="C46" s="1734">
        <v>1</v>
      </c>
      <c r="D46" s="1735" t="s">
        <v>715</v>
      </c>
      <c r="E46" s="1736" t="s">
        <v>136</v>
      </c>
      <c r="F46" s="1737" t="s">
        <v>327</v>
      </c>
      <c r="G46" s="1737" t="s">
        <v>41</v>
      </c>
      <c r="H46" s="1762">
        <v>31107.790052372686</v>
      </c>
      <c r="I46" s="1761">
        <v>45870</v>
      </c>
      <c r="J46" s="1740">
        <v>2705.2429999999999</v>
      </c>
      <c r="K46" s="1760">
        <v>2818.6770000000001</v>
      </c>
      <c r="L46" s="1740">
        <f>J46+L35</f>
        <v>12886.968999999999</v>
      </c>
      <c r="M46" s="1760">
        <f>K46+M35</f>
        <v>13786.819600300003</v>
      </c>
      <c r="N46" s="1741"/>
      <c r="O46" s="1742"/>
      <c r="P46" s="1742"/>
      <c r="Q46" s="1742"/>
      <c r="R46" s="1742"/>
    </row>
    <row r="47" spans="1:24" s="1732" customFormat="1" ht="42" customHeight="1">
      <c r="A47" s="1733" t="s">
        <v>18</v>
      </c>
      <c r="B47" s="1743" t="s">
        <v>716</v>
      </c>
      <c r="C47" s="1734">
        <v>2</v>
      </c>
      <c r="D47" s="1735" t="s">
        <v>717</v>
      </c>
      <c r="E47" s="1736" t="s">
        <v>136</v>
      </c>
      <c r="F47" s="1737" t="s">
        <v>327</v>
      </c>
      <c r="G47" s="1737" t="s">
        <v>718</v>
      </c>
      <c r="H47" s="1744">
        <v>3713.109806620002</v>
      </c>
      <c r="I47" s="1761">
        <v>45870</v>
      </c>
      <c r="J47" s="1740">
        <v>341.79899999999998</v>
      </c>
      <c r="K47" s="1760">
        <v>402.83100000000002</v>
      </c>
      <c r="L47" s="1740">
        <f>J47+L36</f>
        <v>1413.09</v>
      </c>
      <c r="M47" s="1760">
        <f>K47+M36</f>
        <v>1779.781364510005</v>
      </c>
      <c r="N47" s="1741"/>
      <c r="O47" s="1742"/>
      <c r="P47" s="1742"/>
      <c r="Q47" s="1742"/>
      <c r="R47" s="1742"/>
    </row>
    <row r="48" spans="1:24" s="1732" customFormat="1" ht="30.6" customHeight="1">
      <c r="A48" s="1733" t="s">
        <v>18</v>
      </c>
      <c r="B48" s="1743" t="s">
        <v>716</v>
      </c>
      <c r="C48" s="1734">
        <v>3</v>
      </c>
      <c r="D48" s="1745" t="s">
        <v>719</v>
      </c>
      <c r="E48" s="1736" t="s">
        <v>133</v>
      </c>
      <c r="F48" s="1737"/>
      <c r="G48" s="1737"/>
      <c r="H48" s="1746">
        <v>0.11899999999999999</v>
      </c>
      <c r="I48" s="1761">
        <v>45870</v>
      </c>
      <c r="J48" s="1747">
        <v>0.126</v>
      </c>
      <c r="K48" s="1747">
        <f>K47/K46</f>
        <v>0.14291492072344578</v>
      </c>
      <c r="L48" s="1747">
        <v>0.126</v>
      </c>
      <c r="M48" s="1747">
        <f>M47/M46</f>
        <v>0.1290929609662316</v>
      </c>
      <c r="N48" s="1741"/>
      <c r="O48" s="1742"/>
      <c r="P48" s="1742"/>
      <c r="Q48" s="1742"/>
      <c r="R48" s="1742"/>
    </row>
    <row r="49" spans="1:24" s="1732" customFormat="1" ht="30.6" customHeight="1">
      <c r="A49" s="1733" t="s">
        <v>18</v>
      </c>
      <c r="B49" s="1735" t="s">
        <v>720</v>
      </c>
      <c r="C49" s="1734">
        <v>4</v>
      </c>
      <c r="D49" s="1735" t="s">
        <v>41</v>
      </c>
      <c r="E49" s="1736" t="s">
        <v>133</v>
      </c>
      <c r="F49" s="1737" t="s">
        <v>327</v>
      </c>
      <c r="G49" s="1737" t="s">
        <v>41</v>
      </c>
      <c r="H49" s="1748">
        <v>0.45454176016007819</v>
      </c>
      <c r="I49" s="1761">
        <v>45870</v>
      </c>
      <c r="J49" s="1749" t="s">
        <v>41</v>
      </c>
      <c r="K49" s="1749" t="s">
        <v>41</v>
      </c>
      <c r="L49" s="1750">
        <v>0.46850000000000003</v>
      </c>
      <c r="M49" s="1750">
        <v>0.38520977605927498</v>
      </c>
      <c r="N49" s="1741"/>
      <c r="O49" s="1742"/>
      <c r="P49" s="1742"/>
      <c r="Q49" s="1742"/>
      <c r="R49" s="1742"/>
    </row>
    <row r="50" spans="1:24" s="1732" customFormat="1" ht="30.6" customHeight="1">
      <c r="A50" s="1733" t="s">
        <v>18</v>
      </c>
      <c r="B50" s="1735" t="s">
        <v>721</v>
      </c>
      <c r="C50" s="1734">
        <v>5</v>
      </c>
      <c r="D50" s="1735" t="s">
        <v>41</v>
      </c>
      <c r="E50" s="1736" t="s">
        <v>133</v>
      </c>
      <c r="F50" s="1737" t="s">
        <v>722</v>
      </c>
      <c r="G50" s="1737" t="s">
        <v>41</v>
      </c>
      <c r="H50" s="1748">
        <v>9.9467434385779166E-2</v>
      </c>
      <c r="I50" s="1761">
        <v>45870</v>
      </c>
      <c r="J50" s="1749" t="s">
        <v>41</v>
      </c>
      <c r="K50" s="1749" t="s">
        <v>41</v>
      </c>
      <c r="L50" s="1750">
        <v>9.6600000000000005E-2</v>
      </c>
      <c r="M50" s="1750">
        <v>8.0885878906578043E-2</v>
      </c>
      <c r="N50" s="1741"/>
      <c r="O50" s="1742"/>
      <c r="P50" s="1742"/>
      <c r="Q50" s="1742"/>
      <c r="R50" s="1742"/>
    </row>
    <row r="51" spans="1:24" s="1732" customFormat="1" ht="30.6" customHeight="1">
      <c r="A51" s="1733" t="s">
        <v>18</v>
      </c>
      <c r="B51" s="1733" t="s">
        <v>723</v>
      </c>
      <c r="C51" s="1734">
        <v>6</v>
      </c>
      <c r="D51" s="1735" t="s">
        <v>724</v>
      </c>
      <c r="E51" s="1736" t="s">
        <v>133</v>
      </c>
      <c r="F51" s="1737" t="s">
        <v>327</v>
      </c>
      <c r="G51" s="1737" t="s">
        <v>725</v>
      </c>
      <c r="H51" s="1755">
        <v>1</v>
      </c>
      <c r="I51" s="1761">
        <v>45870</v>
      </c>
      <c r="J51" s="1769">
        <v>1</v>
      </c>
      <c r="K51" s="1763">
        <f>K52/J52</f>
        <v>1.0012383900928792</v>
      </c>
      <c r="L51" s="1769">
        <v>1</v>
      </c>
      <c r="M51" s="1763">
        <f>M52/L52</f>
        <v>0.9724171757103427</v>
      </c>
      <c r="N51" s="1753"/>
      <c r="O51" s="1754"/>
      <c r="P51" s="1754"/>
      <c r="Q51" s="1754"/>
      <c r="R51" s="1754"/>
    </row>
    <row r="52" spans="1:24" s="1732" customFormat="1" ht="30.6" customHeight="1">
      <c r="A52" s="1733" t="s">
        <v>18</v>
      </c>
      <c r="B52" s="1733" t="s">
        <v>723</v>
      </c>
      <c r="C52" s="1734">
        <v>7</v>
      </c>
      <c r="D52" s="1735" t="s">
        <v>726</v>
      </c>
      <c r="E52" s="1736" t="s">
        <v>727</v>
      </c>
      <c r="F52" s="1737" t="s">
        <v>327</v>
      </c>
      <c r="G52" s="1737" t="s">
        <v>725</v>
      </c>
      <c r="H52" s="1765"/>
      <c r="I52" s="1761">
        <v>45870</v>
      </c>
      <c r="J52" s="1766">
        <v>3230</v>
      </c>
      <c r="K52" s="1766">
        <v>3234</v>
      </c>
      <c r="L52" s="1758">
        <f>J52+L41</f>
        <v>15685.617191407076</v>
      </c>
      <c r="M52" s="1766">
        <f>K52+M41</f>
        <v>15252.963568541667</v>
      </c>
      <c r="N52" s="1753"/>
      <c r="O52" s="1754"/>
      <c r="P52" s="1754"/>
      <c r="Q52" s="1754"/>
      <c r="R52" s="1754"/>
      <c r="S52" s="1731"/>
      <c r="T52" s="1731"/>
      <c r="U52" s="1731"/>
      <c r="V52" s="1731"/>
      <c r="W52" s="1731"/>
      <c r="X52" s="1731"/>
    </row>
    <row r="53" spans="1:24" s="1732" customFormat="1" ht="30.6" customHeight="1">
      <c r="A53" s="1733" t="s">
        <v>18</v>
      </c>
      <c r="B53" s="1733" t="s">
        <v>723</v>
      </c>
      <c r="C53" s="1734">
        <v>8</v>
      </c>
      <c r="D53" s="1735" t="s">
        <v>728</v>
      </c>
      <c r="E53" s="1736" t="s">
        <v>133</v>
      </c>
      <c r="F53" s="1737" t="s">
        <v>327</v>
      </c>
      <c r="G53" s="1737" t="s">
        <v>725</v>
      </c>
      <c r="H53" s="1755">
        <v>1</v>
      </c>
      <c r="I53" s="1761">
        <v>45870</v>
      </c>
      <c r="J53" s="1755">
        <v>1</v>
      </c>
      <c r="K53" s="1747">
        <f>K54/J54</f>
        <v>0.95322245322245325</v>
      </c>
      <c r="L53" s="1755">
        <v>1</v>
      </c>
      <c r="M53" s="1747">
        <f>M54/L54</f>
        <v>0.93933734115244094</v>
      </c>
      <c r="N53" s="1741"/>
      <c r="O53" s="1742"/>
      <c r="P53" s="1742"/>
      <c r="Q53" s="1742"/>
      <c r="R53" s="1742"/>
    </row>
    <row r="54" spans="1:24" s="1732" customFormat="1" ht="30.6" customHeight="1">
      <c r="A54" s="1733" t="s">
        <v>18</v>
      </c>
      <c r="B54" s="1733" t="s">
        <v>723</v>
      </c>
      <c r="C54" s="1734">
        <v>9</v>
      </c>
      <c r="D54" s="1735" t="s">
        <v>729</v>
      </c>
      <c r="E54" s="1736" t="s">
        <v>727</v>
      </c>
      <c r="F54" s="1737" t="s">
        <v>327</v>
      </c>
      <c r="G54" s="1737" t="s">
        <v>725</v>
      </c>
      <c r="H54" s="1765"/>
      <c r="I54" s="1761">
        <v>45870</v>
      </c>
      <c r="J54" s="1760">
        <v>962</v>
      </c>
      <c r="K54" s="1766">
        <v>917</v>
      </c>
      <c r="L54" s="1758">
        <f t="shared" ref="L54:M56" si="5">J54+L43</f>
        <v>4749.05</v>
      </c>
      <c r="M54" s="1766">
        <f t="shared" si="5"/>
        <v>4460.96</v>
      </c>
      <c r="N54" s="1753"/>
      <c r="O54" s="1754"/>
      <c r="P54" s="1754"/>
      <c r="Q54" s="1754"/>
      <c r="R54" s="1754"/>
      <c r="S54" s="1731"/>
      <c r="T54" s="1731"/>
    </row>
    <row r="55" spans="1:24" s="1732" customFormat="1" ht="30.6" customHeight="1">
      <c r="A55" s="1733" t="s">
        <v>18</v>
      </c>
      <c r="B55" s="1733" t="s">
        <v>730</v>
      </c>
      <c r="C55" s="1734">
        <v>10</v>
      </c>
      <c r="D55" s="1735" t="s">
        <v>504</v>
      </c>
      <c r="E55" s="1736" t="s">
        <v>136</v>
      </c>
      <c r="F55" s="1737" t="s">
        <v>327</v>
      </c>
      <c r="G55" s="1737" t="s">
        <v>40</v>
      </c>
      <c r="H55" s="1759">
        <v>1174.3420820195504</v>
      </c>
      <c r="I55" s="1761">
        <v>45870</v>
      </c>
      <c r="J55" s="1760">
        <f>[2]Labor!$AY$158/1000000</f>
        <v>77.494846762487199</v>
      </c>
      <c r="K55" s="1760">
        <f>[2]Labor!$BE$158/1000000</f>
        <v>78.433837704217225</v>
      </c>
      <c r="L55" s="1760">
        <f>J55+L44</f>
        <v>387.89443912109158</v>
      </c>
      <c r="M55" s="1760">
        <f>K55+M44+2.5</f>
        <v>394.02501792183728</v>
      </c>
      <c r="N55" s="1741"/>
      <c r="O55" s="1742"/>
      <c r="P55" s="1742"/>
      <c r="Q55" s="1742"/>
      <c r="R55" s="1742"/>
    </row>
    <row r="56" spans="1:24" s="1732" customFormat="1" ht="30.6" customHeight="1">
      <c r="A56" s="1733" t="s">
        <v>18</v>
      </c>
      <c r="B56" s="1733" t="s">
        <v>730</v>
      </c>
      <c r="C56" s="1734">
        <v>11</v>
      </c>
      <c r="D56" s="1735" t="s">
        <v>508</v>
      </c>
      <c r="E56" s="1736" t="s">
        <v>136</v>
      </c>
      <c r="F56" s="1737" t="s">
        <v>327</v>
      </c>
      <c r="G56" s="1737" t="s">
        <v>40</v>
      </c>
      <c r="H56" s="1759">
        <v>962.16729885251311</v>
      </c>
      <c r="I56" s="1761">
        <v>45870</v>
      </c>
      <c r="J56" s="1760">
        <v>64.2</v>
      </c>
      <c r="K56" s="1760">
        <v>58.3</v>
      </c>
      <c r="L56" s="1760">
        <f t="shared" si="5"/>
        <v>350.23399999999998</v>
      </c>
      <c r="M56" s="1760">
        <f t="shared" si="5"/>
        <v>325.738</v>
      </c>
      <c r="N56" s="1741"/>
      <c r="O56" s="1742"/>
      <c r="P56" s="1742"/>
      <c r="Q56" s="1742"/>
      <c r="R56" s="1742"/>
    </row>
    <row r="57" spans="1:24" s="1732" customFormat="1" ht="30.6" customHeight="1">
      <c r="A57" s="1733" t="s">
        <v>18</v>
      </c>
      <c r="B57" s="1733" t="s">
        <v>715</v>
      </c>
      <c r="C57" s="1734">
        <v>1</v>
      </c>
      <c r="D57" s="1735" t="s">
        <v>715</v>
      </c>
      <c r="E57" s="1736" t="s">
        <v>136</v>
      </c>
      <c r="F57" s="1737" t="s">
        <v>327</v>
      </c>
      <c r="G57" s="1737" t="s">
        <v>41</v>
      </c>
      <c r="H57" s="1762">
        <v>31107.790052372686</v>
      </c>
      <c r="I57" s="1761">
        <v>45901</v>
      </c>
      <c r="J57" s="1740">
        <v>2654.9560000000001</v>
      </c>
      <c r="K57" s="1760">
        <v>2989.0854893100004</v>
      </c>
      <c r="L57" s="1740">
        <f>J57+L46</f>
        <v>15541.924999999999</v>
      </c>
      <c r="M57" s="1760">
        <f>K57+M46</f>
        <v>16775.905089610002</v>
      </c>
      <c r="N57" s="1741"/>
      <c r="O57" s="1742"/>
      <c r="P57" s="1742"/>
      <c r="Q57" s="1742"/>
      <c r="R57" s="1742"/>
    </row>
    <row r="58" spans="1:24" s="1732" customFormat="1" ht="30.6" customHeight="1">
      <c r="A58" s="1733" t="s">
        <v>18</v>
      </c>
      <c r="B58" s="1743" t="s">
        <v>716</v>
      </c>
      <c r="C58" s="1734">
        <v>2</v>
      </c>
      <c r="D58" s="1735" t="s">
        <v>717</v>
      </c>
      <c r="E58" s="1736" t="s">
        <v>136</v>
      </c>
      <c r="F58" s="1737" t="s">
        <v>327</v>
      </c>
      <c r="G58" s="1737" t="s">
        <v>718</v>
      </c>
      <c r="H58" s="1744">
        <v>3713.109806620002</v>
      </c>
      <c r="I58" s="1761">
        <v>45901</v>
      </c>
      <c r="J58" s="1740">
        <v>301.96699999999998</v>
      </c>
      <c r="K58" s="1760">
        <v>331.44439408</v>
      </c>
      <c r="L58" s="1740">
        <f>J58+L47</f>
        <v>1715.0569999999998</v>
      </c>
      <c r="M58" s="1760">
        <f>K58+M47</f>
        <v>2111.2257585900052</v>
      </c>
      <c r="N58" s="1741"/>
      <c r="O58" s="1742"/>
      <c r="P58" s="1742"/>
      <c r="Q58" s="1742"/>
      <c r="R58" s="1742"/>
    </row>
    <row r="59" spans="1:24" s="1732" customFormat="1" ht="30.6" customHeight="1">
      <c r="A59" s="1733" t="s">
        <v>18</v>
      </c>
      <c r="B59" s="1743" t="s">
        <v>716</v>
      </c>
      <c r="C59" s="1734">
        <v>3</v>
      </c>
      <c r="D59" s="1745" t="s">
        <v>719</v>
      </c>
      <c r="E59" s="1736" t="s">
        <v>133</v>
      </c>
      <c r="F59" s="1737"/>
      <c r="G59" s="1737"/>
      <c r="H59" s="1746">
        <v>0.11899999999999999</v>
      </c>
      <c r="I59" s="1761">
        <v>45901</v>
      </c>
      <c r="J59" s="1747">
        <f>J58/J57</f>
        <v>0.11373710148115448</v>
      </c>
      <c r="K59" s="1747">
        <f>K58/K57</f>
        <v>0.11088488277279433</v>
      </c>
      <c r="L59" s="1747">
        <f>L58/L57</f>
        <v>0.11035035878760191</v>
      </c>
      <c r="M59" s="1747">
        <f>M58/M57</f>
        <v>0.12584869473883545</v>
      </c>
      <c r="N59" s="1741"/>
      <c r="O59" s="1742"/>
      <c r="P59" s="1742"/>
      <c r="Q59" s="1742"/>
      <c r="R59" s="1742"/>
    </row>
    <row r="60" spans="1:24" s="1732" customFormat="1" ht="30.6" customHeight="1">
      <c r="A60" s="1733" t="s">
        <v>18</v>
      </c>
      <c r="B60" s="1735" t="s">
        <v>720</v>
      </c>
      <c r="C60" s="1734">
        <v>4</v>
      </c>
      <c r="D60" s="1735" t="s">
        <v>41</v>
      </c>
      <c r="E60" s="1736" t="s">
        <v>133</v>
      </c>
      <c r="F60" s="1737" t="s">
        <v>327</v>
      </c>
      <c r="G60" s="1737" t="s">
        <v>41</v>
      </c>
      <c r="H60" s="1748">
        <v>0.45454176016007819</v>
      </c>
      <c r="I60" s="1761">
        <v>45901</v>
      </c>
      <c r="J60" s="1751" t="s">
        <v>41</v>
      </c>
      <c r="K60" s="1751" t="s">
        <v>41</v>
      </c>
      <c r="L60" s="1752">
        <v>0.47160000000000002</v>
      </c>
      <c r="M60" s="1764">
        <v>0.39812535300652419</v>
      </c>
      <c r="N60" s="1753"/>
      <c r="O60" s="1754"/>
      <c r="P60" s="1754"/>
      <c r="Q60" s="1754"/>
      <c r="R60" s="1754"/>
    </row>
    <row r="61" spans="1:24" s="1732" customFormat="1" ht="30.6" customHeight="1">
      <c r="A61" s="1733" t="s">
        <v>18</v>
      </c>
      <c r="B61" s="1735" t="s">
        <v>721</v>
      </c>
      <c r="C61" s="1734">
        <v>5</v>
      </c>
      <c r="D61" s="1735" t="s">
        <v>41</v>
      </c>
      <c r="E61" s="1736" t="s">
        <v>133</v>
      </c>
      <c r="F61" s="1737" t="s">
        <v>722</v>
      </c>
      <c r="G61" s="1737" t="s">
        <v>41</v>
      </c>
      <c r="H61" s="1748">
        <v>9.9467434385779166E-2</v>
      </c>
      <c r="I61" s="1761">
        <v>45901</v>
      </c>
      <c r="J61" s="1749" t="s">
        <v>41</v>
      </c>
      <c r="K61" s="1749" t="s">
        <v>41</v>
      </c>
      <c r="L61" s="1750">
        <v>9.8500000000000004E-2</v>
      </c>
      <c r="M61" s="1770">
        <v>8.3289882223762907E-2</v>
      </c>
      <c r="N61" s="1741"/>
      <c r="O61" s="1742"/>
      <c r="P61" s="1742"/>
      <c r="Q61" s="1742"/>
      <c r="R61" s="1742"/>
    </row>
    <row r="62" spans="1:24" s="1732" customFormat="1" ht="30.6" customHeight="1">
      <c r="A62" s="1733" t="s">
        <v>18</v>
      </c>
      <c r="B62" s="1733" t="s">
        <v>723</v>
      </c>
      <c r="C62" s="1734">
        <v>6</v>
      </c>
      <c r="D62" s="1735" t="s">
        <v>724</v>
      </c>
      <c r="E62" s="1736" t="s">
        <v>133</v>
      </c>
      <c r="F62" s="1737" t="s">
        <v>327</v>
      </c>
      <c r="G62" s="1737" t="s">
        <v>725</v>
      </c>
      <c r="H62" s="1755">
        <v>1</v>
      </c>
      <c r="I62" s="1761">
        <v>45901</v>
      </c>
      <c r="J62" s="1755">
        <v>1</v>
      </c>
      <c r="K62" s="1756">
        <f>K63/J63</f>
        <v>0.99254159495123351</v>
      </c>
      <c r="L62" s="1755">
        <v>1</v>
      </c>
      <c r="M62" s="1747">
        <f>M63/L63</f>
        <v>0.97607642494181535</v>
      </c>
      <c r="N62" s="1741"/>
      <c r="O62" s="1742"/>
      <c r="P62" s="1742"/>
      <c r="Q62" s="1742"/>
      <c r="R62" s="1742"/>
    </row>
    <row r="63" spans="1:24" s="1732" customFormat="1" ht="30.6" customHeight="1">
      <c r="A63" s="1733" t="s">
        <v>18</v>
      </c>
      <c r="B63" s="1733" t="s">
        <v>723</v>
      </c>
      <c r="C63" s="1734">
        <v>7</v>
      </c>
      <c r="D63" s="1735" t="s">
        <v>726</v>
      </c>
      <c r="E63" s="1736" t="s">
        <v>727</v>
      </c>
      <c r="F63" s="1737" t="s">
        <v>327</v>
      </c>
      <c r="G63" s="1737" t="s">
        <v>725</v>
      </c>
      <c r="H63" s="1765"/>
      <c r="I63" s="1761">
        <v>45901</v>
      </c>
      <c r="J63" s="1766">
        <v>3486</v>
      </c>
      <c r="K63" s="1766">
        <v>3460</v>
      </c>
      <c r="L63" s="1758">
        <f>J63+L52</f>
        <v>19171.617191407076</v>
      </c>
      <c r="M63" s="1766">
        <f>K63+M52</f>
        <v>18712.963568541665</v>
      </c>
      <c r="N63" s="1753"/>
      <c r="O63" s="1754"/>
      <c r="P63" s="1754"/>
      <c r="Q63" s="1754"/>
      <c r="R63" s="1754"/>
      <c r="S63" s="1731"/>
      <c r="T63" s="1731"/>
      <c r="U63" s="1731"/>
      <c r="V63" s="1731"/>
      <c r="W63" s="1731"/>
      <c r="X63" s="1731"/>
    </row>
    <row r="64" spans="1:24" s="1732" customFormat="1" ht="30.6" customHeight="1">
      <c r="A64" s="1733" t="s">
        <v>18</v>
      </c>
      <c r="B64" s="1733" t="s">
        <v>723</v>
      </c>
      <c r="C64" s="1734">
        <v>8</v>
      </c>
      <c r="D64" s="1735" t="s">
        <v>728</v>
      </c>
      <c r="E64" s="1736" t="s">
        <v>133</v>
      </c>
      <c r="F64" s="1737" t="s">
        <v>327</v>
      </c>
      <c r="G64" s="1737" t="s">
        <v>725</v>
      </c>
      <c r="H64" s="1755">
        <v>1</v>
      </c>
      <c r="I64" s="1761">
        <v>45901</v>
      </c>
      <c r="J64" s="1755">
        <v>1</v>
      </c>
      <c r="K64" s="1747">
        <f>K65/J65</f>
        <v>0.97616468039003246</v>
      </c>
      <c r="L64" s="1755">
        <v>1</v>
      </c>
      <c r="M64" s="1747">
        <f>M65/L65</f>
        <v>0.94533017163106814</v>
      </c>
      <c r="N64" s="1741"/>
      <c r="O64" s="1742"/>
      <c r="P64" s="1742"/>
      <c r="Q64" s="1742"/>
      <c r="R64" s="1742"/>
    </row>
    <row r="65" spans="1:24" s="1732" customFormat="1" ht="30.6" customHeight="1">
      <c r="A65" s="1733" t="s">
        <v>18</v>
      </c>
      <c r="B65" s="1733" t="s">
        <v>723</v>
      </c>
      <c r="C65" s="1734">
        <v>9</v>
      </c>
      <c r="D65" s="1735" t="s">
        <v>729</v>
      </c>
      <c r="E65" s="1736" t="s">
        <v>727</v>
      </c>
      <c r="F65" s="1737" t="s">
        <v>327</v>
      </c>
      <c r="G65" s="1737" t="s">
        <v>725</v>
      </c>
      <c r="H65" s="1765"/>
      <c r="I65" s="1761">
        <v>45901</v>
      </c>
      <c r="J65" s="1760">
        <v>923</v>
      </c>
      <c r="K65" s="1766">
        <v>901</v>
      </c>
      <c r="L65" s="1758">
        <f t="shared" ref="L65" si="6">J65+L54</f>
        <v>5672.05</v>
      </c>
      <c r="M65" s="1766">
        <f t="shared" ref="M65" si="7">K65+M54</f>
        <v>5361.96</v>
      </c>
      <c r="N65" s="1753"/>
      <c r="O65" s="1754"/>
      <c r="P65" s="1754"/>
      <c r="Q65" s="1754"/>
      <c r="R65" s="1754"/>
      <c r="S65" s="1731"/>
      <c r="T65" s="1731"/>
    </row>
    <row r="66" spans="1:24" s="1732" customFormat="1" ht="30.6" customHeight="1">
      <c r="A66" s="1733" t="s">
        <v>18</v>
      </c>
      <c r="B66" s="1733" t="s">
        <v>730</v>
      </c>
      <c r="C66" s="1734">
        <v>10</v>
      </c>
      <c r="D66" s="1735" t="s">
        <v>504</v>
      </c>
      <c r="E66" s="1736" t="s">
        <v>136</v>
      </c>
      <c r="F66" s="1737" t="s">
        <v>327</v>
      </c>
      <c r="G66" s="1737" t="s">
        <v>40</v>
      </c>
      <c r="H66" s="1759">
        <v>1174.3420820195504</v>
      </c>
      <c r="I66" s="1761">
        <v>45901</v>
      </c>
      <c r="J66" s="1760">
        <f>[2]Labor!$BJ$158/1000000</f>
        <v>79.230781532760247</v>
      </c>
      <c r="K66" s="1760">
        <f>[2]Labor!$BP$158/1000000</f>
        <v>81.589801008795831</v>
      </c>
      <c r="L66" s="1760">
        <f>J66+L55</f>
        <v>467.12522065385184</v>
      </c>
      <c r="M66" s="1760">
        <f>K66+M55+2.5</f>
        <v>478.11481893063308</v>
      </c>
      <c r="N66" s="1741"/>
      <c r="O66" s="1742"/>
      <c r="P66" s="1742"/>
      <c r="Q66" s="1742"/>
      <c r="R66" s="1742"/>
    </row>
    <row r="67" spans="1:24" s="1732" customFormat="1" ht="30.6" customHeight="1">
      <c r="A67" s="1733" t="s">
        <v>18</v>
      </c>
      <c r="B67" s="1733" t="s">
        <v>730</v>
      </c>
      <c r="C67" s="1734">
        <v>11</v>
      </c>
      <c r="D67" s="1735" t="s">
        <v>508</v>
      </c>
      <c r="E67" s="1736" t="s">
        <v>136</v>
      </c>
      <c r="F67" s="1737" t="s">
        <v>327</v>
      </c>
      <c r="G67" s="1737" t="s">
        <v>40</v>
      </c>
      <c r="H67" s="1759">
        <v>962.16729885251311</v>
      </c>
      <c r="I67" s="1761">
        <v>45901</v>
      </c>
      <c r="J67" s="1760">
        <v>64.33</v>
      </c>
      <c r="K67" s="1760">
        <v>59.36</v>
      </c>
      <c r="L67" s="1760">
        <f t="shared" ref="L67" si="8">J67+L56</f>
        <v>414.56399999999996</v>
      </c>
      <c r="M67" s="1760">
        <f t="shared" ref="M67" si="9">K67+M56</f>
        <v>385.09800000000001</v>
      </c>
      <c r="N67" s="1741"/>
      <c r="O67" s="1742"/>
      <c r="P67" s="1742"/>
      <c r="Q67" s="1742"/>
      <c r="R67" s="1742"/>
    </row>
    <row r="68" spans="1:24" s="1732" customFormat="1" ht="30.6" customHeight="1">
      <c r="A68" s="1733" t="s">
        <v>18</v>
      </c>
      <c r="B68" s="1733" t="s">
        <v>715</v>
      </c>
      <c r="C68" s="1734">
        <v>1</v>
      </c>
      <c r="D68" s="1735" t="s">
        <v>715</v>
      </c>
      <c r="E68" s="1736" t="s">
        <v>136</v>
      </c>
      <c r="F68" s="1737" t="s">
        <v>327</v>
      </c>
      <c r="G68" s="1737" t="s">
        <v>41</v>
      </c>
      <c r="H68" s="1762">
        <v>31107.790052372686</v>
      </c>
      <c r="I68" s="1761">
        <v>45931</v>
      </c>
      <c r="J68" s="1760">
        <f>[3]SDM!$AD$10/1000</f>
        <v>2709.4375260482057</v>
      </c>
      <c r="K68" s="1760">
        <f>[3]SDM!$AE$10/1000</f>
        <v>2707.1967769599996</v>
      </c>
      <c r="L68" s="1740">
        <f>J68+L57</f>
        <v>18251.362526048204</v>
      </c>
      <c r="M68" s="1760">
        <f>K68+M57</f>
        <v>19483.101866570003</v>
      </c>
      <c r="N68" s="1741"/>
      <c r="O68" s="1742"/>
      <c r="P68" s="1742"/>
      <c r="Q68" s="1742"/>
      <c r="R68" s="1742"/>
    </row>
    <row r="69" spans="1:24" s="1732" customFormat="1" ht="30.6" customHeight="1">
      <c r="A69" s="1733" t="s">
        <v>18</v>
      </c>
      <c r="B69" s="1743" t="s">
        <v>716</v>
      </c>
      <c r="C69" s="1734">
        <v>2</v>
      </c>
      <c r="D69" s="1735" t="s">
        <v>717</v>
      </c>
      <c r="E69" s="1736" t="s">
        <v>136</v>
      </c>
      <c r="F69" s="1737" t="s">
        <v>327</v>
      </c>
      <c r="G69" s="1737" t="s">
        <v>718</v>
      </c>
      <c r="H69" s="1744">
        <v>3713.109806620002</v>
      </c>
      <c r="I69" s="1761">
        <v>45931</v>
      </c>
      <c r="J69" s="1766">
        <v>367.25403716998306</v>
      </c>
      <c r="K69" s="1766">
        <v>403.45160818999949</v>
      </c>
      <c r="L69" s="1758">
        <f>J69+L58</f>
        <v>2082.3110371699827</v>
      </c>
      <c r="M69" s="1766">
        <f>K69+M58</f>
        <v>2514.6773667800048</v>
      </c>
      <c r="N69" s="1753"/>
      <c r="O69" s="1754"/>
      <c r="P69" s="1754"/>
      <c r="Q69" s="1754"/>
      <c r="R69" s="1754"/>
    </row>
    <row r="70" spans="1:24" s="1732" customFormat="1" ht="30.6" customHeight="1">
      <c r="A70" s="1733" t="s">
        <v>18</v>
      </c>
      <c r="B70" s="1743" t="s">
        <v>716</v>
      </c>
      <c r="C70" s="1734">
        <v>3</v>
      </c>
      <c r="D70" s="1745" t="s">
        <v>719</v>
      </c>
      <c r="E70" s="1736" t="s">
        <v>133</v>
      </c>
      <c r="F70" s="1737"/>
      <c r="G70" s="1737"/>
      <c r="H70" s="1746">
        <v>0.11899999999999999</v>
      </c>
      <c r="I70" s="1761">
        <v>45931</v>
      </c>
      <c r="J70" s="1747">
        <f>J69/J68</f>
        <v>0.13554622818915255</v>
      </c>
      <c r="K70" s="1747">
        <f>K69/K68</f>
        <v>0.14902928801616283</v>
      </c>
      <c r="L70" s="1747">
        <f>L69/L68</f>
        <v>0.1140907170189691</v>
      </c>
      <c r="M70" s="1747">
        <f>M69/M68</f>
        <v>0.1290696616997524</v>
      </c>
      <c r="N70" s="1741"/>
      <c r="O70" s="1742"/>
      <c r="P70" s="1742"/>
      <c r="Q70" s="1742"/>
      <c r="R70" s="1742"/>
    </row>
    <row r="71" spans="1:24" s="1732" customFormat="1" ht="30.6" customHeight="1">
      <c r="A71" s="1733" t="s">
        <v>18</v>
      </c>
      <c r="B71" s="1735" t="s">
        <v>720</v>
      </c>
      <c r="C71" s="1734">
        <v>4</v>
      </c>
      <c r="D71" s="1735" t="s">
        <v>41</v>
      </c>
      <c r="E71" s="1736" t="s">
        <v>133</v>
      </c>
      <c r="F71" s="1737" t="s">
        <v>327</v>
      </c>
      <c r="G71" s="1737" t="s">
        <v>41</v>
      </c>
      <c r="H71" s="1748">
        <v>0.45454176016007819</v>
      </c>
      <c r="I71" s="1761">
        <v>45931</v>
      </c>
      <c r="J71" s="1749" t="s">
        <v>41</v>
      </c>
      <c r="K71" s="1749" t="s">
        <v>41</v>
      </c>
      <c r="L71" s="1750">
        <v>0.46250000000000002</v>
      </c>
      <c r="M71" s="1750">
        <v>0.39378274225963017</v>
      </c>
      <c r="N71" s="1741"/>
      <c r="O71" s="1742"/>
      <c r="P71" s="1742"/>
      <c r="Q71" s="1742"/>
      <c r="R71" s="1742"/>
    </row>
    <row r="72" spans="1:24" s="1732" customFormat="1" ht="30.6" customHeight="1">
      <c r="A72" s="1733" t="s">
        <v>18</v>
      </c>
      <c r="B72" s="1735" t="s">
        <v>721</v>
      </c>
      <c r="C72" s="1734">
        <v>5</v>
      </c>
      <c r="D72" s="1735" t="s">
        <v>41</v>
      </c>
      <c r="E72" s="1736" t="s">
        <v>133</v>
      </c>
      <c r="F72" s="1737" t="s">
        <v>722</v>
      </c>
      <c r="G72" s="1737" t="s">
        <v>41</v>
      </c>
      <c r="H72" s="1748">
        <v>9.9467434385779166E-2</v>
      </c>
      <c r="I72" s="1761">
        <v>45931</v>
      </c>
      <c r="J72" s="1749" t="s">
        <v>41</v>
      </c>
      <c r="K72" s="1749" t="s">
        <v>41</v>
      </c>
      <c r="L72" s="1750">
        <v>9.8100000000000007E-2</v>
      </c>
      <c r="M72" s="1750">
        <v>8.3840220739770155E-2</v>
      </c>
      <c r="N72" s="1741"/>
      <c r="O72" s="1742"/>
      <c r="P72" s="1742"/>
      <c r="Q72" s="1742"/>
      <c r="R72" s="1742"/>
    </row>
    <row r="73" spans="1:24" s="1732" customFormat="1" ht="30.6" customHeight="1">
      <c r="A73" s="1733" t="s">
        <v>18</v>
      </c>
      <c r="B73" s="1733" t="s">
        <v>723</v>
      </c>
      <c r="C73" s="1734">
        <v>6</v>
      </c>
      <c r="D73" s="1735" t="s">
        <v>724</v>
      </c>
      <c r="E73" s="1736" t="s">
        <v>133</v>
      </c>
      <c r="F73" s="1737" t="s">
        <v>327</v>
      </c>
      <c r="G73" s="1737" t="s">
        <v>725</v>
      </c>
      <c r="H73" s="1755">
        <v>1</v>
      </c>
      <c r="I73" s="1761">
        <v>45931</v>
      </c>
      <c r="J73" s="1771">
        <v>1</v>
      </c>
      <c r="K73" s="1756">
        <f>K74/J74</f>
        <v>0.98613561885555834</v>
      </c>
      <c r="L73" s="1755">
        <v>1</v>
      </c>
      <c r="M73" s="1747">
        <f>M74/L74</f>
        <v>0.97780102334481056</v>
      </c>
      <c r="N73" s="1741"/>
      <c r="O73" s="1742"/>
      <c r="P73" s="1742"/>
      <c r="Q73" s="1742"/>
      <c r="R73" s="1742"/>
    </row>
    <row r="74" spans="1:24" s="1732" customFormat="1" ht="30.6" customHeight="1">
      <c r="A74" s="1733" t="s">
        <v>18</v>
      </c>
      <c r="B74" s="1733" t="s">
        <v>723</v>
      </c>
      <c r="C74" s="1734">
        <v>7</v>
      </c>
      <c r="D74" s="1735" t="s">
        <v>726</v>
      </c>
      <c r="E74" s="1736" t="s">
        <v>727</v>
      </c>
      <c r="F74" s="1737" t="s">
        <v>327</v>
      </c>
      <c r="G74" s="1737" t="s">
        <v>725</v>
      </c>
      <c r="H74" s="1765"/>
      <c r="I74" s="1761">
        <v>45931</v>
      </c>
      <c r="J74" s="1766">
        <v>3967</v>
      </c>
      <c r="K74" s="1766">
        <v>3912</v>
      </c>
      <c r="L74" s="1758">
        <f>J74+L63</f>
        <v>23138.617191407076</v>
      </c>
      <c r="M74" s="1766">
        <f>K74+M63</f>
        <v>22624.963568541665</v>
      </c>
      <c r="N74" s="1753"/>
      <c r="O74" s="1754"/>
      <c r="P74" s="1754"/>
      <c r="Q74" s="1754"/>
      <c r="R74" s="1754"/>
      <c r="S74" s="1731"/>
      <c r="T74" s="1731"/>
      <c r="U74" s="1731"/>
      <c r="V74" s="1731"/>
      <c r="W74" s="1731"/>
      <c r="X74" s="1731"/>
    </row>
    <row r="75" spans="1:24" s="1732" customFormat="1" ht="30.6" customHeight="1">
      <c r="A75" s="1733" t="s">
        <v>18</v>
      </c>
      <c r="B75" s="1733" t="s">
        <v>723</v>
      </c>
      <c r="C75" s="1734">
        <v>8</v>
      </c>
      <c r="D75" s="1735" t="s">
        <v>728</v>
      </c>
      <c r="E75" s="1736" t="s">
        <v>133</v>
      </c>
      <c r="F75" s="1737" t="s">
        <v>327</v>
      </c>
      <c r="G75" s="1737" t="s">
        <v>725</v>
      </c>
      <c r="H75" s="1755">
        <v>1</v>
      </c>
      <c r="I75" s="1761">
        <v>45931</v>
      </c>
      <c r="J75" s="1755">
        <v>1</v>
      </c>
      <c r="K75" s="1756">
        <f>K76/J76</f>
        <v>0.94694348327566324</v>
      </c>
      <c r="L75" s="1755">
        <v>1</v>
      </c>
      <c r="M75" s="1747">
        <f>M76/L76</f>
        <v>0.94554407750361291</v>
      </c>
      <c r="N75" s="1741"/>
      <c r="O75" s="1742"/>
      <c r="P75" s="1742"/>
      <c r="Q75" s="1742"/>
      <c r="R75" s="1742"/>
    </row>
    <row r="76" spans="1:24" s="1732" customFormat="1" ht="30.6" customHeight="1">
      <c r="A76" s="1733" t="s">
        <v>18</v>
      </c>
      <c r="B76" s="1733" t="s">
        <v>723</v>
      </c>
      <c r="C76" s="1734">
        <v>9</v>
      </c>
      <c r="D76" s="1735" t="s">
        <v>729</v>
      </c>
      <c r="E76" s="1736" t="s">
        <v>727</v>
      </c>
      <c r="F76" s="1737" t="s">
        <v>327</v>
      </c>
      <c r="G76" s="1737" t="s">
        <v>725</v>
      </c>
      <c r="H76" s="1765"/>
      <c r="I76" s="1761">
        <v>45931</v>
      </c>
      <c r="J76" s="1760">
        <v>867</v>
      </c>
      <c r="K76" s="1766">
        <v>821</v>
      </c>
      <c r="L76" s="1758">
        <f>J76+L65</f>
        <v>6539.05</v>
      </c>
      <c r="M76" s="1766">
        <f>K76+M65</f>
        <v>6182.96</v>
      </c>
      <c r="N76" s="1753"/>
      <c r="O76" s="1754"/>
      <c r="P76" s="1754"/>
      <c r="Q76" s="1754"/>
      <c r="R76" s="1754"/>
      <c r="S76" s="1731"/>
      <c r="T76" s="1731"/>
    </row>
    <row r="77" spans="1:24" s="1732" customFormat="1" ht="30.6" customHeight="1">
      <c r="A77" s="1733" t="s">
        <v>18</v>
      </c>
      <c r="B77" s="1733" t="s">
        <v>730</v>
      </c>
      <c r="C77" s="1734">
        <v>10</v>
      </c>
      <c r="D77" s="1735" t="s">
        <v>504</v>
      </c>
      <c r="E77" s="1736" t="s">
        <v>136</v>
      </c>
      <c r="F77" s="1737" t="s">
        <v>327</v>
      </c>
      <c r="G77" s="1737" t="s">
        <v>40</v>
      </c>
      <c r="H77" s="1759">
        <v>1174.3420820195504</v>
      </c>
      <c r="I77" s="1761">
        <v>45931</v>
      </c>
      <c r="J77" s="1760">
        <f>[2]Labor!$BU$158/1000000</f>
        <v>74.439049657079678</v>
      </c>
      <c r="K77" s="1760">
        <f>[2]Labor!$CA$158/1000000</f>
        <v>75.174545208400019</v>
      </c>
      <c r="L77" s="1760">
        <f>J77+L66</f>
        <v>541.56427031093153</v>
      </c>
      <c r="M77" s="1760">
        <f>K77+M66+2.5</f>
        <v>555.78936413903307</v>
      </c>
      <c r="N77" s="1741"/>
      <c r="O77" s="1742"/>
      <c r="P77" s="1742"/>
      <c r="Q77" s="1742"/>
      <c r="R77" s="1742"/>
    </row>
    <row r="78" spans="1:24" s="1732" customFormat="1" ht="30.6" customHeight="1">
      <c r="A78" s="1733" t="s">
        <v>18</v>
      </c>
      <c r="B78" s="1733" t="s">
        <v>730</v>
      </c>
      <c r="C78" s="1734">
        <v>11</v>
      </c>
      <c r="D78" s="1735" t="s">
        <v>508</v>
      </c>
      <c r="E78" s="1736" t="s">
        <v>136</v>
      </c>
      <c r="F78" s="1737" t="s">
        <v>327</v>
      </c>
      <c r="G78" s="1737" t="s">
        <v>40</v>
      </c>
      <c r="H78" s="1759">
        <v>962.16729885251311</v>
      </c>
      <c r="I78" s="1761">
        <v>45931</v>
      </c>
      <c r="J78" s="1766">
        <f>75.87-16.7</f>
        <v>59.17</v>
      </c>
      <c r="K78" s="1766">
        <f>70.56-16.7</f>
        <v>53.86</v>
      </c>
      <c r="L78" s="1766">
        <f>J78+L67</f>
        <v>473.73399999999998</v>
      </c>
      <c r="M78" s="1766">
        <f>K78+M67</f>
        <v>438.95800000000003</v>
      </c>
      <c r="N78" s="1753"/>
      <c r="O78" s="1754"/>
      <c r="P78" s="1754"/>
      <c r="Q78" s="1754"/>
      <c r="R78" s="1754"/>
    </row>
    <row r="79" spans="1:24" s="1732" customFormat="1" ht="30.6" customHeight="1">
      <c r="A79" s="1733" t="s">
        <v>18</v>
      </c>
      <c r="B79" s="1733" t="s">
        <v>715</v>
      </c>
      <c r="C79" s="1734">
        <v>1</v>
      </c>
      <c r="D79" s="1735" t="s">
        <v>715</v>
      </c>
      <c r="E79" s="1736" t="s">
        <v>136</v>
      </c>
      <c r="F79" s="1737" t="s">
        <v>327</v>
      </c>
      <c r="G79" s="1737" t="s">
        <v>41</v>
      </c>
      <c r="H79" s="1762">
        <v>31107.790052372686</v>
      </c>
      <c r="I79" s="1761">
        <v>45962</v>
      </c>
      <c r="J79" s="1760">
        <v>2537.239872399366</v>
      </c>
      <c r="K79" s="1760">
        <v>2761.9844169800026</v>
      </c>
      <c r="L79" s="1740">
        <f>J79+L68</f>
        <v>20788.602398447569</v>
      </c>
      <c r="M79" s="1760">
        <f>K79+M68</f>
        <v>22245.086283550005</v>
      </c>
      <c r="N79" s="1741"/>
      <c r="O79" s="1742"/>
      <c r="P79" s="1742"/>
      <c r="Q79" s="1742"/>
      <c r="R79" s="1742"/>
    </row>
    <row r="80" spans="1:24" s="1732" customFormat="1" ht="30.6" customHeight="1">
      <c r="A80" s="1733" t="s">
        <v>18</v>
      </c>
      <c r="B80" s="1743" t="s">
        <v>716</v>
      </c>
      <c r="C80" s="1734">
        <v>2</v>
      </c>
      <c r="D80" s="1735" t="s">
        <v>717</v>
      </c>
      <c r="E80" s="1736" t="s">
        <v>136</v>
      </c>
      <c r="F80" s="1737" t="s">
        <v>327</v>
      </c>
      <c r="G80" s="1737" t="s">
        <v>718</v>
      </c>
      <c r="H80" s="1744">
        <v>3713.109806620002</v>
      </c>
      <c r="I80" s="1761">
        <v>45962</v>
      </c>
      <c r="J80" s="1760">
        <v>307.60237061155163</v>
      </c>
      <c r="K80" s="1760">
        <v>356.3369191900029</v>
      </c>
      <c r="L80" s="1740">
        <f>J80+L69</f>
        <v>2389.9134077815343</v>
      </c>
      <c r="M80" s="1760">
        <f>K80+M69</f>
        <v>2871.0142859700077</v>
      </c>
      <c r="N80" s="1741"/>
      <c r="O80" s="1742"/>
      <c r="P80" s="1742"/>
      <c r="Q80" s="1742"/>
      <c r="R80" s="1742"/>
    </row>
    <row r="81" spans="1:24" s="1732" customFormat="1" ht="30.6" customHeight="1">
      <c r="A81" s="1733" t="s">
        <v>18</v>
      </c>
      <c r="B81" s="1743" t="s">
        <v>716</v>
      </c>
      <c r="C81" s="1734">
        <v>3</v>
      </c>
      <c r="D81" s="1745" t="s">
        <v>719</v>
      </c>
      <c r="E81" s="1736" t="s">
        <v>133</v>
      </c>
      <c r="F81" s="1737"/>
      <c r="G81" s="1737"/>
      <c r="H81" s="1746">
        <v>0.11899999999999999</v>
      </c>
      <c r="I81" s="1761">
        <v>45962</v>
      </c>
      <c r="J81" s="1747">
        <f>J80/J79</f>
        <v>0.12123503731661935</v>
      </c>
      <c r="K81" s="1747">
        <f>K80/K79</f>
        <v>0.12901481883798147</v>
      </c>
      <c r="L81" s="1747">
        <f>L80/L79</f>
        <v>0.11496267820101297</v>
      </c>
      <c r="M81" s="1747">
        <f>M80/M79</f>
        <v>0.129062852324969</v>
      </c>
      <c r="N81" s="1741"/>
      <c r="O81" s="1742"/>
      <c r="P81" s="1742"/>
      <c r="Q81" s="1742"/>
      <c r="R81" s="1742"/>
    </row>
    <row r="82" spans="1:24" s="1732" customFormat="1" ht="30.6" customHeight="1">
      <c r="A82" s="1733" t="s">
        <v>18</v>
      </c>
      <c r="B82" s="1735" t="s">
        <v>720</v>
      </c>
      <c r="C82" s="1734">
        <v>4</v>
      </c>
      <c r="D82" s="1735" t="s">
        <v>41</v>
      </c>
      <c r="E82" s="1736" t="s">
        <v>133</v>
      </c>
      <c r="F82" s="1737" t="s">
        <v>327</v>
      </c>
      <c r="G82" s="1737" t="s">
        <v>41</v>
      </c>
      <c r="H82" s="1748">
        <v>0.45454176016007819</v>
      </c>
      <c r="I82" s="1761">
        <v>45962</v>
      </c>
      <c r="J82" s="1749" t="s">
        <v>41</v>
      </c>
      <c r="K82" s="1749" t="s">
        <v>41</v>
      </c>
      <c r="L82" s="1750">
        <v>0.46100000000000002</v>
      </c>
      <c r="M82" s="1770">
        <v>0.39326693477460495</v>
      </c>
      <c r="N82" s="1741"/>
      <c r="O82" s="1742"/>
      <c r="P82" s="1742"/>
      <c r="Q82" s="1742"/>
      <c r="R82" s="1742"/>
    </row>
    <row r="83" spans="1:24" s="1732" customFormat="1" ht="30.6" customHeight="1">
      <c r="A83" s="1733" t="s">
        <v>18</v>
      </c>
      <c r="B83" s="1735" t="s">
        <v>721</v>
      </c>
      <c r="C83" s="1734">
        <v>5</v>
      </c>
      <c r="D83" s="1735" t="s">
        <v>41</v>
      </c>
      <c r="E83" s="1736" t="s">
        <v>133</v>
      </c>
      <c r="F83" s="1737" t="s">
        <v>722</v>
      </c>
      <c r="G83" s="1737" t="s">
        <v>41</v>
      </c>
      <c r="H83" s="1748">
        <v>9.9467434385779166E-2</v>
      </c>
      <c r="I83" s="1761">
        <v>45962</v>
      </c>
      <c r="J83" s="1749" t="s">
        <v>41</v>
      </c>
      <c r="K83" s="1749" t="s">
        <v>41</v>
      </c>
      <c r="L83" s="1750">
        <v>9.8299999999999998E-2</v>
      </c>
      <c r="M83" s="1772">
        <v>8.3654807521846022E-2</v>
      </c>
      <c r="N83" s="1741"/>
      <c r="O83" s="1742"/>
      <c r="P83" s="1742"/>
      <c r="Q83" s="1742"/>
      <c r="R83" s="1742"/>
    </row>
    <row r="84" spans="1:24" s="1732" customFormat="1" ht="30.6" customHeight="1">
      <c r="A84" s="1733" t="s">
        <v>18</v>
      </c>
      <c r="B84" s="1733" t="s">
        <v>723</v>
      </c>
      <c r="C84" s="1734">
        <v>6</v>
      </c>
      <c r="D84" s="1735" t="s">
        <v>724</v>
      </c>
      <c r="E84" s="1736" t="s">
        <v>133</v>
      </c>
      <c r="F84" s="1737" t="s">
        <v>327</v>
      </c>
      <c r="G84" s="1737" t="s">
        <v>725</v>
      </c>
      <c r="H84" s="1755">
        <v>1</v>
      </c>
      <c r="I84" s="1761">
        <v>45962</v>
      </c>
      <c r="J84" s="1755">
        <v>1</v>
      </c>
      <c r="K84" s="1756">
        <f>K85/J85</f>
        <v>0.99466824644549767</v>
      </c>
      <c r="L84" s="1755">
        <v>1</v>
      </c>
      <c r="M84" s="1756">
        <f>M85/L85</f>
        <v>0.97994865929885233</v>
      </c>
      <c r="N84" s="1741"/>
      <c r="O84" s="1742"/>
      <c r="P84" s="1742"/>
      <c r="Q84" s="1742"/>
      <c r="R84" s="1742"/>
    </row>
    <row r="85" spans="1:24" s="1732" customFormat="1" ht="30.6" customHeight="1">
      <c r="A85" s="1733" t="s">
        <v>18</v>
      </c>
      <c r="B85" s="1733" t="s">
        <v>723</v>
      </c>
      <c r="C85" s="1734">
        <v>7</v>
      </c>
      <c r="D85" s="1735" t="s">
        <v>726</v>
      </c>
      <c r="E85" s="1736" t="s">
        <v>727</v>
      </c>
      <c r="F85" s="1737" t="s">
        <v>327</v>
      </c>
      <c r="G85" s="1737" t="s">
        <v>725</v>
      </c>
      <c r="H85" s="1765"/>
      <c r="I85" s="1761">
        <v>45962</v>
      </c>
      <c r="J85" s="1766">
        <v>3376</v>
      </c>
      <c r="K85" s="1766">
        <v>3358</v>
      </c>
      <c r="L85" s="1758">
        <f>J85+L74</f>
        <v>26514.617191407076</v>
      </c>
      <c r="M85" s="1766">
        <f>K85+M74</f>
        <v>25982.963568541665</v>
      </c>
      <c r="N85" s="1753"/>
      <c r="O85" s="1754"/>
      <c r="P85" s="1754"/>
      <c r="Q85" s="1754"/>
      <c r="R85" s="1754"/>
      <c r="S85" s="1731"/>
      <c r="T85" s="1731"/>
      <c r="U85" s="1731"/>
      <c r="V85" s="1731"/>
      <c r="W85" s="1731"/>
      <c r="X85" s="1731"/>
    </row>
    <row r="86" spans="1:24" s="1732" customFormat="1" ht="30.6" customHeight="1">
      <c r="A86" s="1733" t="s">
        <v>18</v>
      </c>
      <c r="B86" s="1733" t="s">
        <v>723</v>
      </c>
      <c r="C86" s="1734">
        <v>8</v>
      </c>
      <c r="D86" s="1735" t="s">
        <v>728</v>
      </c>
      <c r="E86" s="1736" t="s">
        <v>133</v>
      </c>
      <c r="F86" s="1737" t="s">
        <v>327</v>
      </c>
      <c r="G86" s="1737" t="s">
        <v>725</v>
      </c>
      <c r="H86" s="1755">
        <v>1</v>
      </c>
      <c r="I86" s="1761">
        <v>45962</v>
      </c>
      <c r="J86" s="1755">
        <v>1</v>
      </c>
      <c r="K86" s="1756">
        <f>K87/J87</f>
        <v>0.94591484464902187</v>
      </c>
      <c r="L86" s="1755">
        <v>1</v>
      </c>
      <c r="M86" s="1756">
        <f>M87/L87</f>
        <v>0.94558757027827833</v>
      </c>
      <c r="N86" s="1741"/>
      <c r="O86" s="1742"/>
      <c r="P86" s="1742"/>
      <c r="Q86" s="1742"/>
      <c r="R86" s="1742"/>
    </row>
    <row r="87" spans="1:24" s="1732" customFormat="1" ht="30.6" customHeight="1">
      <c r="A87" s="1733" t="s">
        <v>18</v>
      </c>
      <c r="B87" s="1733" t="s">
        <v>723</v>
      </c>
      <c r="C87" s="1734">
        <v>9</v>
      </c>
      <c r="D87" s="1735" t="s">
        <v>729</v>
      </c>
      <c r="E87" s="1736" t="s">
        <v>727</v>
      </c>
      <c r="F87" s="1737" t="s">
        <v>327</v>
      </c>
      <c r="G87" s="1737" t="s">
        <v>725</v>
      </c>
      <c r="H87" s="1765"/>
      <c r="I87" s="1761">
        <v>45962</v>
      </c>
      <c r="J87" s="1766">
        <v>869</v>
      </c>
      <c r="K87" s="1766">
        <v>822</v>
      </c>
      <c r="L87" s="1758">
        <f>J87+L76</f>
        <v>7408.05</v>
      </c>
      <c r="M87" s="1766">
        <f>K87+M76</f>
        <v>7004.96</v>
      </c>
      <c r="N87" s="1753"/>
      <c r="O87" s="1754"/>
      <c r="P87" s="1754"/>
      <c r="Q87" s="1754"/>
      <c r="R87" s="1754"/>
      <c r="S87" s="1731"/>
      <c r="T87" s="1731"/>
    </row>
    <row r="88" spans="1:24" s="1732" customFormat="1" ht="30.6" customHeight="1">
      <c r="A88" s="1733" t="s">
        <v>18</v>
      </c>
      <c r="B88" s="1733" t="s">
        <v>730</v>
      </c>
      <c r="C88" s="1734">
        <v>10</v>
      </c>
      <c r="D88" s="1735" t="s">
        <v>504</v>
      </c>
      <c r="E88" s="1736" t="s">
        <v>136</v>
      </c>
      <c r="F88" s="1737" t="s">
        <v>327</v>
      </c>
      <c r="G88" s="1737" t="s">
        <v>40</v>
      </c>
      <c r="H88" s="1759">
        <v>1174.3420820195504</v>
      </c>
      <c r="I88" s="1761">
        <v>45962</v>
      </c>
      <c r="J88" s="1760">
        <v>77.2</v>
      </c>
      <c r="K88" s="1760">
        <v>79.8</v>
      </c>
      <c r="L88" s="1760">
        <f>J88+L77</f>
        <v>618.76427031093158</v>
      </c>
      <c r="M88" s="1760">
        <f>K88+M77+2.5</f>
        <v>638.08936413903302</v>
      </c>
      <c r="N88" s="1741"/>
      <c r="O88" s="1742"/>
      <c r="P88" s="1742"/>
      <c r="Q88" s="1742"/>
      <c r="R88" s="1742"/>
    </row>
    <row r="89" spans="1:24" s="1732" customFormat="1" ht="30.6" customHeight="1">
      <c r="A89" s="1733" t="s">
        <v>18</v>
      </c>
      <c r="B89" s="1733" t="s">
        <v>730</v>
      </c>
      <c r="C89" s="1734">
        <v>11</v>
      </c>
      <c r="D89" s="1735" t="s">
        <v>508</v>
      </c>
      <c r="E89" s="1736" t="s">
        <v>136</v>
      </c>
      <c r="F89" s="1737" t="s">
        <v>327</v>
      </c>
      <c r="G89" s="1737" t="s">
        <v>40</v>
      </c>
      <c r="H89" s="1759">
        <v>962.16729885251311</v>
      </c>
      <c r="I89" s="1761">
        <v>45962</v>
      </c>
      <c r="J89" s="1760">
        <v>58.3</v>
      </c>
      <c r="K89" s="1760">
        <v>54</v>
      </c>
      <c r="L89" s="1760">
        <f>J89+L78</f>
        <v>532.03399999999999</v>
      </c>
      <c r="M89" s="1760">
        <f>K89+M78</f>
        <v>492.95800000000003</v>
      </c>
      <c r="N89" s="1741"/>
      <c r="O89" s="1742"/>
      <c r="P89" s="1742"/>
      <c r="Q89" s="1742"/>
      <c r="R89" s="1742"/>
    </row>
    <row r="90" spans="1:24" s="1732" customFormat="1" ht="30.6" customHeight="1">
      <c r="A90" s="1733" t="s">
        <v>18</v>
      </c>
      <c r="B90" s="1733" t="s">
        <v>715</v>
      </c>
      <c r="C90" s="1734">
        <v>1</v>
      </c>
      <c r="D90" s="1735" t="s">
        <v>715</v>
      </c>
      <c r="E90" s="1736" t="s">
        <v>136</v>
      </c>
      <c r="F90" s="1737" t="s">
        <v>327</v>
      </c>
      <c r="G90" s="1737" t="s">
        <v>41</v>
      </c>
      <c r="H90" s="1762">
        <v>31107.790052372686</v>
      </c>
      <c r="I90" s="1761">
        <v>45992</v>
      </c>
      <c r="J90" s="1760">
        <f>[4]SDM!$AJ$10/1000</f>
        <v>2527.4662605848666</v>
      </c>
      <c r="K90" s="1760">
        <f>[4]SDM!$AK$10/1000</f>
        <v>2839.2025971899993</v>
      </c>
      <c r="L90" s="1740">
        <f>J90+L79</f>
        <v>23316.068659032437</v>
      </c>
      <c r="M90" s="1760">
        <f>K90+M79</f>
        <v>25084.288880740005</v>
      </c>
      <c r="N90" s="1741"/>
      <c r="O90" s="1742"/>
      <c r="P90" s="1742"/>
      <c r="Q90" s="1742"/>
      <c r="R90" s="1742"/>
    </row>
    <row r="91" spans="1:24" s="1732" customFormat="1" ht="30.6" customHeight="1">
      <c r="A91" s="1733" t="s">
        <v>18</v>
      </c>
      <c r="B91" s="1743" t="s">
        <v>716</v>
      </c>
      <c r="C91" s="1734">
        <v>2</v>
      </c>
      <c r="D91" s="1735" t="s">
        <v>717</v>
      </c>
      <c r="E91" s="1736" t="s">
        <v>136</v>
      </c>
      <c r="F91" s="1737" t="s">
        <v>327</v>
      </c>
      <c r="G91" s="1737" t="s">
        <v>718</v>
      </c>
      <c r="H91" s="1744">
        <v>3713.109806620002</v>
      </c>
      <c r="I91" s="1761">
        <v>45992</v>
      </c>
      <c r="J91" s="1760">
        <f>[4]SDM!$AJ$29/1000</f>
        <v>301.54467241548139</v>
      </c>
      <c r="K91" s="1760">
        <f>[4]SDM!$AK$29/1000</f>
        <v>457.72764834999896</v>
      </c>
      <c r="L91" s="1740">
        <f>J91+L80</f>
        <v>2691.4580801970155</v>
      </c>
      <c r="M91" s="1760">
        <f>K91+M80</f>
        <v>3328.7419343200067</v>
      </c>
      <c r="N91" s="1741"/>
      <c r="O91" s="1742"/>
      <c r="P91" s="1742"/>
      <c r="Q91" s="1742"/>
      <c r="R91" s="1742"/>
    </row>
    <row r="92" spans="1:24" s="1732" customFormat="1" ht="30.6" customHeight="1">
      <c r="A92" s="1733" t="s">
        <v>18</v>
      </c>
      <c r="B92" s="1743" t="s">
        <v>716</v>
      </c>
      <c r="C92" s="1734">
        <v>3</v>
      </c>
      <c r="D92" s="1745" t="s">
        <v>719</v>
      </c>
      <c r="E92" s="1736" t="s">
        <v>133</v>
      </c>
      <c r="F92" s="1737"/>
      <c r="G92" s="1737"/>
      <c r="H92" s="1746">
        <v>0.11899999999999999</v>
      </c>
      <c r="I92" s="1761">
        <v>45992</v>
      </c>
      <c r="J92" s="1747">
        <f>J91/J90</f>
        <v>0.11930710099596054</v>
      </c>
      <c r="K92" s="1747">
        <f>K91/K90</f>
        <v>0.16121697296382398</v>
      </c>
      <c r="L92" s="1747">
        <f>L91/L90</f>
        <v>0.11543361445516968</v>
      </c>
      <c r="M92" s="1747">
        <f>M91/M90</f>
        <v>0.13270226435941948</v>
      </c>
      <c r="N92" s="1741"/>
      <c r="O92" s="1742"/>
      <c r="P92" s="1742"/>
      <c r="Q92" s="1742"/>
      <c r="R92" s="1742"/>
    </row>
    <row r="93" spans="1:24" s="1732" customFormat="1" ht="30.6" customHeight="1">
      <c r="A93" s="1733" t="s">
        <v>18</v>
      </c>
      <c r="B93" s="1735" t="s">
        <v>720</v>
      </c>
      <c r="C93" s="1734">
        <v>4</v>
      </c>
      <c r="D93" s="1735" t="s">
        <v>41</v>
      </c>
      <c r="E93" s="1736" t="s">
        <v>133</v>
      </c>
      <c r="F93" s="1737" t="s">
        <v>327</v>
      </c>
      <c r="G93" s="1737" t="s">
        <v>41</v>
      </c>
      <c r="H93" s="1748">
        <v>0.45454176016007819</v>
      </c>
      <c r="I93" s="1761">
        <v>45992</v>
      </c>
      <c r="J93" s="1749" t="s">
        <v>41</v>
      </c>
      <c r="K93" s="1749" t="s">
        <v>41</v>
      </c>
      <c r="L93" s="1750">
        <v>0.4607</v>
      </c>
      <c r="M93" s="1772">
        <v>0.3827012176837421</v>
      </c>
      <c r="N93" s="1741"/>
      <c r="O93" s="1742"/>
      <c r="P93" s="1742"/>
      <c r="Q93" s="1742"/>
      <c r="R93" s="1742"/>
    </row>
    <row r="94" spans="1:24" s="1732" customFormat="1" ht="30.6" customHeight="1">
      <c r="A94" s="1733" t="s">
        <v>18</v>
      </c>
      <c r="B94" s="1735" t="s">
        <v>721</v>
      </c>
      <c r="C94" s="1734">
        <v>5</v>
      </c>
      <c r="D94" s="1735" t="s">
        <v>41</v>
      </c>
      <c r="E94" s="1736" t="s">
        <v>133</v>
      </c>
      <c r="F94" s="1737" t="s">
        <v>722</v>
      </c>
      <c r="G94" s="1737" t="s">
        <v>41</v>
      </c>
      <c r="H94" s="1748">
        <v>9.9467434385779166E-2</v>
      </c>
      <c r="I94" s="1761">
        <v>45992</v>
      </c>
      <c r="J94" s="1749" t="s">
        <v>41</v>
      </c>
      <c r="K94" s="1749" t="s">
        <v>41</v>
      </c>
      <c r="L94" s="1750">
        <v>9.8599999999999993E-2</v>
      </c>
      <c r="M94" s="1772">
        <v>8.2270218290564537E-2</v>
      </c>
      <c r="N94" s="1741"/>
      <c r="O94" s="1742"/>
      <c r="P94" s="1742"/>
      <c r="Q94" s="1742"/>
      <c r="R94" s="1742"/>
    </row>
    <row r="95" spans="1:24" s="1732" customFormat="1" ht="30.6" customHeight="1">
      <c r="A95" s="1733" t="s">
        <v>18</v>
      </c>
      <c r="B95" s="1733" t="s">
        <v>723</v>
      </c>
      <c r="C95" s="1734">
        <v>6</v>
      </c>
      <c r="D95" s="1735" t="s">
        <v>724</v>
      </c>
      <c r="E95" s="1736" t="s">
        <v>133</v>
      </c>
      <c r="F95" s="1737" t="s">
        <v>327</v>
      </c>
      <c r="G95" s="1737" t="s">
        <v>725</v>
      </c>
      <c r="H95" s="1755">
        <v>1</v>
      </c>
      <c r="I95" s="1761">
        <v>45992</v>
      </c>
      <c r="J95" s="1755">
        <v>1</v>
      </c>
      <c r="K95" s="1756">
        <f>K96/J96</f>
        <v>0.97264843228819209</v>
      </c>
      <c r="L95" s="1755">
        <v>1</v>
      </c>
      <c r="M95" s="1756">
        <f>M96/L96</f>
        <v>0.97920707543876917</v>
      </c>
      <c r="N95" s="1741"/>
      <c r="O95" s="1742"/>
      <c r="P95" s="1742"/>
      <c r="Q95" s="1742"/>
      <c r="R95" s="1742"/>
    </row>
    <row r="96" spans="1:24" s="1732" customFormat="1" ht="30.6" customHeight="1">
      <c r="A96" s="1733" t="s">
        <v>18</v>
      </c>
      <c r="B96" s="1733" t="s">
        <v>723</v>
      </c>
      <c r="C96" s="1734">
        <v>7</v>
      </c>
      <c r="D96" s="1735" t="s">
        <v>726</v>
      </c>
      <c r="E96" s="1736" t="s">
        <v>727</v>
      </c>
      <c r="F96" s="1737" t="s">
        <v>327</v>
      </c>
      <c r="G96" s="1737" t="s">
        <v>725</v>
      </c>
      <c r="H96" s="1765"/>
      <c r="I96" s="1761">
        <v>45992</v>
      </c>
      <c r="J96" s="1758">
        <v>2998</v>
      </c>
      <c r="K96" s="1758">
        <v>2916</v>
      </c>
      <c r="L96" s="1758">
        <f>J96+L85</f>
        <v>29512.617191407076</v>
      </c>
      <c r="M96" s="1766">
        <f>K96+M85</f>
        <v>28898.963568541665</v>
      </c>
      <c r="N96" s="1753"/>
      <c r="O96" s="1754"/>
      <c r="P96" s="1754"/>
      <c r="Q96" s="1754"/>
      <c r="R96" s="1754"/>
      <c r="S96" s="1731"/>
      <c r="T96" s="1731"/>
      <c r="U96" s="1731"/>
      <c r="V96" s="1731"/>
      <c r="W96" s="1731"/>
      <c r="X96" s="1731"/>
    </row>
    <row r="97" spans="1:24" s="1732" customFormat="1" ht="30.6" customHeight="1">
      <c r="A97" s="1733" t="s">
        <v>18</v>
      </c>
      <c r="B97" s="1733" t="s">
        <v>723</v>
      </c>
      <c r="C97" s="1734">
        <v>8</v>
      </c>
      <c r="D97" s="1735" t="s">
        <v>728</v>
      </c>
      <c r="E97" s="1736" t="s">
        <v>133</v>
      </c>
      <c r="F97" s="1737" t="s">
        <v>327</v>
      </c>
      <c r="G97" s="1737" t="s">
        <v>725</v>
      </c>
      <c r="H97" s="1755">
        <v>1</v>
      </c>
      <c r="I97" s="1761">
        <v>45992</v>
      </c>
      <c r="J97" s="1755">
        <v>1</v>
      </c>
      <c r="K97" s="1756">
        <f>K98/J98</f>
        <v>0.92796610169491522</v>
      </c>
      <c r="L97" s="1755">
        <v>1</v>
      </c>
      <c r="M97" s="1756">
        <f>M98/L98</f>
        <v>0.94359588364533264</v>
      </c>
      <c r="N97" s="1741"/>
      <c r="O97" s="1742"/>
      <c r="P97" s="1742"/>
      <c r="Q97" s="1742"/>
      <c r="R97" s="1742"/>
    </row>
    <row r="98" spans="1:24" s="1732" customFormat="1" ht="30.6" customHeight="1">
      <c r="A98" s="1733" t="s">
        <v>18</v>
      </c>
      <c r="B98" s="1733" t="s">
        <v>723</v>
      </c>
      <c r="C98" s="1734">
        <v>9</v>
      </c>
      <c r="D98" s="1735" t="s">
        <v>729</v>
      </c>
      <c r="E98" s="1736" t="s">
        <v>727</v>
      </c>
      <c r="F98" s="1737" t="s">
        <v>327</v>
      </c>
      <c r="G98" s="1737" t="s">
        <v>725</v>
      </c>
      <c r="H98" s="1765"/>
      <c r="I98" s="1761">
        <v>45992</v>
      </c>
      <c r="J98" s="1760">
        <v>944</v>
      </c>
      <c r="K98" s="1766">
        <v>876</v>
      </c>
      <c r="L98" s="1758">
        <f>J98+L87</f>
        <v>8352.0499999999993</v>
      </c>
      <c r="M98" s="1766">
        <f>K98+M87</f>
        <v>7880.96</v>
      </c>
      <c r="N98" s="1753"/>
      <c r="O98" s="1754"/>
      <c r="P98" s="1754"/>
      <c r="Q98" s="1754"/>
      <c r="R98" s="1754"/>
      <c r="S98" s="1731"/>
      <c r="T98" s="1731"/>
    </row>
    <row r="99" spans="1:24" s="1732" customFormat="1" ht="30.6" customHeight="1">
      <c r="A99" s="1733" t="s">
        <v>18</v>
      </c>
      <c r="B99" s="1733" t="s">
        <v>730</v>
      </c>
      <c r="C99" s="1734">
        <v>10</v>
      </c>
      <c r="D99" s="1735" t="s">
        <v>504</v>
      </c>
      <c r="E99" s="1736" t="s">
        <v>136</v>
      </c>
      <c r="F99" s="1737" t="s">
        <v>327</v>
      </c>
      <c r="G99" s="1737" t="s">
        <v>40</v>
      </c>
      <c r="H99" s="1759">
        <v>1174.3420820195504</v>
      </c>
      <c r="I99" s="1761">
        <v>45992</v>
      </c>
      <c r="J99" s="1760">
        <v>70.56</v>
      </c>
      <c r="K99" s="1760">
        <v>68.760000000000005</v>
      </c>
      <c r="L99" s="1760">
        <f>J99+L88</f>
        <v>689.32427031093152</v>
      </c>
      <c r="M99" s="1760">
        <f>K99+M88+2.5</f>
        <v>709.34936413903301</v>
      </c>
      <c r="N99" s="1741"/>
      <c r="O99" s="1742"/>
      <c r="P99" s="1742"/>
      <c r="Q99" s="1742"/>
      <c r="R99" s="1742"/>
    </row>
    <row r="100" spans="1:24" s="1732" customFormat="1" ht="30.6" customHeight="1">
      <c r="A100" s="1733" t="s">
        <v>18</v>
      </c>
      <c r="B100" s="1733" t="s">
        <v>730</v>
      </c>
      <c r="C100" s="1734">
        <v>11</v>
      </c>
      <c r="D100" s="1735" t="s">
        <v>508</v>
      </c>
      <c r="E100" s="1736" t="s">
        <v>136</v>
      </c>
      <c r="F100" s="1737" t="s">
        <v>327</v>
      </c>
      <c r="G100" s="1737" t="s">
        <v>40</v>
      </c>
      <c r="H100" s="1759">
        <v>962.16729885251311</v>
      </c>
      <c r="I100" s="1761">
        <v>45992</v>
      </c>
      <c r="J100" s="1784">
        <v>58.5</v>
      </c>
      <c r="K100" s="1784">
        <v>53.9</v>
      </c>
      <c r="L100" s="1784">
        <f>J100+L89</f>
        <v>590.53399999999999</v>
      </c>
      <c r="M100" s="1784">
        <f>K100+M89</f>
        <v>546.85800000000006</v>
      </c>
      <c r="N100" s="1741"/>
      <c r="O100" s="1742"/>
      <c r="P100" s="1742"/>
      <c r="Q100" s="1742"/>
      <c r="R100" s="1742"/>
    </row>
    <row r="101" spans="1:24" ht="22.35" customHeight="1">
      <c r="A101" s="1636" t="s">
        <v>18</v>
      </c>
      <c r="B101" s="1844" t="s">
        <v>715</v>
      </c>
      <c r="C101" s="1848">
        <v>1</v>
      </c>
      <c r="D101" s="1851" t="s">
        <v>715</v>
      </c>
      <c r="E101" s="1848" t="s">
        <v>136</v>
      </c>
      <c r="F101" s="1852" t="s">
        <v>327</v>
      </c>
      <c r="G101" s="1853" t="s">
        <v>41</v>
      </c>
      <c r="H101" s="1854">
        <v>31107.790052372686</v>
      </c>
      <c r="I101" s="1872">
        <v>46023</v>
      </c>
      <c r="J101" s="1823">
        <f>[5]SDM!$AM$10/1000</f>
        <v>2526.0703324255355</v>
      </c>
      <c r="K101" s="1824">
        <f>[5]SDM!$AN$10/1000</f>
        <v>2959.1926079699983</v>
      </c>
      <c r="L101" s="1825">
        <f>J101+L90</f>
        <v>25842.13899145797</v>
      </c>
      <c r="M101" s="1826">
        <f>K101+M90</f>
        <v>28043.481488710004</v>
      </c>
      <c r="N101" s="1802"/>
      <c r="O101" s="1803"/>
      <c r="P101" s="1803"/>
      <c r="Q101" s="1803"/>
      <c r="R101" s="1803"/>
      <c r="S101" s="1788"/>
      <c r="T101" s="1788"/>
      <c r="U101" s="1788"/>
      <c r="V101" s="1788"/>
      <c r="W101" s="1788"/>
      <c r="X101" s="1788"/>
    </row>
    <row r="102" spans="1:24" ht="57.6">
      <c r="A102" s="1696" t="s">
        <v>18</v>
      </c>
      <c r="B102" s="1845" t="s">
        <v>716</v>
      </c>
      <c r="C102" s="1849">
        <v>2</v>
      </c>
      <c r="D102" s="1846" t="s">
        <v>717</v>
      </c>
      <c r="E102" s="1849" t="s">
        <v>136</v>
      </c>
      <c r="F102" s="1855" t="s">
        <v>327</v>
      </c>
      <c r="G102" s="1856" t="s">
        <v>718</v>
      </c>
      <c r="H102" s="1857">
        <v>3713.109806620002</v>
      </c>
      <c r="I102" s="1819">
        <v>46023</v>
      </c>
      <c r="J102" s="1827">
        <f>[5]SDM!$AM$29/1000</f>
        <v>303.20551791559097</v>
      </c>
      <c r="K102" s="1828">
        <f>[5]SDM!$AN$29/1000</f>
        <v>578.64345220999769</v>
      </c>
      <c r="L102" s="1829">
        <f>J102+L91</f>
        <v>2994.6635981126065</v>
      </c>
      <c r="M102" s="1830">
        <f>K102+M91</f>
        <v>3907.3853865300043</v>
      </c>
      <c r="N102" s="1804"/>
      <c r="O102" s="1805"/>
      <c r="P102" s="1805"/>
      <c r="Q102" s="1805"/>
      <c r="R102" s="1805"/>
      <c r="S102" s="1788"/>
      <c r="T102" s="1788"/>
      <c r="U102" s="1788"/>
      <c r="V102" s="1788"/>
      <c r="W102" s="1788"/>
      <c r="X102" s="1788"/>
    </row>
    <row r="103" spans="1:24" ht="39" customHeight="1">
      <c r="A103" s="1696" t="s">
        <v>18</v>
      </c>
      <c r="B103" s="1818" t="s">
        <v>716</v>
      </c>
      <c r="C103" s="1849">
        <v>3</v>
      </c>
      <c r="D103" s="1806" t="s">
        <v>719</v>
      </c>
      <c r="E103" s="1849" t="s">
        <v>133</v>
      </c>
      <c r="F103" s="1855"/>
      <c r="G103" s="1856"/>
      <c r="H103" s="1858">
        <v>0.11899999999999999</v>
      </c>
      <c r="I103" s="1819">
        <v>46023</v>
      </c>
      <c r="J103" s="1831">
        <f>J102/J101</f>
        <v>0.12003051301602229</v>
      </c>
      <c r="K103" s="1873">
        <f>K102/K101</f>
        <v>0.19554099001583619</v>
      </c>
      <c r="L103" s="1831">
        <f>L102/L101</f>
        <v>0.11588296151113815</v>
      </c>
      <c r="M103" s="1867">
        <f>M102/M101</f>
        <v>0.1393331062729524</v>
      </c>
      <c r="N103" s="1804"/>
      <c r="O103" s="1805"/>
      <c r="P103" s="1805"/>
      <c r="Q103" s="1805"/>
      <c r="R103" s="1805"/>
      <c r="S103" s="1788"/>
      <c r="T103" s="1788"/>
      <c r="U103" s="1788"/>
      <c r="V103" s="1788"/>
      <c r="W103" s="1788"/>
      <c r="X103" s="1788"/>
    </row>
    <row r="104" spans="1:24" ht="22.35" customHeight="1">
      <c r="A104" s="1696" t="s">
        <v>18</v>
      </c>
      <c r="B104" s="1846" t="s">
        <v>720</v>
      </c>
      <c r="C104" s="1849">
        <v>4</v>
      </c>
      <c r="D104" s="1846" t="s">
        <v>41</v>
      </c>
      <c r="E104" s="1849" t="s">
        <v>133</v>
      </c>
      <c r="F104" s="1855" t="s">
        <v>327</v>
      </c>
      <c r="G104" s="1856" t="s">
        <v>41</v>
      </c>
      <c r="H104" s="1859">
        <v>0.45454176016007819</v>
      </c>
      <c r="I104" s="1819">
        <v>46023</v>
      </c>
      <c r="J104" s="1832" t="s">
        <v>41</v>
      </c>
      <c r="K104" s="1807" t="s">
        <v>41</v>
      </c>
      <c r="L104" s="1831">
        <v>0.4612</v>
      </c>
      <c r="M104" s="1839">
        <v>0.37019999999999997</v>
      </c>
      <c r="N104" s="1804"/>
      <c r="O104" s="1805"/>
      <c r="P104" s="1805"/>
      <c r="Q104" s="1805"/>
      <c r="R104" s="1805"/>
      <c r="S104" s="1788"/>
      <c r="T104" s="1788"/>
      <c r="U104" s="1788"/>
      <c r="V104" s="1788"/>
      <c r="W104" s="1788"/>
      <c r="X104" s="1788"/>
    </row>
    <row r="105" spans="1:24" ht="22.35" customHeight="1">
      <c r="A105" s="1696" t="s">
        <v>18</v>
      </c>
      <c r="B105" s="1846" t="s">
        <v>721</v>
      </c>
      <c r="C105" s="1849">
        <v>5</v>
      </c>
      <c r="D105" s="1846" t="s">
        <v>41</v>
      </c>
      <c r="E105" s="1849" t="s">
        <v>133</v>
      </c>
      <c r="F105" s="1855" t="s">
        <v>722</v>
      </c>
      <c r="G105" s="1856" t="s">
        <v>41</v>
      </c>
      <c r="H105" s="1859">
        <v>9.9467434385779166E-2</v>
      </c>
      <c r="I105" s="1819">
        <v>46023</v>
      </c>
      <c r="J105" s="1833" t="s">
        <v>41</v>
      </c>
      <c r="K105" s="1869" t="s">
        <v>41</v>
      </c>
      <c r="L105" s="1837">
        <v>9.9199999999999997E-2</v>
      </c>
      <c r="M105" s="1840">
        <v>8.1900000000000001E-2</v>
      </c>
      <c r="N105" s="1808"/>
      <c r="O105" s="1809"/>
      <c r="P105" s="1809"/>
      <c r="Q105" s="1809"/>
      <c r="R105" s="1809"/>
      <c r="S105" s="1788"/>
      <c r="T105" s="1788"/>
      <c r="U105" s="1788"/>
      <c r="V105" s="1788"/>
      <c r="W105" s="1788"/>
      <c r="X105" s="1788"/>
    </row>
    <row r="106" spans="1:24" ht="38.4">
      <c r="A106" s="1696" t="s">
        <v>18</v>
      </c>
      <c r="B106" s="1845" t="s">
        <v>723</v>
      </c>
      <c r="C106" s="1849">
        <v>6</v>
      </c>
      <c r="D106" s="1846" t="s">
        <v>724</v>
      </c>
      <c r="E106" s="1849" t="s">
        <v>133</v>
      </c>
      <c r="F106" s="1855" t="s">
        <v>327</v>
      </c>
      <c r="G106" s="1856" t="s">
        <v>725</v>
      </c>
      <c r="H106" s="1860">
        <v>1</v>
      </c>
      <c r="I106" s="1819">
        <v>46023</v>
      </c>
      <c r="J106" s="1834">
        <v>1</v>
      </c>
      <c r="K106" s="1870">
        <f>K107/J107</f>
        <v>1.0095591129165409</v>
      </c>
      <c r="L106" s="1834">
        <v>1</v>
      </c>
      <c r="M106" s="1841">
        <f>M107/L107</f>
        <v>0.98221601725642005</v>
      </c>
      <c r="N106" s="1804"/>
      <c r="O106" s="1805"/>
      <c r="P106" s="1805"/>
      <c r="Q106" s="1805"/>
      <c r="R106" s="1805"/>
      <c r="S106" s="1788"/>
      <c r="T106" s="1788"/>
      <c r="U106" s="1788"/>
      <c r="V106" s="1788"/>
      <c r="W106" s="1788"/>
      <c r="X106" s="1788"/>
    </row>
    <row r="107" spans="1:24" ht="38.4">
      <c r="A107" s="1696" t="s">
        <v>18</v>
      </c>
      <c r="B107" s="1696" t="s">
        <v>723</v>
      </c>
      <c r="C107" s="1849">
        <v>7</v>
      </c>
      <c r="D107" s="1846" t="s">
        <v>726</v>
      </c>
      <c r="E107" s="1849" t="s">
        <v>727</v>
      </c>
      <c r="F107" s="1855" t="s">
        <v>327</v>
      </c>
      <c r="G107" s="1856" t="s">
        <v>725</v>
      </c>
      <c r="H107" s="1861"/>
      <c r="I107" s="1819">
        <v>46023</v>
      </c>
      <c r="J107" s="1835">
        <v>3247.6845021268691</v>
      </c>
      <c r="K107" s="1871">
        <v>3278.7294849999998</v>
      </c>
      <c r="L107" s="1838">
        <f>J107+L96</f>
        <v>32760.301693533947</v>
      </c>
      <c r="M107" s="1842">
        <f>K107+M96</f>
        <v>32177.693053541665</v>
      </c>
      <c r="N107" s="1808"/>
      <c r="O107" s="1809"/>
      <c r="P107" s="1809"/>
      <c r="Q107" s="1809"/>
      <c r="R107" s="1809"/>
    </row>
    <row r="108" spans="1:24" ht="38.4">
      <c r="A108" s="1696" t="s">
        <v>18</v>
      </c>
      <c r="B108" s="1696" t="s">
        <v>723</v>
      </c>
      <c r="C108" s="1849">
        <v>8</v>
      </c>
      <c r="D108" s="1846" t="s">
        <v>728</v>
      </c>
      <c r="E108" s="1849" t="s">
        <v>133</v>
      </c>
      <c r="F108" s="1855" t="s">
        <v>327</v>
      </c>
      <c r="G108" s="1856" t="s">
        <v>725</v>
      </c>
      <c r="H108" s="1860">
        <v>1</v>
      </c>
      <c r="I108" s="1819">
        <v>46023</v>
      </c>
      <c r="J108" s="1834">
        <v>1</v>
      </c>
      <c r="K108" s="1870">
        <f>K109/J109</f>
        <v>0.97688803087855691</v>
      </c>
      <c r="L108" s="1834">
        <v>1</v>
      </c>
      <c r="M108" s="1841">
        <f>M109/L109</f>
        <v>0.9470023790470109</v>
      </c>
      <c r="N108" s="1804"/>
      <c r="O108" s="1805"/>
      <c r="P108" s="1805"/>
      <c r="Q108" s="1805"/>
      <c r="R108" s="1805"/>
      <c r="S108" s="1788"/>
      <c r="T108" s="1788"/>
      <c r="U108" s="1788"/>
      <c r="V108" s="1788"/>
      <c r="W108" s="1788"/>
      <c r="X108" s="1788"/>
    </row>
    <row r="109" spans="1:24" ht="38.4">
      <c r="A109" s="1696" t="s">
        <v>18</v>
      </c>
      <c r="B109" s="1696" t="s">
        <v>723</v>
      </c>
      <c r="C109" s="1849">
        <v>9</v>
      </c>
      <c r="D109" s="1846" t="s">
        <v>729</v>
      </c>
      <c r="E109" s="1849" t="s">
        <v>727</v>
      </c>
      <c r="F109" s="1855" t="s">
        <v>327</v>
      </c>
      <c r="G109" s="1856" t="s">
        <v>725</v>
      </c>
      <c r="H109" s="1861"/>
      <c r="I109" s="1819">
        <v>46023</v>
      </c>
      <c r="J109" s="1827">
        <v>952.00265598874364</v>
      </c>
      <c r="K109" s="1871">
        <v>930</v>
      </c>
      <c r="L109" s="1838">
        <f>J109+L98</f>
        <v>9304.0526559887421</v>
      </c>
      <c r="M109" s="1842">
        <f>K109+M98</f>
        <v>8810.9599999999991</v>
      </c>
      <c r="N109" s="1808"/>
      <c r="O109" s="1809"/>
      <c r="P109" s="1809"/>
      <c r="Q109" s="1809"/>
      <c r="R109" s="1809"/>
      <c r="U109" s="1788"/>
      <c r="V109" s="1788"/>
      <c r="W109" s="1788"/>
      <c r="X109" s="1788"/>
    </row>
    <row r="110" spans="1:24" ht="22.35" customHeight="1">
      <c r="A110" s="1696" t="s">
        <v>18</v>
      </c>
      <c r="B110" s="1847" t="s">
        <v>730</v>
      </c>
      <c r="C110" s="1849">
        <v>10</v>
      </c>
      <c r="D110" s="1846" t="s">
        <v>504</v>
      </c>
      <c r="E110" s="1849" t="s">
        <v>136</v>
      </c>
      <c r="F110" s="1855" t="s">
        <v>327</v>
      </c>
      <c r="G110" s="1856" t="s">
        <v>40</v>
      </c>
      <c r="H110" s="1862">
        <v>1174.3420820195504</v>
      </c>
      <c r="I110" s="1819">
        <v>46023</v>
      </c>
      <c r="J110" s="1835">
        <v>76.606303833161974</v>
      </c>
      <c r="K110" s="1871">
        <v>77.239317991348685</v>
      </c>
      <c r="L110" s="1827">
        <f>J110+L99</f>
        <v>765.9305741440935</v>
      </c>
      <c r="M110" s="1830">
        <f>K110+M99+2.5</f>
        <v>789.0886821303817</v>
      </c>
      <c r="N110" s="1808"/>
      <c r="O110" s="1809"/>
      <c r="P110" s="1809"/>
      <c r="Q110" s="1809"/>
      <c r="R110" s="1809"/>
      <c r="S110" s="1788"/>
      <c r="T110" s="1788"/>
      <c r="U110" s="1788"/>
      <c r="V110" s="1788"/>
      <c r="W110" s="1788"/>
      <c r="X110" s="1788"/>
    </row>
    <row r="111" spans="1:24" ht="22.35" customHeight="1">
      <c r="A111" s="1663" t="s">
        <v>18</v>
      </c>
      <c r="B111" s="1663" t="s">
        <v>730</v>
      </c>
      <c r="C111" s="1850">
        <v>11</v>
      </c>
      <c r="D111" s="1866" t="s">
        <v>508</v>
      </c>
      <c r="E111" s="1850" t="s">
        <v>136</v>
      </c>
      <c r="F111" s="1863" t="s">
        <v>327</v>
      </c>
      <c r="G111" s="1864" t="s">
        <v>40</v>
      </c>
      <c r="H111" s="1865">
        <v>962.16729885251311</v>
      </c>
      <c r="I111" s="1820">
        <v>46023</v>
      </c>
      <c r="J111" s="1836">
        <v>66.621784932688669</v>
      </c>
      <c r="K111" s="1868">
        <v>64.563474553085328</v>
      </c>
      <c r="L111" s="2567">
        <f>J111+L100</f>
        <v>657.15578493268868</v>
      </c>
      <c r="M111" s="2568">
        <f>K111+M100</f>
        <v>611.42147455308543</v>
      </c>
      <c r="N111" s="1811"/>
      <c r="O111" s="1812"/>
      <c r="P111" s="1812"/>
      <c r="Q111" s="1812"/>
      <c r="R111" s="1812"/>
      <c r="S111" s="1788"/>
      <c r="T111" s="1788"/>
      <c r="U111" s="1788"/>
      <c r="V111" s="1788"/>
      <c r="W111" s="1788"/>
      <c r="X111" s="1788"/>
    </row>
    <row r="112" spans="1:24" s="1732" customFormat="1" ht="30.6" customHeight="1">
      <c r="A112" s="1775" t="s">
        <v>18</v>
      </c>
      <c r="B112" s="1775" t="s">
        <v>715</v>
      </c>
      <c r="C112" s="1776">
        <v>1</v>
      </c>
      <c r="D112" s="1777" t="s">
        <v>715</v>
      </c>
      <c r="E112" s="1778" t="s">
        <v>136</v>
      </c>
      <c r="F112" s="1779" t="s">
        <v>327</v>
      </c>
      <c r="G112" s="1779" t="s">
        <v>41</v>
      </c>
      <c r="H112" s="1780">
        <v>31107.790052372686</v>
      </c>
      <c r="I112" s="1781">
        <v>46054</v>
      </c>
      <c r="J112" s="1782">
        <f>[6]SDM!$AP$10/1000</f>
        <v>2478.998633955403</v>
      </c>
      <c r="K112" s="2563">
        <f>[6]SDM!$AQ$10/1000</f>
        <v>2682.994633060001</v>
      </c>
      <c r="L112" s="2569">
        <f>J112+L101</f>
        <v>28321.137625413372</v>
      </c>
      <c r="M112" s="2570">
        <f>K112+M101</f>
        <v>30726.476121770003</v>
      </c>
      <c r="N112" s="2565"/>
      <c r="O112" s="1783"/>
      <c r="P112" s="1783"/>
      <c r="Q112" s="1783"/>
      <c r="R112" s="1783"/>
    </row>
    <row r="113" spans="1:24" s="1732" customFormat="1" ht="30.6" customHeight="1">
      <c r="A113" s="1733" t="s">
        <v>18</v>
      </c>
      <c r="B113" s="1743" t="s">
        <v>716</v>
      </c>
      <c r="C113" s="1734">
        <v>2</v>
      </c>
      <c r="D113" s="1735" t="s">
        <v>717</v>
      </c>
      <c r="E113" s="1736" t="s">
        <v>136</v>
      </c>
      <c r="F113" s="1737" t="s">
        <v>327</v>
      </c>
      <c r="G113" s="1737" t="s">
        <v>718</v>
      </c>
      <c r="H113" s="1744">
        <v>3713.109806620002</v>
      </c>
      <c r="I113" s="1761">
        <v>46054</v>
      </c>
      <c r="J113" s="1766">
        <f>[6]SDM!$AP$29/1000</f>
        <v>279.08514669091721</v>
      </c>
      <c r="K113" s="2564">
        <f>[6]SDM!$AQ$29/1000</f>
        <v>350.75364641000147</v>
      </c>
      <c r="L113" s="2569">
        <f>J113+L102</f>
        <v>3273.7487448035236</v>
      </c>
      <c r="M113" s="2570">
        <f>K113+M102</f>
        <v>4258.1390329400056</v>
      </c>
      <c r="N113" s="2566"/>
      <c r="O113" s="1754"/>
      <c r="P113" s="1754"/>
      <c r="Q113" s="1754"/>
      <c r="R113" s="1754"/>
    </row>
    <row r="114" spans="1:24" s="1732" customFormat="1" ht="30.6" customHeight="1">
      <c r="A114" s="1733" t="s">
        <v>18</v>
      </c>
      <c r="B114" s="1743" t="s">
        <v>716</v>
      </c>
      <c r="C114" s="1734">
        <v>3</v>
      </c>
      <c r="D114" s="1745" t="s">
        <v>719</v>
      </c>
      <c r="E114" s="1736" t="s">
        <v>133</v>
      </c>
      <c r="F114" s="1737"/>
      <c r="G114" s="1737"/>
      <c r="H114" s="1746">
        <v>0.11899999999999999</v>
      </c>
      <c r="I114" s="1761">
        <v>46054</v>
      </c>
      <c r="J114" s="1763">
        <f>J113/J112</f>
        <v>0.11257979043159809</v>
      </c>
      <c r="K114" s="1763">
        <f>K113/K112</f>
        <v>0.13073214612060591</v>
      </c>
      <c r="L114" s="1763">
        <f>L113/L112</f>
        <v>0.11559382917817167</v>
      </c>
      <c r="M114" s="1763">
        <f>M113/M112</f>
        <v>0.13858208198248523</v>
      </c>
      <c r="N114" s="1753"/>
      <c r="O114" s="1754"/>
      <c r="P114" s="1754"/>
      <c r="Q114" s="1754"/>
      <c r="R114" s="1754"/>
    </row>
    <row r="115" spans="1:24" s="1732" customFormat="1" ht="30.6" customHeight="1">
      <c r="A115" s="1733" t="s">
        <v>18</v>
      </c>
      <c r="B115" s="1735" t="s">
        <v>720</v>
      </c>
      <c r="C115" s="1734">
        <v>4</v>
      </c>
      <c r="D115" s="1735" t="s">
        <v>41</v>
      </c>
      <c r="E115" s="1736" t="s">
        <v>133</v>
      </c>
      <c r="F115" s="1737" t="s">
        <v>327</v>
      </c>
      <c r="G115" s="1737" t="s">
        <v>41</v>
      </c>
      <c r="H115" s="1748">
        <v>0.45454176016007819</v>
      </c>
      <c r="I115" s="1761">
        <v>46054</v>
      </c>
      <c r="J115" s="1751" t="s">
        <v>41</v>
      </c>
      <c r="K115" s="1751" t="s">
        <v>41</v>
      </c>
      <c r="L115" s="1752">
        <v>0.46250000000000002</v>
      </c>
      <c r="M115" s="1752">
        <v>0.37185846279340196</v>
      </c>
      <c r="N115" s="1753"/>
      <c r="O115" s="1754"/>
      <c r="P115" s="1754"/>
      <c r="Q115" s="1754"/>
      <c r="R115" s="1754"/>
    </row>
    <row r="116" spans="1:24" s="1732" customFormat="1" ht="30.6" customHeight="1">
      <c r="A116" s="1733" t="s">
        <v>18</v>
      </c>
      <c r="B116" s="1735" t="s">
        <v>721</v>
      </c>
      <c r="C116" s="1734">
        <v>5</v>
      </c>
      <c r="D116" s="1735" t="s">
        <v>41</v>
      </c>
      <c r="E116" s="1736" t="s">
        <v>133</v>
      </c>
      <c r="F116" s="1737" t="s">
        <v>722</v>
      </c>
      <c r="G116" s="1737" t="s">
        <v>41</v>
      </c>
      <c r="H116" s="1748">
        <v>9.9467434385779166E-2</v>
      </c>
      <c r="I116" s="1761">
        <v>46054</v>
      </c>
      <c r="J116" s="1751" t="s">
        <v>41</v>
      </c>
      <c r="K116" s="1751" t="s">
        <v>41</v>
      </c>
      <c r="L116" s="1752">
        <v>9.9500000000000005E-2</v>
      </c>
      <c r="M116" s="1752">
        <v>8.204028373490882E-2</v>
      </c>
      <c r="N116" s="1753"/>
      <c r="O116" s="1754"/>
      <c r="P116" s="1754"/>
      <c r="Q116" s="1754"/>
      <c r="R116" s="1754"/>
    </row>
    <row r="117" spans="1:24" s="1732" customFormat="1" ht="30.6" customHeight="1">
      <c r="A117" s="1733" t="s">
        <v>18</v>
      </c>
      <c r="B117" s="1733" t="s">
        <v>723</v>
      </c>
      <c r="C117" s="1734">
        <v>6</v>
      </c>
      <c r="D117" s="1735" t="s">
        <v>724</v>
      </c>
      <c r="E117" s="1736" t="s">
        <v>133</v>
      </c>
      <c r="F117" s="1737" t="s">
        <v>327</v>
      </c>
      <c r="G117" s="1737" t="s">
        <v>725</v>
      </c>
      <c r="H117" s="1755">
        <v>1</v>
      </c>
      <c r="I117" s="1761">
        <v>46054</v>
      </c>
      <c r="J117" s="1769">
        <v>1</v>
      </c>
      <c r="K117" s="2571">
        <f>K118/J118</f>
        <v>1.0177664478827702</v>
      </c>
      <c r="L117" s="2572">
        <v>1</v>
      </c>
      <c r="M117" s="2571">
        <f>M118/L118</f>
        <v>0.98549813217709159</v>
      </c>
      <c r="N117" s="1753"/>
      <c r="O117" s="1754"/>
      <c r="P117" s="1754"/>
      <c r="Q117" s="1754"/>
      <c r="R117" s="1754"/>
    </row>
    <row r="118" spans="1:24" s="1732" customFormat="1" ht="30.6" customHeight="1">
      <c r="A118" s="1733" t="s">
        <v>18</v>
      </c>
      <c r="B118" s="1733" t="s">
        <v>723</v>
      </c>
      <c r="C118" s="1734">
        <v>7</v>
      </c>
      <c r="D118" s="1735" t="s">
        <v>726</v>
      </c>
      <c r="E118" s="1736" t="s">
        <v>727</v>
      </c>
      <c r="F118" s="1737" t="s">
        <v>327</v>
      </c>
      <c r="G118" s="1737" t="s">
        <v>725</v>
      </c>
      <c r="H118" s="1765"/>
      <c r="I118" s="1761">
        <v>46054</v>
      </c>
      <c r="J118" s="1766">
        <v>3332.1564092398758</v>
      </c>
      <c r="K118" s="2564">
        <v>3391.3569924218746</v>
      </c>
      <c r="L118" s="2574">
        <f>J118+L107</f>
        <v>36092.458102773824</v>
      </c>
      <c r="M118" s="2575">
        <f>K118+M107</f>
        <v>35569.050045963537</v>
      </c>
      <c r="N118" s="2566"/>
      <c r="O118" s="1754"/>
      <c r="P118" s="1754"/>
      <c r="Q118" s="1754"/>
      <c r="R118" s="1754"/>
      <c r="S118" s="1731"/>
      <c r="T118" s="1731"/>
      <c r="U118" s="1731"/>
      <c r="V118" s="1731"/>
      <c r="W118" s="1731"/>
      <c r="X118" s="1731"/>
    </row>
    <row r="119" spans="1:24" s="1732" customFormat="1" ht="30.6" customHeight="1">
      <c r="A119" s="1733" t="s">
        <v>18</v>
      </c>
      <c r="B119" s="1733" t="s">
        <v>723</v>
      </c>
      <c r="C119" s="1734">
        <v>8</v>
      </c>
      <c r="D119" s="1735" t="s">
        <v>728</v>
      </c>
      <c r="E119" s="1736" t="s">
        <v>133</v>
      </c>
      <c r="F119" s="1737" t="s">
        <v>327</v>
      </c>
      <c r="G119" s="1737" t="s">
        <v>725</v>
      </c>
      <c r="H119" s="1755">
        <v>1</v>
      </c>
      <c r="I119" s="1761">
        <v>46054</v>
      </c>
      <c r="J119" s="1769">
        <v>1</v>
      </c>
      <c r="K119" s="2571">
        <f>K120/J120</f>
        <v>0.97044363260644617</v>
      </c>
      <c r="L119" s="2573">
        <v>1</v>
      </c>
      <c r="M119" s="2571">
        <f>M120/L120</f>
        <v>0.94916246359177392</v>
      </c>
      <c r="N119" s="1753"/>
      <c r="O119" s="1754"/>
      <c r="P119" s="1754"/>
      <c r="Q119" s="1754"/>
      <c r="R119" s="1754"/>
    </row>
    <row r="120" spans="1:24" s="1732" customFormat="1" ht="30.6" customHeight="1">
      <c r="A120" s="1733" t="s">
        <v>18</v>
      </c>
      <c r="B120" s="1733" t="s">
        <v>723</v>
      </c>
      <c r="C120" s="1734">
        <v>9</v>
      </c>
      <c r="D120" s="1735" t="s">
        <v>729</v>
      </c>
      <c r="E120" s="1736" t="s">
        <v>727</v>
      </c>
      <c r="F120" s="1737" t="s">
        <v>327</v>
      </c>
      <c r="G120" s="1737" t="s">
        <v>725</v>
      </c>
      <c r="H120" s="1765"/>
      <c r="I120" s="1761">
        <v>46054</v>
      </c>
      <c r="J120" s="1766">
        <v>944.38140743143504</v>
      </c>
      <c r="K120" s="1766">
        <v>916.46892359375011</v>
      </c>
      <c r="L120" s="2576">
        <f>J120+L109</f>
        <v>10248.434063420176</v>
      </c>
      <c r="M120" s="2576">
        <f>K120+M109</f>
        <v>9727.4289235937486</v>
      </c>
      <c r="N120" s="1753"/>
      <c r="O120" s="1754"/>
      <c r="P120" s="1754"/>
      <c r="Q120" s="1754"/>
      <c r="R120" s="1754"/>
      <c r="S120" s="1731"/>
      <c r="T120" s="1731"/>
    </row>
    <row r="121" spans="1:24" s="1732" customFormat="1" ht="30.6" customHeight="1">
      <c r="A121" s="1733" t="s">
        <v>18</v>
      </c>
      <c r="B121" s="1733" t="s">
        <v>730</v>
      </c>
      <c r="C121" s="1734">
        <v>10</v>
      </c>
      <c r="D121" s="1735" t="s">
        <v>504</v>
      </c>
      <c r="E121" s="1736" t="s">
        <v>136</v>
      </c>
      <c r="F121" s="1737" t="s">
        <v>327</v>
      </c>
      <c r="G121" s="1737" t="s">
        <v>40</v>
      </c>
      <c r="H121" s="1759">
        <v>1174.3420820195504</v>
      </c>
      <c r="I121" s="1761">
        <v>46054</v>
      </c>
      <c r="J121" s="1766">
        <v>78.997</v>
      </c>
      <c r="K121" s="1766">
        <v>81.539000000000001</v>
      </c>
      <c r="L121" s="1754">
        <f>J121+L110</f>
        <v>844.92757414409346</v>
      </c>
      <c r="M121" s="1754">
        <f>K121+M110+2.5</f>
        <v>873.12768213038169</v>
      </c>
      <c r="N121" s="1753"/>
      <c r="O121" s="1754"/>
      <c r="P121" s="1754"/>
      <c r="Q121" s="1754"/>
      <c r="R121" s="1754"/>
    </row>
    <row r="122" spans="1:24" s="1732" customFormat="1" ht="30.6" customHeight="1">
      <c r="A122" s="1733" t="s">
        <v>18</v>
      </c>
      <c r="B122" s="1733" t="s">
        <v>730</v>
      </c>
      <c r="C122" s="1734">
        <v>11</v>
      </c>
      <c r="D122" s="1735" t="s">
        <v>508</v>
      </c>
      <c r="E122" s="1736" t="s">
        <v>136</v>
      </c>
      <c r="F122" s="1737" t="s">
        <v>327</v>
      </c>
      <c r="G122" s="1737" t="s">
        <v>40</v>
      </c>
      <c r="H122" s="1759">
        <v>962.16729885251311</v>
      </c>
      <c r="I122" s="1761">
        <v>46054</v>
      </c>
      <c r="J122" s="1766">
        <v>65.36</v>
      </c>
      <c r="K122" s="1766">
        <v>64.05</v>
      </c>
      <c r="L122" s="1754">
        <f>J122+L111</f>
        <v>722.51578493268869</v>
      </c>
      <c r="M122" s="1754">
        <f>K122+M111</f>
        <v>675.47147455308539</v>
      </c>
      <c r="N122" s="1753"/>
      <c r="O122" s="1754"/>
      <c r="P122" s="1754"/>
      <c r="Q122" s="1754"/>
      <c r="R122" s="1754"/>
    </row>
    <row r="123" spans="1:24" s="1732" customFormat="1" ht="30.6" customHeight="1">
      <c r="A123" s="1733" t="s">
        <v>18</v>
      </c>
      <c r="B123" s="1733" t="s">
        <v>715</v>
      </c>
      <c r="C123" s="1734">
        <v>1</v>
      </c>
      <c r="D123" s="1735" t="s">
        <v>715</v>
      </c>
      <c r="E123" s="1736" t="s">
        <v>136</v>
      </c>
      <c r="F123" s="1737" t="s">
        <v>327</v>
      </c>
      <c r="G123" s="1737" t="s">
        <v>41</v>
      </c>
      <c r="H123" s="1762">
        <v>31107.790052372686</v>
      </c>
      <c r="I123" s="1761">
        <v>46082</v>
      </c>
      <c r="J123" s="1766"/>
      <c r="K123" s="1766"/>
      <c r="L123" s="1754"/>
      <c r="M123" s="1754"/>
      <c r="N123" s="1753"/>
      <c r="O123" s="1754"/>
      <c r="P123" s="1754"/>
      <c r="Q123" s="1754"/>
      <c r="R123" s="1754"/>
    </row>
    <row r="124" spans="1:24" s="1732" customFormat="1" ht="30.6" customHeight="1">
      <c r="A124" s="1733" t="s">
        <v>18</v>
      </c>
      <c r="B124" s="1743" t="s">
        <v>716</v>
      </c>
      <c r="C124" s="1734">
        <v>2</v>
      </c>
      <c r="D124" s="1735" t="s">
        <v>717</v>
      </c>
      <c r="E124" s="1736" t="s">
        <v>136</v>
      </c>
      <c r="F124" s="1737" t="s">
        <v>327</v>
      </c>
      <c r="G124" s="1737" t="s">
        <v>718</v>
      </c>
      <c r="H124" s="1744">
        <v>3713.109806620002</v>
      </c>
      <c r="I124" s="1761">
        <v>46082</v>
      </c>
      <c r="J124" s="1766"/>
      <c r="K124" s="1766"/>
      <c r="L124" s="1754"/>
      <c r="M124" s="1754"/>
      <c r="N124" s="1753"/>
      <c r="O124" s="1754"/>
      <c r="P124" s="1754"/>
      <c r="Q124" s="1754"/>
      <c r="R124" s="1754"/>
    </row>
    <row r="125" spans="1:24" s="1732" customFormat="1" ht="30.6" customHeight="1">
      <c r="A125" s="1733" t="s">
        <v>18</v>
      </c>
      <c r="B125" s="1743" t="s">
        <v>716</v>
      </c>
      <c r="C125" s="1734">
        <v>3</v>
      </c>
      <c r="D125" s="1745" t="s">
        <v>719</v>
      </c>
      <c r="E125" s="1736" t="s">
        <v>133</v>
      </c>
      <c r="F125" s="1737"/>
      <c r="G125" s="1737"/>
      <c r="H125" s="1746">
        <v>0.11899999999999999</v>
      </c>
      <c r="I125" s="1761">
        <v>46082</v>
      </c>
      <c r="J125" s="1766"/>
      <c r="K125" s="1766"/>
      <c r="L125" s="1754"/>
      <c r="M125" s="1754"/>
      <c r="N125" s="1753"/>
      <c r="O125" s="1754"/>
      <c r="P125" s="1754"/>
      <c r="Q125" s="1754"/>
      <c r="R125" s="1754"/>
    </row>
    <row r="126" spans="1:24" s="1732" customFormat="1" ht="30.6" customHeight="1">
      <c r="A126" s="1733" t="s">
        <v>18</v>
      </c>
      <c r="B126" s="1735" t="s">
        <v>720</v>
      </c>
      <c r="C126" s="1734">
        <v>4</v>
      </c>
      <c r="D126" s="1735" t="s">
        <v>41</v>
      </c>
      <c r="E126" s="1736" t="s">
        <v>133</v>
      </c>
      <c r="F126" s="1737" t="s">
        <v>327</v>
      </c>
      <c r="G126" s="1737" t="s">
        <v>41</v>
      </c>
      <c r="H126" s="1748">
        <v>0.45454176016007819</v>
      </c>
      <c r="I126" s="1761">
        <v>46082</v>
      </c>
      <c r="J126" s="1751" t="s">
        <v>41</v>
      </c>
      <c r="K126" s="1751" t="s">
        <v>41</v>
      </c>
      <c r="L126" s="1752">
        <v>0.45450000000000002</v>
      </c>
      <c r="M126" s="1754"/>
      <c r="N126" s="1753"/>
      <c r="O126" s="1754"/>
      <c r="P126" s="1754"/>
      <c r="Q126" s="1754"/>
      <c r="R126" s="1754"/>
    </row>
    <row r="127" spans="1:24" s="1732" customFormat="1" ht="30.6" customHeight="1">
      <c r="A127" s="1733" t="s">
        <v>18</v>
      </c>
      <c r="B127" s="1735" t="s">
        <v>721</v>
      </c>
      <c r="C127" s="1734">
        <v>5</v>
      </c>
      <c r="D127" s="1735" t="s">
        <v>41</v>
      </c>
      <c r="E127" s="1736" t="s">
        <v>133</v>
      </c>
      <c r="F127" s="1737" t="s">
        <v>722</v>
      </c>
      <c r="G127" s="1737" t="s">
        <v>41</v>
      </c>
      <c r="H127" s="1748">
        <v>9.9467434385779166E-2</v>
      </c>
      <c r="I127" s="1761">
        <v>46082</v>
      </c>
      <c r="J127" s="1751" t="s">
        <v>41</v>
      </c>
      <c r="K127" s="1751" t="s">
        <v>41</v>
      </c>
      <c r="L127" s="1752">
        <v>9.9500000000000005E-2</v>
      </c>
      <c r="M127" s="1754"/>
      <c r="N127" s="1753"/>
      <c r="O127" s="1754"/>
      <c r="P127" s="1754"/>
      <c r="Q127" s="1754"/>
      <c r="R127" s="1754"/>
    </row>
    <row r="128" spans="1:24" s="1732" customFormat="1" ht="30.6" customHeight="1">
      <c r="A128" s="1733" t="s">
        <v>18</v>
      </c>
      <c r="B128" s="1733" t="s">
        <v>723</v>
      </c>
      <c r="C128" s="1734">
        <v>6</v>
      </c>
      <c r="D128" s="1735" t="s">
        <v>724</v>
      </c>
      <c r="E128" s="1736" t="s">
        <v>133</v>
      </c>
      <c r="F128" s="1737" t="s">
        <v>327</v>
      </c>
      <c r="G128" s="1737" t="s">
        <v>725</v>
      </c>
      <c r="H128" s="1755">
        <v>1</v>
      </c>
      <c r="I128" s="1761">
        <v>46082</v>
      </c>
      <c r="J128" s="1769">
        <v>1</v>
      </c>
      <c r="K128" s="1766"/>
      <c r="L128" s="1769">
        <v>1</v>
      </c>
      <c r="M128" s="1754"/>
      <c r="N128" s="1753"/>
      <c r="O128" s="1754"/>
      <c r="P128" s="1754"/>
      <c r="Q128" s="1754"/>
      <c r="R128" s="1754"/>
    </row>
    <row r="129" spans="1:24" s="1732" customFormat="1" ht="30.6" customHeight="1">
      <c r="A129" s="1733" t="s">
        <v>18</v>
      </c>
      <c r="B129" s="1733" t="s">
        <v>723</v>
      </c>
      <c r="C129" s="1734">
        <v>7</v>
      </c>
      <c r="D129" s="1735" t="s">
        <v>726</v>
      </c>
      <c r="E129" s="1736" t="s">
        <v>727</v>
      </c>
      <c r="F129" s="1737" t="s">
        <v>327</v>
      </c>
      <c r="G129" s="1737" t="s">
        <v>725</v>
      </c>
      <c r="H129" s="1765"/>
      <c r="I129" s="1761">
        <v>46082</v>
      </c>
      <c r="J129" s="1766">
        <v>3097.3431556675837</v>
      </c>
      <c r="K129" s="1766"/>
      <c r="L129" s="1754"/>
      <c r="M129" s="1754"/>
      <c r="N129" s="1753"/>
      <c r="O129" s="1754"/>
      <c r="P129" s="1754"/>
      <c r="Q129" s="1754"/>
      <c r="R129" s="1754"/>
      <c r="S129" s="1731"/>
      <c r="T129" s="1731"/>
      <c r="U129" s="1731"/>
      <c r="V129" s="1731"/>
      <c r="W129" s="1731"/>
      <c r="X129" s="1731"/>
    </row>
    <row r="130" spans="1:24" s="1732" customFormat="1" ht="30.6" customHeight="1">
      <c r="A130" s="1733" t="s">
        <v>18</v>
      </c>
      <c r="B130" s="1733" t="s">
        <v>723</v>
      </c>
      <c r="C130" s="1734">
        <v>8</v>
      </c>
      <c r="D130" s="1735" t="s">
        <v>728</v>
      </c>
      <c r="E130" s="1736" t="s">
        <v>133</v>
      </c>
      <c r="F130" s="1737" t="s">
        <v>327</v>
      </c>
      <c r="G130" s="1737" t="s">
        <v>725</v>
      </c>
      <c r="H130" s="1755">
        <v>1</v>
      </c>
      <c r="I130" s="1761">
        <v>46082</v>
      </c>
      <c r="J130" s="1769">
        <v>1</v>
      </c>
      <c r="K130" s="1766"/>
      <c r="L130" s="1769">
        <v>1</v>
      </c>
      <c r="M130" s="1754"/>
      <c r="N130" s="1753"/>
      <c r="O130" s="1754"/>
      <c r="P130" s="1754"/>
      <c r="Q130" s="1754"/>
      <c r="R130" s="1754"/>
    </row>
    <row r="131" spans="1:24" s="1732" customFormat="1" ht="30.6" customHeight="1">
      <c r="A131" s="1733" t="s">
        <v>18</v>
      </c>
      <c r="B131" s="1733" t="s">
        <v>723</v>
      </c>
      <c r="C131" s="1734">
        <v>9</v>
      </c>
      <c r="D131" s="1735" t="s">
        <v>729</v>
      </c>
      <c r="E131" s="1736" t="s">
        <v>727</v>
      </c>
      <c r="F131" s="1737" t="s">
        <v>327</v>
      </c>
      <c r="G131" s="1737" t="s">
        <v>725</v>
      </c>
      <c r="H131" s="1765"/>
      <c r="I131" s="1761">
        <v>46082</v>
      </c>
      <c r="J131" s="1766">
        <v>941.29567104845717</v>
      </c>
      <c r="K131" s="1766"/>
      <c r="L131" s="1754"/>
      <c r="M131" s="1754"/>
      <c r="N131" s="1753"/>
      <c r="O131" s="1754"/>
      <c r="P131" s="1754"/>
      <c r="Q131" s="1754"/>
      <c r="R131" s="1754"/>
      <c r="S131" s="1731"/>
      <c r="T131" s="1731"/>
    </row>
    <row r="132" spans="1:24" s="1732" customFormat="1" ht="30.6" customHeight="1">
      <c r="A132" s="1733" t="s">
        <v>18</v>
      </c>
      <c r="B132" s="1733" t="s">
        <v>730</v>
      </c>
      <c r="C132" s="1734">
        <v>10</v>
      </c>
      <c r="D132" s="1735" t="s">
        <v>504</v>
      </c>
      <c r="E132" s="1736" t="s">
        <v>136</v>
      </c>
      <c r="F132" s="1737" t="s">
        <v>327</v>
      </c>
      <c r="G132" s="1737" t="s">
        <v>40</v>
      </c>
      <c r="H132" s="1759">
        <v>1174.3420820195504</v>
      </c>
      <c r="I132" s="1761">
        <v>46082</v>
      </c>
      <c r="J132" s="1766"/>
      <c r="K132" s="1766"/>
      <c r="L132" s="1754"/>
      <c r="M132" s="1754"/>
      <c r="N132" s="1753"/>
      <c r="O132" s="1754"/>
      <c r="P132" s="1754"/>
      <c r="Q132" s="1754"/>
      <c r="R132" s="1754"/>
    </row>
    <row r="133" spans="1:24" s="1732" customFormat="1" ht="30.6" customHeight="1">
      <c r="A133" s="1733" t="s">
        <v>18</v>
      </c>
      <c r="B133" s="1733" t="s">
        <v>730</v>
      </c>
      <c r="C133" s="1734">
        <v>11</v>
      </c>
      <c r="D133" s="1735" t="s">
        <v>508</v>
      </c>
      <c r="E133" s="1736" t="s">
        <v>136</v>
      </c>
      <c r="F133" s="1737" t="s">
        <v>327</v>
      </c>
      <c r="G133" s="1737" t="s">
        <v>40</v>
      </c>
      <c r="H133" s="1759">
        <v>962.16729885251311</v>
      </c>
      <c r="I133" s="1761">
        <v>46082</v>
      </c>
      <c r="J133" s="1766"/>
      <c r="K133" s="1766"/>
      <c r="L133" s="1754"/>
      <c r="M133" s="1754"/>
      <c r="N133" s="1753"/>
      <c r="O133" s="1754"/>
      <c r="P133" s="1754"/>
      <c r="Q133" s="1754"/>
      <c r="R133" s="1754"/>
    </row>
    <row r="134" spans="1:24" ht="34.35" customHeight="1">
      <c r="M134" s="1843"/>
    </row>
    <row r="135" spans="1:24" ht="34.35" customHeight="1">
      <c r="J135" s="1816"/>
      <c r="K135" s="1816"/>
    </row>
  </sheetData>
  <sheetProtection formatCells="0" formatColumns="0" formatRows="0" sort="0" autoFilter="0" pivotTables="0"/>
  <autoFilter ref="A1:M133" xr:uid="{C175ED8F-DA9F-46F6-9A5B-2EC514B6EAF7}">
    <filterColumn colId="8">
      <filters>
        <dateGroupItem year="2026" month="2" dateTimeGrouping="month"/>
      </filters>
    </filterColumn>
  </autoFilter>
  <conditionalFormatting sqref="I12:I133">
    <cfRule type="expression" dxfId="2" priority="3">
      <formula>MONTH($I12)=MONTH(TODAY()-29)</formula>
    </cfRule>
  </conditionalFormatting>
  <conditionalFormatting sqref="I2:R134">
    <cfRule type="expression" dxfId="1" priority="1">
      <formula>MONTH($I2)=MONTH(TODAY()-29)</formula>
    </cfRule>
  </conditionalFormatting>
  <conditionalFormatting sqref="N1:N133">
    <cfRule type="expression" dxfId="0" priority="4">
      <formula>MONTH(I1)&lt;&gt;MONTH(TODAY())</formula>
    </cfRule>
  </conditionalFormatting>
  <pageMargins left="0.7" right="0.7" top="0.75" bottom="0.75" header="0.3" footer="0.3"/>
  <headerFooter>
    <oddHeader>&amp;C&amp;"Calibri"&amp;10&amp;KFF0000 CONFIDENTIAL&amp;1#_x000D_</oddHead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5ED8F-DA9F-46F6-9A5B-2EC514B6EAF7}">
  <sheetPr codeName="Sheet17"/>
  <dimension ref="A1:Q417"/>
  <sheetViews>
    <sheetView zoomScale="70" zoomScaleNormal="70" workbookViewId="0">
      <pane ySplit="1" topLeftCell="A2" activePane="bottomLeft" state="frozen"/>
      <selection activeCell="N1" sqref="N1"/>
      <selection pane="bottomLeft" activeCell="I5" sqref="I5"/>
    </sheetView>
  </sheetViews>
  <sheetFormatPr defaultColWidth="8.109375" defaultRowHeight="34.35" customHeight="1"/>
  <cols>
    <col min="1" max="1" width="18.109375" customWidth="1"/>
    <col min="2" max="2" width="33.109375" style="48" customWidth="1"/>
    <col min="3" max="3" width="3.109375" bestFit="1" customWidth="1"/>
    <col min="4" max="4" width="31.109375" style="49" customWidth="1"/>
    <col min="5" max="5" width="32.109375" style="49" customWidth="1"/>
    <col min="6" max="6" width="11.109375" style="50" customWidth="1"/>
    <col min="7" max="7" width="8.109375" customWidth="1"/>
    <col min="8" max="8" width="22.109375" customWidth="1"/>
    <col min="9" max="9" width="18.109375" style="51" customWidth="1"/>
    <col min="10" max="10" width="12.109375" customWidth="1"/>
    <col min="11" max="11" width="10.109375" style="52" customWidth="1"/>
    <col min="12" max="12" width="10" style="52" customWidth="1"/>
    <col min="14" max="14" width="9.6640625" customWidth="1"/>
  </cols>
  <sheetData>
    <row r="1" spans="1:17" ht="34.35" customHeight="1">
      <c r="A1" s="33" t="s">
        <v>1</v>
      </c>
      <c r="B1" s="33" t="s">
        <v>19</v>
      </c>
      <c r="C1" s="33" t="s">
        <v>93</v>
      </c>
      <c r="D1" s="33" t="s">
        <v>21</v>
      </c>
      <c r="E1" s="33" t="s">
        <v>308</v>
      </c>
      <c r="F1" s="34" t="s">
        <v>22</v>
      </c>
      <c r="G1" s="35" t="s">
        <v>23</v>
      </c>
      <c r="H1" s="35" t="s">
        <v>24</v>
      </c>
      <c r="I1" s="35" t="s">
        <v>25</v>
      </c>
      <c r="J1" s="35" t="s">
        <v>26</v>
      </c>
      <c r="K1" s="35" t="s">
        <v>27</v>
      </c>
      <c r="L1" s="35" t="s">
        <v>28</v>
      </c>
      <c r="M1" s="35" t="s">
        <v>731</v>
      </c>
      <c r="N1" s="35" t="s">
        <v>732</v>
      </c>
    </row>
    <row r="2" spans="1:17" ht="34.35" customHeight="1">
      <c r="A2" s="32" t="s">
        <v>733</v>
      </c>
      <c r="B2" s="31" t="s">
        <v>36</v>
      </c>
      <c r="C2" s="29">
        <v>1</v>
      </c>
      <c r="D2" s="5" t="s">
        <v>37</v>
      </c>
      <c r="E2" s="5"/>
      <c r="F2" s="14" t="s">
        <v>38</v>
      </c>
      <c r="G2" s="2" t="s">
        <v>39</v>
      </c>
      <c r="H2" s="2" t="s">
        <v>40</v>
      </c>
      <c r="I2" s="1">
        <v>0</v>
      </c>
      <c r="J2" s="47">
        <v>45748</v>
      </c>
      <c r="K2" s="53">
        <f>IF(I2=0,0,IF(I2="-","-",ROUND(I2/12,2)))</f>
        <v>0</v>
      </c>
      <c r="L2" s="53">
        <f>K2</f>
        <v>0</v>
      </c>
      <c r="M2" s="54">
        <f>K2</f>
        <v>0</v>
      </c>
      <c r="N2" s="54">
        <f>L2</f>
        <v>0</v>
      </c>
    </row>
    <row r="3" spans="1:17" ht="34.35" customHeight="1">
      <c r="A3" s="32" t="s">
        <v>733</v>
      </c>
      <c r="B3" s="31" t="s">
        <v>36</v>
      </c>
      <c r="C3" s="29">
        <v>2</v>
      </c>
      <c r="D3" s="6" t="s">
        <v>42</v>
      </c>
      <c r="E3" s="6"/>
      <c r="F3" s="14" t="s">
        <v>38</v>
      </c>
      <c r="G3" s="2" t="s">
        <v>39</v>
      </c>
      <c r="H3" s="2" t="s">
        <v>43</v>
      </c>
      <c r="I3" s="3">
        <v>0</v>
      </c>
      <c r="J3" s="47">
        <v>45748</v>
      </c>
      <c r="K3" s="53">
        <f t="shared" ref="K3:K66" si="0">IF(I3=0,0,IF(I3="-","-",ROUND(I3/12,2)))</f>
        <v>0</v>
      </c>
      <c r="L3" s="53">
        <f t="shared" ref="L3:L66" si="1">K3</f>
        <v>0</v>
      </c>
      <c r="M3" s="54">
        <f t="shared" ref="M3:M66" si="2">K3</f>
        <v>0</v>
      </c>
      <c r="N3" s="54">
        <f t="shared" ref="N3:N66" si="3">L3</f>
        <v>0</v>
      </c>
    </row>
    <row r="4" spans="1:17" ht="34.35" customHeight="1">
      <c r="A4" s="32" t="s">
        <v>733</v>
      </c>
      <c r="B4" s="31" t="s">
        <v>36</v>
      </c>
      <c r="C4" s="29">
        <v>3</v>
      </c>
      <c r="D4" s="5" t="s">
        <v>734</v>
      </c>
      <c r="E4" s="5" t="s">
        <v>735</v>
      </c>
      <c r="F4" s="14" t="s">
        <v>38</v>
      </c>
      <c r="G4" s="2" t="s">
        <v>39</v>
      </c>
      <c r="H4" s="2" t="s">
        <v>40</v>
      </c>
      <c r="I4" s="3">
        <v>4</v>
      </c>
      <c r="J4" s="47">
        <v>45748</v>
      </c>
      <c r="K4" s="53">
        <f t="shared" si="0"/>
        <v>0.33</v>
      </c>
      <c r="L4" s="53">
        <f t="shared" si="1"/>
        <v>0.33</v>
      </c>
      <c r="M4" s="54">
        <f t="shared" si="2"/>
        <v>0.33</v>
      </c>
      <c r="N4" s="54">
        <f t="shared" si="3"/>
        <v>0.33</v>
      </c>
    </row>
    <row r="5" spans="1:17" ht="34.35" customHeight="1">
      <c r="A5" s="32" t="s">
        <v>733</v>
      </c>
      <c r="B5" s="31" t="s">
        <v>36</v>
      </c>
      <c r="C5" s="29">
        <v>4</v>
      </c>
      <c r="D5" s="6" t="s">
        <v>112</v>
      </c>
      <c r="E5" s="5" t="s">
        <v>735</v>
      </c>
      <c r="F5" s="14" t="s">
        <v>38</v>
      </c>
      <c r="G5" s="2" t="s">
        <v>39</v>
      </c>
      <c r="H5" s="2" t="s">
        <v>40</v>
      </c>
      <c r="I5" s="3">
        <v>4</v>
      </c>
      <c r="J5" s="47">
        <v>45748</v>
      </c>
      <c r="K5" s="53">
        <f t="shared" si="0"/>
        <v>0.33</v>
      </c>
      <c r="L5" s="53">
        <f t="shared" si="1"/>
        <v>0.33</v>
      </c>
      <c r="M5" s="54">
        <f t="shared" si="2"/>
        <v>0.33</v>
      </c>
      <c r="N5" s="54">
        <f t="shared" si="3"/>
        <v>0.33</v>
      </c>
    </row>
    <row r="6" spans="1:17" ht="34.35" customHeight="1">
      <c r="A6" s="32" t="s">
        <v>733</v>
      </c>
      <c r="B6" s="31" t="s">
        <v>46</v>
      </c>
      <c r="C6" s="29">
        <v>5</v>
      </c>
      <c r="D6" s="5" t="s">
        <v>47</v>
      </c>
      <c r="E6" s="5"/>
      <c r="F6" s="14" t="s">
        <v>38</v>
      </c>
      <c r="G6" s="2" t="s">
        <v>48</v>
      </c>
      <c r="H6" s="2" t="s">
        <v>49</v>
      </c>
      <c r="I6" s="1">
        <v>0</v>
      </c>
      <c r="J6" s="47">
        <v>45748</v>
      </c>
      <c r="K6" s="53">
        <f t="shared" si="0"/>
        <v>0</v>
      </c>
      <c r="L6" s="53">
        <f t="shared" si="1"/>
        <v>0</v>
      </c>
      <c r="M6" s="54">
        <f t="shared" si="2"/>
        <v>0</v>
      </c>
      <c r="N6" s="54">
        <f t="shared" si="3"/>
        <v>0</v>
      </c>
    </row>
    <row r="7" spans="1:17" ht="34.35" customHeight="1">
      <c r="A7" s="32" t="s">
        <v>733</v>
      </c>
      <c r="B7" s="31" t="s">
        <v>46</v>
      </c>
      <c r="C7" s="29">
        <v>6</v>
      </c>
      <c r="D7" s="5" t="s">
        <v>50</v>
      </c>
      <c r="E7" s="5"/>
      <c r="F7" s="14" t="s">
        <v>38</v>
      </c>
      <c r="G7" s="2" t="s">
        <v>48</v>
      </c>
      <c r="H7" s="2" t="s">
        <v>49</v>
      </c>
      <c r="I7" s="1">
        <v>0</v>
      </c>
      <c r="J7" s="47">
        <v>45748</v>
      </c>
      <c r="K7" s="53">
        <f t="shared" si="0"/>
        <v>0</v>
      </c>
      <c r="L7" s="53">
        <f t="shared" si="1"/>
        <v>0</v>
      </c>
      <c r="M7" s="54">
        <f t="shared" si="2"/>
        <v>0</v>
      </c>
      <c r="N7" s="54">
        <f t="shared" si="3"/>
        <v>0</v>
      </c>
    </row>
    <row r="8" spans="1:17" ht="34.35" customHeight="1">
      <c r="A8" s="32" t="s">
        <v>733</v>
      </c>
      <c r="B8" s="31" t="s">
        <v>46</v>
      </c>
      <c r="C8" s="29">
        <v>7</v>
      </c>
      <c r="D8" s="6" t="s">
        <v>51</v>
      </c>
      <c r="E8" s="6"/>
      <c r="F8" s="14" t="s">
        <v>38</v>
      </c>
      <c r="G8" s="2" t="s">
        <v>48</v>
      </c>
      <c r="H8" s="2" t="s">
        <v>49</v>
      </c>
      <c r="I8" s="1">
        <v>0</v>
      </c>
      <c r="J8" s="47">
        <v>45748</v>
      </c>
      <c r="K8" s="53">
        <f t="shared" si="0"/>
        <v>0</v>
      </c>
      <c r="L8" s="53">
        <f t="shared" si="1"/>
        <v>0</v>
      </c>
      <c r="M8" s="54">
        <f t="shared" si="2"/>
        <v>0</v>
      </c>
      <c r="N8" s="54">
        <f t="shared" si="3"/>
        <v>0</v>
      </c>
      <c r="Q8">
        <v>5500</v>
      </c>
    </row>
    <row r="9" spans="1:17" ht="34.35" customHeight="1">
      <c r="A9" s="32" t="s">
        <v>733</v>
      </c>
      <c r="B9" s="31" t="s">
        <v>46</v>
      </c>
      <c r="C9" s="29">
        <v>8</v>
      </c>
      <c r="D9" s="5" t="s">
        <v>52</v>
      </c>
      <c r="E9" s="5"/>
      <c r="F9" s="14" t="s">
        <v>38</v>
      </c>
      <c r="G9" s="2" t="s">
        <v>48</v>
      </c>
      <c r="H9" s="2" t="s">
        <v>49</v>
      </c>
      <c r="I9" s="1">
        <v>0</v>
      </c>
      <c r="J9" s="47">
        <v>45748</v>
      </c>
      <c r="K9" s="53">
        <f t="shared" si="0"/>
        <v>0</v>
      </c>
      <c r="L9" s="53">
        <f t="shared" si="1"/>
        <v>0</v>
      </c>
      <c r="M9" s="54">
        <f t="shared" si="2"/>
        <v>0</v>
      </c>
      <c r="N9" s="54">
        <f t="shared" si="3"/>
        <v>0</v>
      </c>
      <c r="Q9">
        <v>1500</v>
      </c>
    </row>
    <row r="10" spans="1:17" ht="34.35" customHeight="1">
      <c r="A10" s="32" t="s">
        <v>733</v>
      </c>
      <c r="B10" s="31" t="s">
        <v>46</v>
      </c>
      <c r="C10" s="29">
        <v>9</v>
      </c>
      <c r="D10" s="6" t="s">
        <v>736</v>
      </c>
      <c r="E10" s="6"/>
      <c r="F10" s="14" t="s">
        <v>38</v>
      </c>
      <c r="G10" s="2" t="s">
        <v>48</v>
      </c>
      <c r="H10" s="2" t="s">
        <v>49</v>
      </c>
      <c r="I10" s="1">
        <v>0</v>
      </c>
      <c r="J10" s="47">
        <v>45748</v>
      </c>
      <c r="K10" s="53">
        <f t="shared" si="0"/>
        <v>0</v>
      </c>
      <c r="L10" s="53">
        <f t="shared" si="1"/>
        <v>0</v>
      </c>
      <c r="M10" s="54">
        <f t="shared" si="2"/>
        <v>0</v>
      </c>
      <c r="N10" s="54">
        <f t="shared" si="3"/>
        <v>0</v>
      </c>
      <c r="Q10">
        <f>(Q8+Q9)*2</f>
        <v>14000</v>
      </c>
    </row>
    <row r="11" spans="1:17" ht="34.35" customHeight="1">
      <c r="A11" s="32" t="s">
        <v>737</v>
      </c>
      <c r="B11" s="15" t="s">
        <v>113</v>
      </c>
      <c r="C11" s="29">
        <v>10</v>
      </c>
      <c r="D11" s="5" t="s">
        <v>114</v>
      </c>
      <c r="E11" s="5"/>
      <c r="F11" s="14" t="s">
        <v>38</v>
      </c>
      <c r="G11" s="2" t="s">
        <v>115</v>
      </c>
      <c r="H11" s="2" t="s">
        <v>116</v>
      </c>
      <c r="I11" s="1">
        <v>0</v>
      </c>
      <c r="J11" s="47">
        <v>45748</v>
      </c>
      <c r="K11" s="53">
        <f t="shared" si="0"/>
        <v>0</v>
      </c>
      <c r="L11" s="53">
        <f t="shared" si="1"/>
        <v>0</v>
      </c>
      <c r="M11" s="54">
        <f t="shared" si="2"/>
        <v>0</v>
      </c>
      <c r="N11" s="54">
        <f t="shared" si="3"/>
        <v>0</v>
      </c>
    </row>
    <row r="12" spans="1:17" ht="34.35" customHeight="1">
      <c r="A12" s="32" t="s">
        <v>737</v>
      </c>
      <c r="B12" s="15" t="s">
        <v>113</v>
      </c>
      <c r="C12" s="29">
        <v>11</v>
      </c>
      <c r="D12" s="5" t="s">
        <v>118</v>
      </c>
      <c r="E12" s="5"/>
      <c r="F12" s="14" t="s">
        <v>38</v>
      </c>
      <c r="G12" s="2" t="s">
        <v>115</v>
      </c>
      <c r="H12" s="2" t="s">
        <v>116</v>
      </c>
      <c r="I12" s="3">
        <v>4</v>
      </c>
      <c r="J12" s="47">
        <v>45748</v>
      </c>
      <c r="K12" s="53">
        <f t="shared" si="0"/>
        <v>0.33</v>
      </c>
      <c r="L12" s="53">
        <f t="shared" si="1"/>
        <v>0.33</v>
      </c>
      <c r="M12" s="54">
        <f t="shared" si="2"/>
        <v>0.33</v>
      </c>
      <c r="N12" s="54">
        <f t="shared" si="3"/>
        <v>0.33</v>
      </c>
    </row>
    <row r="13" spans="1:17" ht="34.35" customHeight="1">
      <c r="A13" s="32" t="s">
        <v>737</v>
      </c>
      <c r="B13" s="15" t="s">
        <v>113</v>
      </c>
      <c r="C13" s="29">
        <v>12</v>
      </c>
      <c r="D13" s="5" t="s">
        <v>119</v>
      </c>
      <c r="E13" s="5"/>
      <c r="F13" s="14" t="s">
        <v>38</v>
      </c>
      <c r="G13" s="2" t="s">
        <v>115</v>
      </c>
      <c r="H13" s="2" t="s">
        <v>116</v>
      </c>
      <c r="I13" s="3">
        <v>9</v>
      </c>
      <c r="J13" s="47">
        <v>45748</v>
      </c>
      <c r="K13" s="53">
        <f t="shared" si="0"/>
        <v>0.75</v>
      </c>
      <c r="L13" s="53">
        <f t="shared" si="1"/>
        <v>0.75</v>
      </c>
      <c r="M13" s="54">
        <f t="shared" si="2"/>
        <v>0.75</v>
      </c>
      <c r="N13" s="54">
        <f t="shared" si="3"/>
        <v>0.75</v>
      </c>
    </row>
    <row r="14" spans="1:17" ht="34.35" customHeight="1">
      <c r="A14" s="32" t="s">
        <v>737</v>
      </c>
      <c r="B14" s="15" t="s">
        <v>113</v>
      </c>
      <c r="C14" s="29">
        <v>13</v>
      </c>
      <c r="D14" s="6" t="s">
        <v>120</v>
      </c>
      <c r="E14" s="6"/>
      <c r="F14" s="14" t="s">
        <v>38</v>
      </c>
      <c r="G14" s="2" t="s">
        <v>115</v>
      </c>
      <c r="H14" s="2" t="s">
        <v>116</v>
      </c>
      <c r="I14" s="3">
        <v>6</v>
      </c>
      <c r="J14" s="47">
        <v>45748</v>
      </c>
      <c r="K14" s="53">
        <f t="shared" si="0"/>
        <v>0.5</v>
      </c>
      <c r="L14" s="53">
        <f t="shared" si="1"/>
        <v>0.5</v>
      </c>
      <c r="M14" s="54">
        <f t="shared" si="2"/>
        <v>0.5</v>
      </c>
      <c r="N14" s="54">
        <f t="shared" si="3"/>
        <v>0.5</v>
      </c>
    </row>
    <row r="15" spans="1:17" ht="34.35" customHeight="1">
      <c r="A15" s="32" t="s">
        <v>737</v>
      </c>
      <c r="B15" s="15" t="s">
        <v>113</v>
      </c>
      <c r="C15" s="29">
        <v>14</v>
      </c>
      <c r="D15" s="5" t="s">
        <v>125</v>
      </c>
      <c r="E15" s="5"/>
      <c r="F15" s="14" t="s">
        <v>38</v>
      </c>
      <c r="G15" s="2" t="s">
        <v>126</v>
      </c>
      <c r="H15" s="2" t="s">
        <v>127</v>
      </c>
      <c r="I15" s="1">
        <v>6</v>
      </c>
      <c r="J15" s="47">
        <v>45748</v>
      </c>
      <c r="K15" s="53">
        <f t="shared" si="0"/>
        <v>0.5</v>
      </c>
      <c r="L15" s="53">
        <f t="shared" si="1"/>
        <v>0.5</v>
      </c>
      <c r="M15" s="54">
        <f t="shared" si="2"/>
        <v>0.5</v>
      </c>
      <c r="N15" s="54">
        <f t="shared" si="3"/>
        <v>0.5</v>
      </c>
    </row>
    <row r="16" spans="1:17" ht="34.35" customHeight="1">
      <c r="A16" s="32" t="s">
        <v>737</v>
      </c>
      <c r="B16" s="15" t="s">
        <v>113</v>
      </c>
      <c r="C16" s="29">
        <v>15</v>
      </c>
      <c r="D16" s="6" t="s">
        <v>129</v>
      </c>
      <c r="E16" s="6"/>
      <c r="F16" s="14" t="s">
        <v>38</v>
      </c>
      <c r="G16" s="2" t="s">
        <v>126</v>
      </c>
      <c r="H16" s="2" t="s">
        <v>130</v>
      </c>
      <c r="I16" s="1">
        <v>5</v>
      </c>
      <c r="J16" s="47">
        <v>45748</v>
      </c>
      <c r="K16" s="53">
        <f t="shared" si="0"/>
        <v>0.42</v>
      </c>
      <c r="L16" s="53">
        <f t="shared" si="1"/>
        <v>0.42</v>
      </c>
      <c r="M16" s="54">
        <f t="shared" si="2"/>
        <v>0.42</v>
      </c>
      <c r="N16" s="54">
        <f t="shared" si="3"/>
        <v>0.42</v>
      </c>
    </row>
    <row r="17" spans="1:14" ht="34.35" customHeight="1">
      <c r="A17" s="32" t="s">
        <v>737</v>
      </c>
      <c r="B17" s="9" t="s">
        <v>131</v>
      </c>
      <c r="C17" s="13">
        <v>16</v>
      </c>
      <c r="D17" s="5" t="s">
        <v>132</v>
      </c>
      <c r="E17" s="5"/>
      <c r="F17" s="14" t="s">
        <v>133</v>
      </c>
      <c r="G17" s="2" t="s">
        <v>134</v>
      </c>
      <c r="H17" s="2" t="s">
        <v>135</v>
      </c>
      <c r="I17" s="16">
        <v>5.6228257045651073E-3</v>
      </c>
      <c r="J17" s="47">
        <v>45748</v>
      </c>
      <c r="K17" s="53">
        <f t="shared" si="0"/>
        <v>0</v>
      </c>
      <c r="L17" s="53">
        <f t="shared" si="1"/>
        <v>0</v>
      </c>
      <c r="M17" s="54">
        <f t="shared" si="2"/>
        <v>0</v>
      </c>
      <c r="N17" s="54">
        <f t="shared" si="3"/>
        <v>0</v>
      </c>
    </row>
    <row r="18" spans="1:14" ht="34.35" customHeight="1">
      <c r="A18" s="32" t="s">
        <v>737</v>
      </c>
      <c r="B18" s="9" t="s">
        <v>131</v>
      </c>
      <c r="C18" s="13"/>
      <c r="D18" s="5" t="s">
        <v>132</v>
      </c>
      <c r="E18" s="5"/>
      <c r="F18" s="14" t="s">
        <v>136</v>
      </c>
      <c r="G18" s="2" t="s">
        <v>134</v>
      </c>
      <c r="H18" s="2" t="s">
        <v>135</v>
      </c>
      <c r="I18" s="27">
        <v>162.9</v>
      </c>
      <c r="J18" s="47">
        <v>45748</v>
      </c>
      <c r="K18" s="53">
        <f t="shared" si="0"/>
        <v>13.58</v>
      </c>
      <c r="L18" s="53">
        <f t="shared" si="1"/>
        <v>13.58</v>
      </c>
      <c r="M18" s="54">
        <f t="shared" si="2"/>
        <v>13.58</v>
      </c>
      <c r="N18" s="54">
        <f t="shared" si="3"/>
        <v>13.58</v>
      </c>
    </row>
    <row r="19" spans="1:14" ht="34.35" customHeight="1">
      <c r="A19" s="32" t="s">
        <v>737</v>
      </c>
      <c r="B19" s="9" t="s">
        <v>131</v>
      </c>
      <c r="C19" s="29">
        <v>17</v>
      </c>
      <c r="D19" s="5" t="s">
        <v>137</v>
      </c>
      <c r="E19" s="5"/>
      <c r="F19" s="14" t="s">
        <v>136</v>
      </c>
      <c r="G19" s="2" t="s">
        <v>138</v>
      </c>
      <c r="H19" s="2" t="s">
        <v>135</v>
      </c>
      <c r="I19" s="3">
        <v>231.81399999999999</v>
      </c>
      <c r="J19" s="47">
        <v>45748</v>
      </c>
      <c r="K19" s="53">
        <f t="shared" si="0"/>
        <v>19.32</v>
      </c>
      <c r="L19" s="53">
        <f t="shared" si="1"/>
        <v>19.32</v>
      </c>
      <c r="M19" s="54">
        <f t="shared" si="2"/>
        <v>19.32</v>
      </c>
      <c r="N19" s="54">
        <f t="shared" si="3"/>
        <v>19.32</v>
      </c>
    </row>
    <row r="20" spans="1:14" ht="34.35" customHeight="1">
      <c r="A20" s="32" t="s">
        <v>738</v>
      </c>
      <c r="B20" s="9" t="s">
        <v>283</v>
      </c>
      <c r="C20" s="29">
        <v>10</v>
      </c>
      <c r="D20" s="5" t="s">
        <v>284</v>
      </c>
      <c r="E20" s="5" t="s">
        <v>739</v>
      </c>
      <c r="F20" s="14" t="s">
        <v>38</v>
      </c>
      <c r="G20" s="2" t="s">
        <v>106</v>
      </c>
      <c r="H20" s="2" t="s">
        <v>285</v>
      </c>
      <c r="I20" s="1">
        <v>130</v>
      </c>
      <c r="J20" s="47">
        <v>45748</v>
      </c>
      <c r="K20" s="53">
        <f t="shared" si="0"/>
        <v>10.83</v>
      </c>
      <c r="L20" s="53">
        <f t="shared" si="1"/>
        <v>10.83</v>
      </c>
      <c r="M20" s="54">
        <f t="shared" si="2"/>
        <v>10.83</v>
      </c>
      <c r="N20" s="54">
        <f t="shared" si="3"/>
        <v>10.83</v>
      </c>
    </row>
    <row r="21" spans="1:14" ht="34.35" customHeight="1">
      <c r="A21" s="32" t="s">
        <v>738</v>
      </c>
      <c r="B21" s="9" t="s">
        <v>286</v>
      </c>
      <c r="C21" s="29">
        <v>11</v>
      </c>
      <c r="D21" s="5" t="s">
        <v>287</v>
      </c>
      <c r="E21" s="5"/>
      <c r="F21" s="14" t="s">
        <v>288</v>
      </c>
      <c r="G21" s="2" t="s">
        <v>106</v>
      </c>
      <c r="H21" s="2" t="s">
        <v>289</v>
      </c>
      <c r="I21" s="1">
        <v>0</v>
      </c>
      <c r="J21" s="47">
        <v>45748</v>
      </c>
      <c r="K21" s="53">
        <f t="shared" si="0"/>
        <v>0</v>
      </c>
      <c r="L21" s="53">
        <f t="shared" si="1"/>
        <v>0</v>
      </c>
      <c r="M21" s="54">
        <f t="shared" si="2"/>
        <v>0</v>
      </c>
      <c r="N21" s="54">
        <f t="shared" si="3"/>
        <v>0</v>
      </c>
    </row>
    <row r="22" spans="1:14" ht="34.35" customHeight="1">
      <c r="A22" s="32" t="s">
        <v>738</v>
      </c>
      <c r="B22" s="9" t="s">
        <v>292</v>
      </c>
      <c r="C22" s="29">
        <v>12</v>
      </c>
      <c r="D22" s="5" t="s">
        <v>41</v>
      </c>
      <c r="E22" s="5"/>
      <c r="F22" s="14" t="s">
        <v>133</v>
      </c>
      <c r="G22" s="2" t="s">
        <v>105</v>
      </c>
      <c r="H22" s="2" t="s">
        <v>43</v>
      </c>
      <c r="I22" s="17">
        <v>1</v>
      </c>
      <c r="J22" s="47">
        <v>45748</v>
      </c>
      <c r="K22" s="53">
        <f t="shared" si="0"/>
        <v>0.08</v>
      </c>
      <c r="L22" s="53">
        <f t="shared" si="1"/>
        <v>0.08</v>
      </c>
      <c r="M22" s="54">
        <f t="shared" si="2"/>
        <v>0.08</v>
      </c>
      <c r="N22" s="54">
        <f t="shared" si="3"/>
        <v>0.08</v>
      </c>
    </row>
    <row r="23" spans="1:14" ht="34.35" customHeight="1">
      <c r="A23" s="32" t="s">
        <v>738</v>
      </c>
      <c r="B23" s="9" t="s">
        <v>293</v>
      </c>
      <c r="C23" s="29">
        <v>13</v>
      </c>
      <c r="D23" s="5" t="s">
        <v>41</v>
      </c>
      <c r="E23" s="5"/>
      <c r="F23" s="14" t="s">
        <v>38</v>
      </c>
      <c r="G23" s="2" t="s">
        <v>105</v>
      </c>
      <c r="H23" s="2" t="s">
        <v>43</v>
      </c>
      <c r="I23" s="1">
        <v>0</v>
      </c>
      <c r="J23" s="47">
        <v>45748</v>
      </c>
      <c r="K23" s="53">
        <f t="shared" si="0"/>
        <v>0</v>
      </c>
      <c r="L23" s="53">
        <f t="shared" si="1"/>
        <v>0</v>
      </c>
      <c r="M23" s="54">
        <f t="shared" si="2"/>
        <v>0</v>
      </c>
      <c r="N23" s="54">
        <f t="shared" si="3"/>
        <v>0</v>
      </c>
    </row>
    <row r="24" spans="1:14" ht="34.35" customHeight="1">
      <c r="A24" s="32" t="s">
        <v>738</v>
      </c>
      <c r="B24" s="9" t="s">
        <v>294</v>
      </c>
      <c r="C24" s="29">
        <v>14</v>
      </c>
      <c r="D24" s="5" t="s">
        <v>41</v>
      </c>
      <c r="E24" s="3" t="s">
        <v>740</v>
      </c>
      <c r="F24" s="14" t="s">
        <v>136</v>
      </c>
      <c r="G24" s="2" t="s">
        <v>110</v>
      </c>
      <c r="H24" s="2" t="s">
        <v>134</v>
      </c>
      <c r="I24" s="3">
        <v>7.65</v>
      </c>
      <c r="J24" s="47">
        <v>45748</v>
      </c>
      <c r="K24" s="53">
        <f t="shared" si="0"/>
        <v>0.64</v>
      </c>
      <c r="L24" s="53">
        <f t="shared" si="1"/>
        <v>0.64</v>
      </c>
      <c r="M24" s="54">
        <f t="shared" si="2"/>
        <v>0.64</v>
      </c>
      <c r="N24" s="54">
        <f t="shared" si="3"/>
        <v>0.64</v>
      </c>
    </row>
    <row r="25" spans="1:14" ht="34.35" customHeight="1">
      <c r="A25" s="32" t="s">
        <v>741</v>
      </c>
      <c r="B25" s="36" t="s">
        <v>310</v>
      </c>
      <c r="C25" s="29">
        <v>15</v>
      </c>
      <c r="D25" s="5" t="s">
        <v>311</v>
      </c>
      <c r="E25" s="5"/>
      <c r="F25" s="14" t="s">
        <v>38</v>
      </c>
      <c r="G25" s="2" t="s">
        <v>489</v>
      </c>
      <c r="H25" s="2" t="s">
        <v>40</v>
      </c>
      <c r="I25" s="3">
        <v>0</v>
      </c>
      <c r="J25" s="47">
        <v>45748</v>
      </c>
      <c r="K25" s="53">
        <f t="shared" si="0"/>
        <v>0</v>
      </c>
      <c r="L25" s="53">
        <f t="shared" si="1"/>
        <v>0</v>
      </c>
      <c r="M25" s="54">
        <f t="shared" si="2"/>
        <v>0</v>
      </c>
      <c r="N25" s="54">
        <f t="shared" si="3"/>
        <v>0</v>
      </c>
    </row>
    <row r="26" spans="1:14" ht="34.35" customHeight="1">
      <c r="A26" s="32" t="s">
        <v>741</v>
      </c>
      <c r="B26" s="36" t="s">
        <v>310</v>
      </c>
      <c r="C26" s="29">
        <v>16</v>
      </c>
      <c r="D26" s="5" t="s">
        <v>313</v>
      </c>
      <c r="E26" s="5"/>
      <c r="F26" s="14" t="s">
        <v>38</v>
      </c>
      <c r="G26" s="2" t="s">
        <v>489</v>
      </c>
      <c r="H26" s="2" t="s">
        <v>40</v>
      </c>
      <c r="I26" s="3">
        <v>0</v>
      </c>
      <c r="J26" s="47">
        <v>45748</v>
      </c>
      <c r="K26" s="53">
        <f t="shared" si="0"/>
        <v>0</v>
      </c>
      <c r="L26" s="53">
        <f t="shared" si="1"/>
        <v>0</v>
      </c>
      <c r="M26" s="54">
        <f t="shared" si="2"/>
        <v>0</v>
      </c>
      <c r="N26" s="54">
        <f t="shared" si="3"/>
        <v>0</v>
      </c>
    </row>
    <row r="27" spans="1:14" ht="34.35" customHeight="1">
      <c r="A27" s="32" t="s">
        <v>741</v>
      </c>
      <c r="B27" s="36" t="s">
        <v>310</v>
      </c>
      <c r="C27" s="29">
        <v>17</v>
      </c>
      <c r="D27" s="6" t="s">
        <v>314</v>
      </c>
      <c r="E27" s="6"/>
      <c r="F27" s="14" t="s">
        <v>38</v>
      </c>
      <c r="G27" s="2" t="s">
        <v>489</v>
      </c>
      <c r="H27" s="2" t="s">
        <v>40</v>
      </c>
      <c r="I27" s="3">
        <v>0</v>
      </c>
      <c r="J27" s="47">
        <v>45748</v>
      </c>
      <c r="K27" s="53">
        <f t="shared" si="0"/>
        <v>0</v>
      </c>
      <c r="L27" s="53">
        <f t="shared" si="1"/>
        <v>0</v>
      </c>
      <c r="M27" s="54">
        <f t="shared" si="2"/>
        <v>0</v>
      </c>
      <c r="N27" s="54">
        <f t="shared" si="3"/>
        <v>0</v>
      </c>
    </row>
    <row r="28" spans="1:14" ht="34.35" customHeight="1">
      <c r="A28" s="32" t="s">
        <v>741</v>
      </c>
      <c r="B28" s="36" t="s">
        <v>310</v>
      </c>
      <c r="C28" s="13">
        <v>18</v>
      </c>
      <c r="D28" s="5" t="s">
        <v>315</v>
      </c>
      <c r="E28" s="3" t="s">
        <v>458</v>
      </c>
      <c r="F28" s="14" t="s">
        <v>38</v>
      </c>
      <c r="G28" s="2" t="s">
        <v>316</v>
      </c>
      <c r="H28" s="2" t="s">
        <v>40</v>
      </c>
      <c r="I28" s="3">
        <v>280</v>
      </c>
      <c r="J28" s="47">
        <v>45748</v>
      </c>
      <c r="K28" s="53">
        <f t="shared" si="0"/>
        <v>23.33</v>
      </c>
      <c r="L28" s="53">
        <f t="shared" si="1"/>
        <v>23.33</v>
      </c>
      <c r="M28" s="54">
        <f t="shared" si="2"/>
        <v>23.33</v>
      </c>
      <c r="N28" s="54">
        <f t="shared" si="3"/>
        <v>23.33</v>
      </c>
    </row>
    <row r="29" spans="1:14" ht="34.35" customHeight="1">
      <c r="A29" s="32" t="s">
        <v>741</v>
      </c>
      <c r="B29" s="36" t="s">
        <v>310</v>
      </c>
      <c r="C29" s="13"/>
      <c r="D29" s="5" t="s">
        <v>315</v>
      </c>
      <c r="E29" s="3" t="s">
        <v>459</v>
      </c>
      <c r="F29" s="14" t="s">
        <v>136</v>
      </c>
      <c r="G29" s="2" t="s">
        <v>316</v>
      </c>
      <c r="H29" s="2" t="s">
        <v>40</v>
      </c>
      <c r="I29" s="3">
        <v>106</v>
      </c>
      <c r="J29" s="47">
        <v>45748</v>
      </c>
      <c r="K29" s="53">
        <f t="shared" si="0"/>
        <v>8.83</v>
      </c>
      <c r="L29" s="53">
        <f t="shared" si="1"/>
        <v>8.83</v>
      </c>
      <c r="M29" s="54">
        <f t="shared" si="2"/>
        <v>8.83</v>
      </c>
      <c r="N29" s="54">
        <f t="shared" si="3"/>
        <v>8.83</v>
      </c>
    </row>
    <row r="30" spans="1:14" ht="34.35" customHeight="1">
      <c r="A30" s="32" t="s">
        <v>741</v>
      </c>
      <c r="B30" s="36" t="s">
        <v>310</v>
      </c>
      <c r="C30" s="13">
        <v>19</v>
      </c>
      <c r="D30" s="5" t="s">
        <v>317</v>
      </c>
      <c r="E30" s="5"/>
      <c r="F30" s="14" t="s">
        <v>38</v>
      </c>
      <c r="G30" s="2" t="s">
        <v>316</v>
      </c>
      <c r="H30" s="2" t="s">
        <v>40</v>
      </c>
      <c r="I30" s="3">
        <v>0</v>
      </c>
      <c r="J30" s="47">
        <v>45748</v>
      </c>
      <c r="K30" s="53">
        <f t="shared" si="0"/>
        <v>0</v>
      </c>
      <c r="L30" s="53">
        <f t="shared" si="1"/>
        <v>0</v>
      </c>
      <c r="M30" s="54">
        <f t="shared" si="2"/>
        <v>0</v>
      </c>
      <c r="N30" s="54">
        <f t="shared" si="3"/>
        <v>0</v>
      </c>
    </row>
    <row r="31" spans="1:14" ht="34.35" customHeight="1">
      <c r="A31" s="32" t="s">
        <v>741</v>
      </c>
      <c r="B31" s="36" t="s">
        <v>310</v>
      </c>
      <c r="C31" s="13"/>
      <c r="D31" s="5" t="s">
        <v>317</v>
      </c>
      <c r="E31" s="5"/>
      <c r="F31" s="14" t="s">
        <v>136</v>
      </c>
      <c r="G31" s="2" t="s">
        <v>316</v>
      </c>
      <c r="H31" s="2" t="s">
        <v>40</v>
      </c>
      <c r="I31" s="3">
        <v>0</v>
      </c>
      <c r="J31" s="47">
        <v>45748</v>
      </c>
      <c r="K31" s="53">
        <f t="shared" si="0"/>
        <v>0</v>
      </c>
      <c r="L31" s="53">
        <f t="shared" si="1"/>
        <v>0</v>
      </c>
      <c r="M31" s="54">
        <f t="shared" si="2"/>
        <v>0</v>
      </c>
      <c r="N31" s="54">
        <f t="shared" si="3"/>
        <v>0</v>
      </c>
    </row>
    <row r="32" spans="1:14" ht="34.35" customHeight="1">
      <c r="A32" s="32" t="s">
        <v>741</v>
      </c>
      <c r="B32" s="36" t="s">
        <v>310</v>
      </c>
      <c r="C32" s="13">
        <v>20</v>
      </c>
      <c r="D32" s="5" t="s">
        <v>318</v>
      </c>
      <c r="E32" s="3" t="s">
        <v>460</v>
      </c>
      <c r="F32" s="14" t="s">
        <v>38</v>
      </c>
      <c r="G32" s="2" t="s">
        <v>316</v>
      </c>
      <c r="H32" s="2" t="s">
        <v>40</v>
      </c>
      <c r="I32" s="3">
        <v>192</v>
      </c>
      <c r="J32" s="47">
        <v>45748</v>
      </c>
      <c r="K32" s="53">
        <f t="shared" si="0"/>
        <v>16</v>
      </c>
      <c r="L32" s="53">
        <f t="shared" si="1"/>
        <v>16</v>
      </c>
      <c r="M32" s="54">
        <f t="shared" si="2"/>
        <v>16</v>
      </c>
      <c r="N32" s="54">
        <f t="shared" si="3"/>
        <v>16</v>
      </c>
    </row>
    <row r="33" spans="1:14" ht="34.35" customHeight="1">
      <c r="A33" s="32" t="s">
        <v>741</v>
      </c>
      <c r="B33" s="36" t="s">
        <v>310</v>
      </c>
      <c r="C33" s="13"/>
      <c r="D33" s="5" t="s">
        <v>318</v>
      </c>
      <c r="E33" s="3" t="s">
        <v>461</v>
      </c>
      <c r="F33" s="14" t="s">
        <v>136</v>
      </c>
      <c r="G33" s="2" t="s">
        <v>316</v>
      </c>
      <c r="H33" s="2" t="s">
        <v>40</v>
      </c>
      <c r="I33" s="3">
        <v>307</v>
      </c>
      <c r="J33" s="47">
        <v>45748</v>
      </c>
      <c r="K33" s="53">
        <f t="shared" si="0"/>
        <v>25.58</v>
      </c>
      <c r="L33" s="53">
        <f t="shared" si="1"/>
        <v>25.58</v>
      </c>
      <c r="M33" s="54">
        <f t="shared" si="2"/>
        <v>25.58</v>
      </c>
      <c r="N33" s="54">
        <f t="shared" si="3"/>
        <v>25.58</v>
      </c>
    </row>
    <row r="34" spans="1:14" ht="34.35" customHeight="1">
      <c r="A34" s="32" t="s">
        <v>741</v>
      </c>
      <c r="B34" s="9" t="s">
        <v>319</v>
      </c>
      <c r="C34" s="29">
        <v>21</v>
      </c>
      <c r="D34" s="5" t="s">
        <v>320</v>
      </c>
      <c r="E34" s="5"/>
      <c r="F34" s="14" t="s">
        <v>38</v>
      </c>
      <c r="G34" s="2" t="s">
        <v>321</v>
      </c>
      <c r="H34" s="2" t="s">
        <v>40</v>
      </c>
      <c r="I34" s="3">
        <v>0</v>
      </c>
      <c r="J34" s="47">
        <v>45748</v>
      </c>
      <c r="K34" s="53">
        <f t="shared" si="0"/>
        <v>0</v>
      </c>
      <c r="L34" s="53">
        <f t="shared" si="1"/>
        <v>0</v>
      </c>
      <c r="M34" s="54">
        <f t="shared" si="2"/>
        <v>0</v>
      </c>
      <c r="N34" s="54">
        <f t="shared" si="3"/>
        <v>0</v>
      </c>
    </row>
    <row r="35" spans="1:14" ht="34.35" customHeight="1">
      <c r="A35" s="32" t="s">
        <v>741</v>
      </c>
      <c r="B35" s="9" t="s">
        <v>319</v>
      </c>
      <c r="C35" s="29">
        <v>22</v>
      </c>
      <c r="D35" s="5" t="s">
        <v>322</v>
      </c>
      <c r="E35" s="5"/>
      <c r="F35" s="14" t="s">
        <v>38</v>
      </c>
      <c r="G35" s="2" t="s">
        <v>321</v>
      </c>
      <c r="H35" s="2" t="s">
        <v>40</v>
      </c>
      <c r="I35" s="3">
        <v>0</v>
      </c>
      <c r="J35" s="47">
        <v>45748</v>
      </c>
      <c r="K35" s="53">
        <f t="shared" si="0"/>
        <v>0</v>
      </c>
      <c r="L35" s="53">
        <f t="shared" si="1"/>
        <v>0</v>
      </c>
      <c r="M35" s="54">
        <f t="shared" si="2"/>
        <v>0</v>
      </c>
      <c r="N35" s="54">
        <f t="shared" si="3"/>
        <v>0</v>
      </c>
    </row>
    <row r="36" spans="1:14" ht="34.35" customHeight="1">
      <c r="A36" s="32" t="s">
        <v>741</v>
      </c>
      <c r="B36" s="9" t="s">
        <v>319</v>
      </c>
      <c r="C36" s="29">
        <v>23</v>
      </c>
      <c r="D36" s="5" t="s">
        <v>313</v>
      </c>
      <c r="E36" s="5"/>
      <c r="F36" s="14" t="s">
        <v>38</v>
      </c>
      <c r="G36" s="2" t="s">
        <v>321</v>
      </c>
      <c r="H36" s="2" t="s">
        <v>40</v>
      </c>
      <c r="I36" s="3">
        <v>0</v>
      </c>
      <c r="J36" s="47">
        <v>45748</v>
      </c>
      <c r="K36" s="53">
        <f t="shared" si="0"/>
        <v>0</v>
      </c>
      <c r="L36" s="53">
        <f t="shared" si="1"/>
        <v>0</v>
      </c>
      <c r="M36" s="54">
        <f t="shared" si="2"/>
        <v>0</v>
      </c>
      <c r="N36" s="54">
        <f t="shared" si="3"/>
        <v>0</v>
      </c>
    </row>
    <row r="37" spans="1:14" ht="34.35" customHeight="1">
      <c r="A37" s="32" t="s">
        <v>741</v>
      </c>
      <c r="B37" s="9" t="s">
        <v>319</v>
      </c>
      <c r="C37" s="29">
        <v>24</v>
      </c>
      <c r="D37" s="5" t="s">
        <v>323</v>
      </c>
      <c r="E37" s="5"/>
      <c r="F37" s="14" t="s">
        <v>38</v>
      </c>
      <c r="G37" s="2" t="s">
        <v>321</v>
      </c>
      <c r="H37" s="2" t="s">
        <v>40</v>
      </c>
      <c r="I37" s="3">
        <v>5</v>
      </c>
      <c r="J37" s="47">
        <v>45748</v>
      </c>
      <c r="K37" s="53">
        <f t="shared" si="0"/>
        <v>0.42</v>
      </c>
      <c r="L37" s="53">
        <f t="shared" si="1"/>
        <v>0.42</v>
      </c>
      <c r="M37" s="54">
        <f t="shared" si="2"/>
        <v>0.42</v>
      </c>
      <c r="N37" s="54">
        <f t="shared" si="3"/>
        <v>0.42</v>
      </c>
    </row>
    <row r="38" spans="1:14" ht="34.35" customHeight="1">
      <c r="A38" s="32" t="s">
        <v>741</v>
      </c>
      <c r="B38" s="30" t="s">
        <v>324</v>
      </c>
      <c r="C38" s="29">
        <v>25</v>
      </c>
      <c r="D38" s="5" t="s">
        <v>311</v>
      </c>
      <c r="E38" s="5"/>
      <c r="F38" s="14" t="s">
        <v>38</v>
      </c>
      <c r="G38" s="2" t="s">
        <v>312</v>
      </c>
      <c r="H38" s="2" t="s">
        <v>40</v>
      </c>
      <c r="I38" s="1">
        <v>0</v>
      </c>
      <c r="J38" s="47">
        <v>45748</v>
      </c>
      <c r="K38" s="53">
        <f t="shared" si="0"/>
        <v>0</v>
      </c>
      <c r="L38" s="53">
        <f t="shared" si="1"/>
        <v>0</v>
      </c>
      <c r="M38" s="54">
        <f t="shared" si="2"/>
        <v>0</v>
      </c>
      <c r="N38" s="54">
        <f t="shared" si="3"/>
        <v>0</v>
      </c>
    </row>
    <row r="39" spans="1:14" ht="34.35" customHeight="1">
      <c r="A39" s="32" t="s">
        <v>741</v>
      </c>
      <c r="B39" s="30" t="s">
        <v>324</v>
      </c>
      <c r="C39" s="29">
        <v>26</v>
      </c>
      <c r="D39" s="5" t="s">
        <v>313</v>
      </c>
      <c r="E39" s="5"/>
      <c r="F39" s="14" t="s">
        <v>38</v>
      </c>
      <c r="G39" s="2" t="s">
        <v>312</v>
      </c>
      <c r="H39" s="2"/>
      <c r="I39" s="1"/>
      <c r="J39" s="47">
        <v>45748</v>
      </c>
      <c r="K39" s="53">
        <f t="shared" si="0"/>
        <v>0</v>
      </c>
      <c r="L39" s="53">
        <f t="shared" si="1"/>
        <v>0</v>
      </c>
      <c r="M39" s="54">
        <f t="shared" si="2"/>
        <v>0</v>
      </c>
      <c r="N39" s="54">
        <f t="shared" si="3"/>
        <v>0</v>
      </c>
    </row>
    <row r="40" spans="1:14" ht="34.35" customHeight="1">
      <c r="A40" s="32" t="s">
        <v>741</v>
      </c>
      <c r="B40" s="30" t="s">
        <v>324</v>
      </c>
      <c r="C40" s="29">
        <v>27</v>
      </c>
      <c r="D40" s="6" t="s">
        <v>314</v>
      </c>
      <c r="E40" s="6"/>
      <c r="F40" s="14" t="s">
        <v>38</v>
      </c>
      <c r="G40" s="2" t="s">
        <v>312</v>
      </c>
      <c r="H40" s="2" t="s">
        <v>40</v>
      </c>
      <c r="I40" s="1">
        <v>0</v>
      </c>
      <c r="J40" s="47">
        <v>45748</v>
      </c>
      <c r="K40" s="53">
        <f t="shared" si="0"/>
        <v>0</v>
      </c>
      <c r="L40" s="53">
        <f t="shared" si="1"/>
        <v>0</v>
      </c>
      <c r="M40" s="54">
        <f t="shared" si="2"/>
        <v>0</v>
      </c>
      <c r="N40" s="54">
        <f t="shared" si="3"/>
        <v>0</v>
      </c>
    </row>
    <row r="41" spans="1:14" ht="34.35" customHeight="1">
      <c r="A41" s="32" t="s">
        <v>741</v>
      </c>
      <c r="B41" s="37" t="s">
        <v>325</v>
      </c>
      <c r="C41" s="13">
        <v>28</v>
      </c>
      <c r="D41" s="5" t="s">
        <v>326</v>
      </c>
      <c r="E41" s="5"/>
      <c r="F41" s="14" t="s">
        <v>38</v>
      </c>
      <c r="G41" s="2" t="s">
        <v>327</v>
      </c>
      <c r="H41" s="2" t="s">
        <v>40</v>
      </c>
      <c r="I41" s="1">
        <v>0</v>
      </c>
      <c r="J41" s="47">
        <v>45748</v>
      </c>
      <c r="K41" s="53">
        <f t="shared" si="0"/>
        <v>0</v>
      </c>
      <c r="L41" s="53">
        <f t="shared" si="1"/>
        <v>0</v>
      </c>
      <c r="M41" s="54">
        <f t="shared" si="2"/>
        <v>0</v>
      </c>
      <c r="N41" s="54">
        <f t="shared" si="3"/>
        <v>0</v>
      </c>
    </row>
    <row r="42" spans="1:14" ht="34.35" customHeight="1">
      <c r="A42" s="32" t="s">
        <v>741</v>
      </c>
      <c r="B42" s="37" t="s">
        <v>325</v>
      </c>
      <c r="C42" s="13"/>
      <c r="D42" s="5" t="s">
        <v>326</v>
      </c>
      <c r="E42" s="5"/>
      <c r="F42" s="14" t="s">
        <v>136</v>
      </c>
      <c r="G42" s="2" t="s">
        <v>327</v>
      </c>
      <c r="H42" s="2" t="s">
        <v>40</v>
      </c>
      <c r="I42" s="1">
        <v>0</v>
      </c>
      <c r="J42" s="47">
        <v>45748</v>
      </c>
      <c r="K42" s="53">
        <f t="shared" si="0"/>
        <v>0</v>
      </c>
      <c r="L42" s="53">
        <f t="shared" si="1"/>
        <v>0</v>
      </c>
      <c r="M42" s="54">
        <f t="shared" si="2"/>
        <v>0</v>
      </c>
      <c r="N42" s="54">
        <f t="shared" si="3"/>
        <v>0</v>
      </c>
    </row>
    <row r="43" spans="1:14" ht="34.35" customHeight="1">
      <c r="A43" s="32" t="s">
        <v>741</v>
      </c>
      <c r="B43" s="37" t="s">
        <v>325</v>
      </c>
      <c r="C43" s="13">
        <v>29</v>
      </c>
      <c r="D43" s="6" t="s">
        <v>328</v>
      </c>
      <c r="E43" s="6"/>
      <c r="F43" s="14" t="s">
        <v>38</v>
      </c>
      <c r="G43" s="2" t="s">
        <v>327</v>
      </c>
      <c r="H43" s="2" t="s">
        <v>40</v>
      </c>
      <c r="I43" s="1" t="s">
        <v>41</v>
      </c>
      <c r="J43" s="47">
        <v>45748</v>
      </c>
      <c r="K43" s="53" t="str">
        <f t="shared" si="0"/>
        <v>-</v>
      </c>
      <c r="L43" s="53" t="str">
        <f t="shared" si="1"/>
        <v>-</v>
      </c>
      <c r="M43" s="54" t="str">
        <f t="shared" si="2"/>
        <v>-</v>
      </c>
      <c r="N43" s="54" t="str">
        <f t="shared" si="3"/>
        <v>-</v>
      </c>
    </row>
    <row r="44" spans="1:14" ht="34.35" customHeight="1">
      <c r="A44" s="32" t="s">
        <v>741</v>
      </c>
      <c r="B44" s="37" t="s">
        <v>325</v>
      </c>
      <c r="C44" s="13"/>
      <c r="D44" s="6" t="s">
        <v>328</v>
      </c>
      <c r="E44" s="6"/>
      <c r="F44" s="14" t="s">
        <v>136</v>
      </c>
      <c r="G44" s="2" t="s">
        <v>327</v>
      </c>
      <c r="H44" s="2" t="s">
        <v>40</v>
      </c>
      <c r="I44" s="1" t="s">
        <v>41</v>
      </c>
      <c r="J44" s="47">
        <v>45748</v>
      </c>
      <c r="K44" s="53" t="str">
        <f t="shared" si="0"/>
        <v>-</v>
      </c>
      <c r="L44" s="53" t="str">
        <f t="shared" si="1"/>
        <v>-</v>
      </c>
      <c r="M44" s="54" t="str">
        <f t="shared" si="2"/>
        <v>-</v>
      </c>
      <c r="N44" s="54" t="str">
        <f t="shared" si="3"/>
        <v>-</v>
      </c>
    </row>
    <row r="45" spans="1:14" ht="34.35" customHeight="1">
      <c r="A45" s="32" t="s">
        <v>741</v>
      </c>
      <c r="B45" s="37" t="s">
        <v>325</v>
      </c>
      <c r="C45" s="13">
        <v>30</v>
      </c>
      <c r="D45" s="6" t="s">
        <v>329</v>
      </c>
      <c r="E45" s="6"/>
      <c r="F45" s="14" t="s">
        <v>38</v>
      </c>
      <c r="G45" s="2" t="s">
        <v>327</v>
      </c>
      <c r="H45" s="2" t="s">
        <v>40</v>
      </c>
      <c r="I45" s="1" t="s">
        <v>41</v>
      </c>
      <c r="J45" s="47">
        <v>45748</v>
      </c>
      <c r="K45" s="53" t="str">
        <f t="shared" si="0"/>
        <v>-</v>
      </c>
      <c r="L45" s="53" t="str">
        <f t="shared" si="1"/>
        <v>-</v>
      </c>
      <c r="M45" s="54" t="str">
        <f t="shared" si="2"/>
        <v>-</v>
      </c>
      <c r="N45" s="54" t="str">
        <f t="shared" si="3"/>
        <v>-</v>
      </c>
    </row>
    <row r="46" spans="1:14" ht="34.35" customHeight="1">
      <c r="A46" s="32" t="s">
        <v>741</v>
      </c>
      <c r="B46" s="37" t="s">
        <v>325</v>
      </c>
      <c r="C46" s="13"/>
      <c r="D46" s="6" t="s">
        <v>329</v>
      </c>
      <c r="E46" s="6"/>
      <c r="F46" s="14" t="s">
        <v>136</v>
      </c>
      <c r="G46" s="2" t="s">
        <v>327</v>
      </c>
      <c r="H46" s="2" t="s">
        <v>40</v>
      </c>
      <c r="I46" s="1" t="s">
        <v>41</v>
      </c>
      <c r="J46" s="47">
        <v>45748</v>
      </c>
      <c r="K46" s="53" t="str">
        <f t="shared" si="0"/>
        <v>-</v>
      </c>
      <c r="L46" s="53" t="str">
        <f t="shared" si="1"/>
        <v>-</v>
      </c>
      <c r="M46" s="54" t="str">
        <f t="shared" si="2"/>
        <v>-</v>
      </c>
      <c r="N46" s="54" t="str">
        <f t="shared" si="3"/>
        <v>-</v>
      </c>
    </row>
    <row r="47" spans="1:14" ht="34.35" customHeight="1">
      <c r="A47" s="32" t="s">
        <v>741</v>
      </c>
      <c r="B47" s="37" t="s">
        <v>325</v>
      </c>
      <c r="C47" s="13">
        <v>31</v>
      </c>
      <c r="D47" s="6" t="s">
        <v>462</v>
      </c>
      <c r="E47" s="6"/>
      <c r="F47" s="14" t="s">
        <v>38</v>
      </c>
      <c r="G47" s="2" t="s">
        <v>327</v>
      </c>
      <c r="H47" s="2" t="s">
        <v>40</v>
      </c>
      <c r="I47" s="1" t="s">
        <v>41</v>
      </c>
      <c r="J47" s="47">
        <v>45748</v>
      </c>
      <c r="K47" s="53" t="str">
        <f t="shared" si="0"/>
        <v>-</v>
      </c>
      <c r="L47" s="53" t="str">
        <f t="shared" si="1"/>
        <v>-</v>
      </c>
      <c r="M47" s="54" t="str">
        <f t="shared" si="2"/>
        <v>-</v>
      </c>
      <c r="N47" s="54" t="str">
        <f t="shared" si="3"/>
        <v>-</v>
      </c>
    </row>
    <row r="48" spans="1:14" ht="34.35" customHeight="1">
      <c r="A48" s="32" t="s">
        <v>741</v>
      </c>
      <c r="B48" s="37" t="s">
        <v>325</v>
      </c>
      <c r="C48" s="13"/>
      <c r="D48" s="6" t="s">
        <v>462</v>
      </c>
      <c r="E48" s="6"/>
      <c r="F48" s="14" t="s">
        <v>136</v>
      </c>
      <c r="G48" s="2" t="s">
        <v>327</v>
      </c>
      <c r="H48" s="2" t="s">
        <v>40</v>
      </c>
      <c r="I48" s="1" t="s">
        <v>41</v>
      </c>
      <c r="J48" s="47">
        <v>45748</v>
      </c>
      <c r="K48" s="53" t="str">
        <f t="shared" si="0"/>
        <v>-</v>
      </c>
      <c r="L48" s="53" t="str">
        <f t="shared" si="1"/>
        <v>-</v>
      </c>
      <c r="M48" s="54" t="str">
        <f t="shared" si="2"/>
        <v>-</v>
      </c>
      <c r="N48" s="54" t="str">
        <f t="shared" si="3"/>
        <v>-</v>
      </c>
    </row>
    <row r="49" spans="1:14" ht="34.35" customHeight="1">
      <c r="A49" s="32" t="s">
        <v>741</v>
      </c>
      <c r="B49" s="37" t="s">
        <v>325</v>
      </c>
      <c r="C49" s="13">
        <v>32</v>
      </c>
      <c r="D49" s="5" t="s">
        <v>331</v>
      </c>
      <c r="E49" s="5"/>
      <c r="F49" s="14" t="s">
        <v>38</v>
      </c>
      <c r="G49" s="2" t="s">
        <v>327</v>
      </c>
      <c r="H49" s="2" t="s">
        <v>332</v>
      </c>
      <c r="I49" s="1">
        <v>0</v>
      </c>
      <c r="J49" s="47">
        <v>45748</v>
      </c>
      <c r="K49" s="53">
        <f t="shared" si="0"/>
        <v>0</v>
      </c>
      <c r="L49" s="53">
        <f t="shared" si="1"/>
        <v>0</v>
      </c>
      <c r="M49" s="54">
        <f t="shared" si="2"/>
        <v>0</v>
      </c>
      <c r="N49" s="54">
        <f t="shared" si="3"/>
        <v>0</v>
      </c>
    </row>
    <row r="50" spans="1:14" ht="34.35" customHeight="1">
      <c r="A50" s="32" t="s">
        <v>741</v>
      </c>
      <c r="B50" s="37" t="s">
        <v>325</v>
      </c>
      <c r="C50" s="13"/>
      <c r="D50" s="5" t="s">
        <v>463</v>
      </c>
      <c r="E50" s="5"/>
      <c r="F50" s="14" t="s">
        <v>136</v>
      </c>
      <c r="G50" s="2" t="s">
        <v>327</v>
      </c>
      <c r="H50" s="2" t="s">
        <v>332</v>
      </c>
      <c r="I50" s="1">
        <v>0</v>
      </c>
      <c r="J50" s="47">
        <v>45748</v>
      </c>
      <c r="K50" s="53">
        <f t="shared" si="0"/>
        <v>0</v>
      </c>
      <c r="L50" s="53">
        <f t="shared" si="1"/>
        <v>0</v>
      </c>
      <c r="M50" s="54">
        <f t="shared" si="2"/>
        <v>0</v>
      </c>
      <c r="N50" s="54">
        <f t="shared" si="3"/>
        <v>0</v>
      </c>
    </row>
    <row r="51" spans="1:14" ht="34.35" customHeight="1">
      <c r="A51" s="32" t="s">
        <v>741</v>
      </c>
      <c r="B51" s="37" t="s">
        <v>325</v>
      </c>
      <c r="C51" s="13">
        <v>33</v>
      </c>
      <c r="D51" s="5" t="s">
        <v>464</v>
      </c>
      <c r="E51" s="5"/>
      <c r="F51" s="14" t="s">
        <v>38</v>
      </c>
      <c r="G51" s="2" t="s">
        <v>327</v>
      </c>
      <c r="H51" s="2" t="s">
        <v>332</v>
      </c>
      <c r="I51" s="1">
        <v>0</v>
      </c>
      <c r="J51" s="47">
        <v>45748</v>
      </c>
      <c r="K51" s="53">
        <f t="shared" si="0"/>
        <v>0</v>
      </c>
      <c r="L51" s="53">
        <f t="shared" si="1"/>
        <v>0</v>
      </c>
      <c r="M51" s="54">
        <f t="shared" si="2"/>
        <v>0</v>
      </c>
      <c r="N51" s="54">
        <f t="shared" si="3"/>
        <v>0</v>
      </c>
    </row>
    <row r="52" spans="1:14" ht="34.35" customHeight="1">
      <c r="A52" s="32" t="s">
        <v>741</v>
      </c>
      <c r="B52" s="37" t="s">
        <v>325</v>
      </c>
      <c r="C52" s="13"/>
      <c r="D52" s="5" t="s">
        <v>464</v>
      </c>
      <c r="E52" s="5"/>
      <c r="F52" s="14" t="s">
        <v>136</v>
      </c>
      <c r="G52" s="2" t="s">
        <v>327</v>
      </c>
      <c r="H52" s="2" t="s">
        <v>332</v>
      </c>
      <c r="I52" s="1">
        <v>0</v>
      </c>
      <c r="J52" s="47">
        <v>45748</v>
      </c>
      <c r="K52" s="53">
        <f t="shared" si="0"/>
        <v>0</v>
      </c>
      <c r="L52" s="53">
        <f t="shared" si="1"/>
        <v>0</v>
      </c>
      <c r="M52" s="54">
        <f t="shared" si="2"/>
        <v>0</v>
      </c>
      <c r="N52" s="54">
        <f t="shared" si="3"/>
        <v>0</v>
      </c>
    </row>
    <row r="53" spans="1:14" ht="34.35" customHeight="1">
      <c r="A53" s="32" t="s">
        <v>741</v>
      </c>
      <c r="B53" s="37" t="s">
        <v>325</v>
      </c>
      <c r="C53" s="13">
        <v>34</v>
      </c>
      <c r="D53" s="5" t="s">
        <v>336</v>
      </c>
      <c r="E53" s="5"/>
      <c r="F53" s="14" t="s">
        <v>38</v>
      </c>
      <c r="G53" s="2" t="s">
        <v>316</v>
      </c>
      <c r="H53" s="2" t="s">
        <v>40</v>
      </c>
      <c r="I53" s="1">
        <v>0</v>
      </c>
      <c r="J53" s="47">
        <v>45748</v>
      </c>
      <c r="K53" s="53">
        <f t="shared" si="0"/>
        <v>0</v>
      </c>
      <c r="L53" s="53">
        <f t="shared" si="1"/>
        <v>0</v>
      </c>
      <c r="M53" s="54">
        <f t="shared" si="2"/>
        <v>0</v>
      </c>
      <c r="N53" s="54">
        <f t="shared" si="3"/>
        <v>0</v>
      </c>
    </row>
    <row r="54" spans="1:14" ht="34.35" customHeight="1">
      <c r="A54" s="32" t="s">
        <v>741</v>
      </c>
      <c r="B54" s="37" t="s">
        <v>325</v>
      </c>
      <c r="C54" s="13"/>
      <c r="D54" s="5" t="s">
        <v>336</v>
      </c>
      <c r="E54" s="5"/>
      <c r="F54" s="14" t="s">
        <v>136</v>
      </c>
      <c r="G54" s="2" t="s">
        <v>316</v>
      </c>
      <c r="H54" s="2" t="s">
        <v>40</v>
      </c>
      <c r="I54" s="1">
        <v>0</v>
      </c>
      <c r="J54" s="47">
        <v>45748</v>
      </c>
      <c r="K54" s="53">
        <f t="shared" si="0"/>
        <v>0</v>
      </c>
      <c r="L54" s="53">
        <f t="shared" si="1"/>
        <v>0</v>
      </c>
      <c r="M54" s="54">
        <f t="shared" si="2"/>
        <v>0</v>
      </c>
      <c r="N54" s="54">
        <f t="shared" si="3"/>
        <v>0</v>
      </c>
    </row>
    <row r="55" spans="1:14" ht="34.35" customHeight="1">
      <c r="A55" s="32" t="s">
        <v>741</v>
      </c>
      <c r="B55" s="37" t="s">
        <v>325</v>
      </c>
      <c r="C55" s="13">
        <v>35</v>
      </c>
      <c r="D55" s="5" t="s">
        <v>338</v>
      </c>
      <c r="E55" s="5"/>
      <c r="F55" s="14" t="s">
        <v>38</v>
      </c>
      <c r="G55" s="2" t="s">
        <v>316</v>
      </c>
      <c r="H55" s="2" t="s">
        <v>40</v>
      </c>
      <c r="I55" s="1">
        <v>0</v>
      </c>
      <c r="J55" s="47">
        <v>45748</v>
      </c>
      <c r="K55" s="53">
        <f t="shared" si="0"/>
        <v>0</v>
      </c>
      <c r="L55" s="53">
        <f t="shared" si="1"/>
        <v>0</v>
      </c>
      <c r="M55" s="54">
        <f t="shared" si="2"/>
        <v>0</v>
      </c>
      <c r="N55" s="54">
        <f t="shared" si="3"/>
        <v>0</v>
      </c>
    </row>
    <row r="56" spans="1:14" ht="34.35" customHeight="1">
      <c r="A56" s="32" t="s">
        <v>741</v>
      </c>
      <c r="B56" s="37" t="s">
        <v>325</v>
      </c>
      <c r="C56" s="13"/>
      <c r="D56" s="5" t="s">
        <v>338</v>
      </c>
      <c r="E56" s="5"/>
      <c r="F56" s="14" t="s">
        <v>136</v>
      </c>
      <c r="G56" s="2" t="s">
        <v>316</v>
      </c>
      <c r="H56" s="2" t="s">
        <v>40</v>
      </c>
      <c r="I56" s="1">
        <v>0</v>
      </c>
      <c r="J56" s="47">
        <v>45748</v>
      </c>
      <c r="K56" s="53">
        <f t="shared" si="0"/>
        <v>0</v>
      </c>
      <c r="L56" s="53">
        <f t="shared" si="1"/>
        <v>0</v>
      </c>
      <c r="M56" s="54">
        <f t="shared" si="2"/>
        <v>0</v>
      </c>
      <c r="N56" s="54">
        <f t="shared" si="3"/>
        <v>0</v>
      </c>
    </row>
    <row r="57" spans="1:14" ht="34.35" customHeight="1">
      <c r="A57" s="32" t="s">
        <v>741</v>
      </c>
      <c r="B57" s="37" t="s">
        <v>325</v>
      </c>
      <c r="C57" s="13">
        <v>36</v>
      </c>
      <c r="D57" s="5" t="s">
        <v>339</v>
      </c>
      <c r="E57" s="1" t="s">
        <v>465</v>
      </c>
      <c r="F57" s="14" t="s">
        <v>133</v>
      </c>
      <c r="G57" s="2" t="s">
        <v>340</v>
      </c>
      <c r="H57" s="2" t="s">
        <v>341</v>
      </c>
      <c r="I57" s="19">
        <v>5.0000000000000001E-3</v>
      </c>
      <c r="J57" s="47">
        <v>45748</v>
      </c>
      <c r="K57" s="53">
        <f t="shared" si="0"/>
        <v>0</v>
      </c>
      <c r="L57" s="53">
        <f t="shared" si="1"/>
        <v>0</v>
      </c>
      <c r="M57" s="54">
        <f t="shared" si="2"/>
        <v>0</v>
      </c>
      <c r="N57" s="54">
        <f t="shared" si="3"/>
        <v>0</v>
      </c>
    </row>
    <row r="58" spans="1:14" ht="34.35" customHeight="1">
      <c r="A58" s="32" t="s">
        <v>741</v>
      </c>
      <c r="B58" s="37" t="s">
        <v>325</v>
      </c>
      <c r="C58" s="13"/>
      <c r="D58" s="5" t="s">
        <v>339</v>
      </c>
      <c r="E58" s="5"/>
      <c r="F58" s="14" t="s">
        <v>136</v>
      </c>
      <c r="G58" s="2" t="s">
        <v>340</v>
      </c>
      <c r="H58" s="2" t="s">
        <v>341</v>
      </c>
      <c r="I58" s="18" t="s">
        <v>41</v>
      </c>
      <c r="J58" s="47">
        <v>45748</v>
      </c>
      <c r="K58" s="53" t="str">
        <f t="shared" si="0"/>
        <v>-</v>
      </c>
      <c r="L58" s="53" t="str">
        <f t="shared" si="1"/>
        <v>-</v>
      </c>
      <c r="M58" s="54" t="str">
        <f t="shared" si="2"/>
        <v>-</v>
      </c>
      <c r="N58" s="54" t="str">
        <f t="shared" si="3"/>
        <v>-</v>
      </c>
    </row>
    <row r="59" spans="1:14" ht="34.35" customHeight="1">
      <c r="A59" s="32" t="s">
        <v>741</v>
      </c>
      <c r="B59" s="37" t="s">
        <v>325</v>
      </c>
      <c r="C59" s="13">
        <v>37</v>
      </c>
      <c r="D59" s="5" t="s">
        <v>342</v>
      </c>
      <c r="E59" s="5"/>
      <c r="F59" s="14" t="s">
        <v>133</v>
      </c>
      <c r="G59" s="2" t="s">
        <v>106</v>
      </c>
      <c r="H59" s="2" t="s">
        <v>285</v>
      </c>
      <c r="I59" s="55">
        <v>0.12</v>
      </c>
      <c r="J59" s="47">
        <v>45748</v>
      </c>
      <c r="K59" s="53">
        <f t="shared" si="0"/>
        <v>0.01</v>
      </c>
      <c r="L59" s="53">
        <f t="shared" si="1"/>
        <v>0.01</v>
      </c>
      <c r="M59" s="54">
        <f t="shared" si="2"/>
        <v>0.01</v>
      </c>
      <c r="N59" s="54">
        <f t="shared" si="3"/>
        <v>0.01</v>
      </c>
    </row>
    <row r="60" spans="1:14" ht="34.35" customHeight="1">
      <c r="A60" s="32" t="s">
        <v>741</v>
      </c>
      <c r="B60" s="37" t="s">
        <v>325</v>
      </c>
      <c r="C60" s="13"/>
      <c r="D60" s="5" t="s">
        <v>342</v>
      </c>
      <c r="E60" s="5"/>
      <c r="F60" s="14" t="s">
        <v>136</v>
      </c>
      <c r="G60" s="2" t="s">
        <v>106</v>
      </c>
      <c r="H60" s="2" t="s">
        <v>285</v>
      </c>
      <c r="I60" s="44">
        <v>30</v>
      </c>
      <c r="J60" s="47">
        <v>45748</v>
      </c>
      <c r="K60" s="53">
        <f t="shared" si="0"/>
        <v>2.5</v>
      </c>
      <c r="L60" s="53">
        <f t="shared" si="1"/>
        <v>2.5</v>
      </c>
      <c r="M60" s="54">
        <f t="shared" si="2"/>
        <v>2.5</v>
      </c>
      <c r="N60" s="54">
        <f t="shared" si="3"/>
        <v>2.5</v>
      </c>
    </row>
    <row r="61" spans="1:14" ht="34.35" customHeight="1">
      <c r="A61" s="32" t="s">
        <v>741</v>
      </c>
      <c r="B61" s="37" t="s">
        <v>325</v>
      </c>
      <c r="C61" s="13">
        <v>38</v>
      </c>
      <c r="D61" s="6" t="s">
        <v>343</v>
      </c>
      <c r="E61" s="6"/>
      <c r="F61" s="14" t="s">
        <v>38</v>
      </c>
      <c r="G61" s="2" t="s">
        <v>105</v>
      </c>
      <c r="H61" s="2"/>
      <c r="I61" s="3" t="s">
        <v>41</v>
      </c>
      <c r="J61" s="47">
        <v>45748</v>
      </c>
      <c r="K61" s="53" t="str">
        <f t="shared" si="0"/>
        <v>-</v>
      </c>
      <c r="L61" s="53" t="str">
        <f t="shared" si="1"/>
        <v>-</v>
      </c>
      <c r="M61" s="54" t="str">
        <f t="shared" si="2"/>
        <v>-</v>
      </c>
      <c r="N61" s="54" t="str">
        <f t="shared" si="3"/>
        <v>-</v>
      </c>
    </row>
    <row r="62" spans="1:14" ht="34.35" customHeight="1">
      <c r="A62" s="32" t="s">
        <v>741</v>
      </c>
      <c r="B62" s="37" t="s">
        <v>325</v>
      </c>
      <c r="C62" s="13"/>
      <c r="D62" s="6" t="s">
        <v>343</v>
      </c>
      <c r="E62" s="6"/>
      <c r="F62" s="14" t="s">
        <v>136</v>
      </c>
      <c r="G62" s="2" t="s">
        <v>105</v>
      </c>
      <c r="H62" s="2"/>
      <c r="I62" s="3">
        <v>84.58</v>
      </c>
      <c r="J62" s="47">
        <v>45748</v>
      </c>
      <c r="K62" s="53">
        <f t="shared" si="0"/>
        <v>7.05</v>
      </c>
      <c r="L62" s="53">
        <f t="shared" si="1"/>
        <v>7.05</v>
      </c>
      <c r="M62" s="54">
        <f t="shared" si="2"/>
        <v>7.05</v>
      </c>
      <c r="N62" s="54">
        <f t="shared" si="3"/>
        <v>7.05</v>
      </c>
    </row>
    <row r="63" spans="1:14" ht="34.35" customHeight="1">
      <c r="A63" s="32" t="s">
        <v>741</v>
      </c>
      <c r="B63" s="37" t="s">
        <v>325</v>
      </c>
      <c r="C63" s="29">
        <v>39</v>
      </c>
      <c r="D63" s="5" t="s">
        <v>344</v>
      </c>
      <c r="E63" s="5"/>
      <c r="F63" s="14" t="s">
        <v>136</v>
      </c>
      <c r="G63" s="2" t="s">
        <v>110</v>
      </c>
      <c r="H63" s="2" t="s">
        <v>345</v>
      </c>
      <c r="I63" s="3">
        <v>3.17</v>
      </c>
      <c r="J63" s="47">
        <v>45748</v>
      </c>
      <c r="K63" s="53">
        <f t="shared" si="0"/>
        <v>0.26</v>
      </c>
      <c r="L63" s="53">
        <f t="shared" si="1"/>
        <v>0.26</v>
      </c>
      <c r="M63" s="54">
        <f t="shared" si="2"/>
        <v>0.26</v>
      </c>
      <c r="N63" s="54">
        <f t="shared" si="3"/>
        <v>0.26</v>
      </c>
    </row>
    <row r="64" spans="1:14" ht="34.35" customHeight="1">
      <c r="A64" s="32" t="s">
        <v>741</v>
      </c>
      <c r="B64" s="37" t="s">
        <v>325</v>
      </c>
      <c r="C64" s="29">
        <v>40</v>
      </c>
      <c r="D64" s="5" t="s">
        <v>346</v>
      </c>
      <c r="E64" s="5"/>
      <c r="F64" s="14" t="s">
        <v>136</v>
      </c>
      <c r="G64" s="2" t="s">
        <v>110</v>
      </c>
      <c r="H64" s="2" t="s">
        <v>345</v>
      </c>
      <c r="I64" s="3">
        <v>5.84</v>
      </c>
      <c r="J64" s="47">
        <v>45748</v>
      </c>
      <c r="K64" s="53">
        <f t="shared" si="0"/>
        <v>0.49</v>
      </c>
      <c r="L64" s="53">
        <f t="shared" si="1"/>
        <v>0.49</v>
      </c>
      <c r="M64" s="54">
        <f t="shared" si="2"/>
        <v>0.49</v>
      </c>
      <c r="N64" s="54">
        <f t="shared" si="3"/>
        <v>0.49</v>
      </c>
    </row>
    <row r="65" spans="1:14" ht="34.35" customHeight="1">
      <c r="A65" s="32" t="s">
        <v>741</v>
      </c>
      <c r="B65" s="37" t="s">
        <v>325</v>
      </c>
      <c r="C65" s="13">
        <v>41</v>
      </c>
      <c r="D65" s="5" t="s">
        <v>347</v>
      </c>
      <c r="E65" s="5"/>
      <c r="F65" s="14" t="s">
        <v>38</v>
      </c>
      <c r="G65" s="2" t="s">
        <v>106</v>
      </c>
      <c r="H65" s="2" t="s">
        <v>285</v>
      </c>
      <c r="I65" s="44">
        <v>60</v>
      </c>
      <c r="J65" s="47">
        <v>45748</v>
      </c>
      <c r="K65" s="53">
        <f t="shared" si="0"/>
        <v>5</v>
      </c>
      <c r="L65" s="53">
        <f t="shared" si="1"/>
        <v>5</v>
      </c>
      <c r="M65" s="54">
        <f t="shared" si="2"/>
        <v>5</v>
      </c>
      <c r="N65" s="54">
        <f t="shared" si="3"/>
        <v>5</v>
      </c>
    </row>
    <row r="66" spans="1:14" ht="34.35" customHeight="1">
      <c r="A66" s="32" t="s">
        <v>741</v>
      </c>
      <c r="B66" s="37" t="s">
        <v>325</v>
      </c>
      <c r="C66" s="13"/>
      <c r="D66" s="5" t="s">
        <v>347</v>
      </c>
      <c r="E66" s="5"/>
      <c r="F66" s="14" t="s">
        <v>136</v>
      </c>
      <c r="G66" s="2" t="s">
        <v>106</v>
      </c>
      <c r="H66" s="2" t="s">
        <v>285</v>
      </c>
      <c r="I66" s="44">
        <v>500</v>
      </c>
      <c r="J66" s="47">
        <v>45748</v>
      </c>
      <c r="K66" s="53">
        <f t="shared" si="0"/>
        <v>41.67</v>
      </c>
      <c r="L66" s="53">
        <f t="shared" si="1"/>
        <v>41.67</v>
      </c>
      <c r="M66" s="54">
        <f t="shared" si="2"/>
        <v>41.67</v>
      </c>
      <c r="N66" s="54">
        <f t="shared" si="3"/>
        <v>41.67</v>
      </c>
    </row>
    <row r="67" spans="1:14" ht="34.35" customHeight="1">
      <c r="A67" s="32" t="s">
        <v>741</v>
      </c>
      <c r="B67" s="37" t="s">
        <v>325</v>
      </c>
      <c r="C67" s="29">
        <v>42</v>
      </c>
      <c r="D67" s="5" t="s">
        <v>349</v>
      </c>
      <c r="E67" s="5"/>
      <c r="F67" s="14" t="s">
        <v>136</v>
      </c>
      <c r="G67" s="2" t="s">
        <v>340</v>
      </c>
      <c r="H67" s="2" t="s">
        <v>134</v>
      </c>
      <c r="I67" s="3">
        <v>5.4</v>
      </c>
      <c r="J67" s="47">
        <v>45748</v>
      </c>
      <c r="K67" s="53">
        <f t="shared" ref="K67:K81" si="4">IF(I67=0,0,IF(I67="-","-",ROUND(I67/12,2)))</f>
        <v>0.45</v>
      </c>
      <c r="L67" s="53">
        <f t="shared" ref="L67:L105" si="5">K67</f>
        <v>0.45</v>
      </c>
      <c r="M67" s="54">
        <f t="shared" ref="M67:M105" si="6">K67</f>
        <v>0.45</v>
      </c>
      <c r="N67" s="54">
        <f t="shared" ref="N67:N105" si="7">L67</f>
        <v>0.45</v>
      </c>
    </row>
    <row r="68" spans="1:14" ht="34.35" customHeight="1">
      <c r="A68" s="32" t="s">
        <v>741</v>
      </c>
      <c r="B68" s="37" t="s">
        <v>325</v>
      </c>
      <c r="C68" s="13">
        <v>43</v>
      </c>
      <c r="D68" s="5" t="s">
        <v>350</v>
      </c>
      <c r="E68" s="5"/>
      <c r="F68" s="14" t="s">
        <v>38</v>
      </c>
      <c r="G68" s="2" t="s">
        <v>106</v>
      </c>
      <c r="H68" s="2" t="s">
        <v>134</v>
      </c>
      <c r="I68" s="44">
        <v>200</v>
      </c>
      <c r="J68" s="47">
        <v>45748</v>
      </c>
      <c r="K68" s="53">
        <f t="shared" si="4"/>
        <v>16.670000000000002</v>
      </c>
      <c r="L68" s="53">
        <f t="shared" si="5"/>
        <v>16.670000000000002</v>
      </c>
      <c r="M68" s="54">
        <f t="shared" si="6"/>
        <v>16.670000000000002</v>
      </c>
      <c r="N68" s="54">
        <f t="shared" si="7"/>
        <v>16.670000000000002</v>
      </c>
    </row>
    <row r="69" spans="1:14" ht="34.35" customHeight="1">
      <c r="A69" s="32" t="s">
        <v>741</v>
      </c>
      <c r="B69" s="37" t="s">
        <v>325</v>
      </c>
      <c r="C69" s="13"/>
      <c r="D69" s="5" t="s">
        <v>350</v>
      </c>
      <c r="E69" s="5"/>
      <c r="F69" s="14" t="s">
        <v>136</v>
      </c>
      <c r="G69" s="2" t="s">
        <v>106</v>
      </c>
      <c r="H69" s="2" t="s">
        <v>134</v>
      </c>
      <c r="I69" s="44">
        <v>90</v>
      </c>
      <c r="J69" s="47">
        <v>45748</v>
      </c>
      <c r="K69" s="53">
        <f t="shared" si="4"/>
        <v>7.5</v>
      </c>
      <c r="L69" s="53">
        <f t="shared" si="5"/>
        <v>7.5</v>
      </c>
      <c r="M69" s="54">
        <f t="shared" si="6"/>
        <v>7.5</v>
      </c>
      <c r="N69" s="54">
        <f t="shared" si="7"/>
        <v>7.5</v>
      </c>
    </row>
    <row r="70" spans="1:14" ht="34.35" customHeight="1">
      <c r="A70" s="32" t="s">
        <v>741</v>
      </c>
      <c r="B70" s="15" t="s">
        <v>351</v>
      </c>
      <c r="C70" s="29">
        <v>44</v>
      </c>
      <c r="D70" s="7" t="s">
        <v>41</v>
      </c>
      <c r="E70" s="3" t="s">
        <v>352</v>
      </c>
      <c r="F70" s="14" t="s">
        <v>353</v>
      </c>
      <c r="G70" s="2" t="s">
        <v>489</v>
      </c>
      <c r="H70" s="28" t="s">
        <v>40</v>
      </c>
      <c r="I70" s="41">
        <v>1.2</v>
      </c>
      <c r="J70" s="47">
        <v>45748</v>
      </c>
      <c r="K70" s="53">
        <f t="shared" si="4"/>
        <v>0.1</v>
      </c>
      <c r="L70" s="53">
        <f t="shared" si="5"/>
        <v>0.1</v>
      </c>
      <c r="M70" s="54">
        <f t="shared" si="6"/>
        <v>0.1</v>
      </c>
      <c r="N70" s="54">
        <f t="shared" si="7"/>
        <v>0.1</v>
      </c>
    </row>
    <row r="71" spans="1:14" ht="34.35" customHeight="1">
      <c r="A71" s="32" t="s">
        <v>741</v>
      </c>
      <c r="B71" s="10" t="s">
        <v>354</v>
      </c>
      <c r="C71" s="29">
        <v>45</v>
      </c>
      <c r="D71" s="7" t="s">
        <v>41</v>
      </c>
      <c r="E71" s="1" t="s">
        <v>466</v>
      </c>
      <c r="F71" s="14" t="s">
        <v>353</v>
      </c>
      <c r="G71" s="2" t="s">
        <v>327</v>
      </c>
      <c r="H71" s="28" t="s">
        <v>40</v>
      </c>
      <c r="I71" s="1">
        <v>0</v>
      </c>
      <c r="J71" s="47">
        <v>45748</v>
      </c>
      <c r="K71" s="53">
        <f t="shared" si="4"/>
        <v>0</v>
      </c>
      <c r="L71" s="53">
        <f t="shared" si="5"/>
        <v>0</v>
      </c>
      <c r="M71" s="54">
        <f t="shared" si="6"/>
        <v>0</v>
      </c>
      <c r="N71" s="54">
        <f t="shared" si="7"/>
        <v>0</v>
      </c>
    </row>
    <row r="72" spans="1:14" ht="34.35" customHeight="1">
      <c r="A72" s="32" t="s">
        <v>741</v>
      </c>
      <c r="B72" s="10" t="s">
        <v>356</v>
      </c>
      <c r="C72" s="29">
        <v>46</v>
      </c>
      <c r="D72" s="7" t="s">
        <v>41</v>
      </c>
      <c r="E72" s="1" t="s">
        <v>466</v>
      </c>
      <c r="F72" s="14" t="s">
        <v>353</v>
      </c>
      <c r="G72" s="2" t="s">
        <v>321</v>
      </c>
      <c r="H72" s="28" t="s">
        <v>40</v>
      </c>
      <c r="I72" s="1">
        <v>0</v>
      </c>
      <c r="J72" s="47">
        <v>45748</v>
      </c>
      <c r="K72" s="53">
        <f t="shared" si="4"/>
        <v>0</v>
      </c>
      <c r="L72" s="53">
        <f t="shared" si="5"/>
        <v>0</v>
      </c>
      <c r="M72" s="54">
        <f t="shared" si="6"/>
        <v>0</v>
      </c>
      <c r="N72" s="54">
        <f t="shared" si="7"/>
        <v>0</v>
      </c>
    </row>
    <row r="73" spans="1:14" ht="34.35" customHeight="1">
      <c r="A73" s="32" t="s">
        <v>742</v>
      </c>
      <c r="B73" s="11" t="s">
        <v>357</v>
      </c>
      <c r="C73" s="29">
        <v>62</v>
      </c>
      <c r="D73" s="7" t="s">
        <v>41</v>
      </c>
      <c r="E73" s="7"/>
      <c r="F73" s="14" t="s">
        <v>38</v>
      </c>
      <c r="G73" s="2" t="s">
        <v>489</v>
      </c>
      <c r="H73" s="4"/>
      <c r="I73" s="1"/>
      <c r="J73" s="47">
        <v>45748</v>
      </c>
      <c r="K73" s="53">
        <f t="shared" si="4"/>
        <v>0</v>
      </c>
      <c r="L73" s="53">
        <f t="shared" si="5"/>
        <v>0</v>
      </c>
      <c r="M73" s="54">
        <f t="shared" si="6"/>
        <v>0</v>
      </c>
      <c r="N73" s="54">
        <f t="shared" si="7"/>
        <v>0</v>
      </c>
    </row>
    <row r="74" spans="1:14" ht="34.35" customHeight="1">
      <c r="A74" s="32" t="s">
        <v>742</v>
      </c>
      <c r="B74" s="30" t="s">
        <v>467</v>
      </c>
      <c r="C74" s="29">
        <v>63</v>
      </c>
      <c r="D74" s="6" t="s">
        <v>468</v>
      </c>
      <c r="E74" s="6"/>
      <c r="F74" s="14" t="s">
        <v>469</v>
      </c>
      <c r="G74" s="2" t="s">
        <v>470</v>
      </c>
      <c r="H74" s="2" t="s">
        <v>40</v>
      </c>
      <c r="I74" s="17"/>
      <c r="J74" s="47">
        <v>45748</v>
      </c>
      <c r="K74" s="53">
        <f t="shared" si="4"/>
        <v>0</v>
      </c>
      <c r="L74" s="53">
        <f t="shared" si="5"/>
        <v>0</v>
      </c>
      <c r="M74" s="54">
        <f t="shared" si="6"/>
        <v>0</v>
      </c>
      <c r="N74" s="54">
        <f t="shared" si="7"/>
        <v>0</v>
      </c>
    </row>
    <row r="75" spans="1:14" ht="34.35" customHeight="1">
      <c r="A75" s="32" t="s">
        <v>742</v>
      </c>
      <c r="B75" s="30" t="s">
        <v>467</v>
      </c>
      <c r="C75" s="29">
        <v>64</v>
      </c>
      <c r="D75" s="6" t="s">
        <v>472</v>
      </c>
      <c r="E75" s="6"/>
      <c r="F75" s="14" t="s">
        <v>473</v>
      </c>
      <c r="G75" s="2" t="s">
        <v>470</v>
      </c>
      <c r="H75" s="2" t="s">
        <v>40</v>
      </c>
      <c r="I75" s="1"/>
      <c r="J75" s="47">
        <v>45748</v>
      </c>
      <c r="K75" s="53">
        <f t="shared" si="4"/>
        <v>0</v>
      </c>
      <c r="L75" s="53">
        <f t="shared" si="5"/>
        <v>0</v>
      </c>
      <c r="M75" s="54">
        <f t="shared" si="6"/>
        <v>0</v>
      </c>
      <c r="N75" s="54">
        <f t="shared" si="7"/>
        <v>0</v>
      </c>
    </row>
    <row r="76" spans="1:14" ht="34.35" customHeight="1">
      <c r="A76" s="32" t="s">
        <v>742</v>
      </c>
      <c r="B76" s="30" t="s">
        <v>467</v>
      </c>
      <c r="C76" s="29">
        <v>65</v>
      </c>
      <c r="D76" s="6" t="s">
        <v>475</v>
      </c>
      <c r="E76" s="6"/>
      <c r="F76" s="22" t="s">
        <v>133</v>
      </c>
      <c r="G76" s="2" t="s">
        <v>470</v>
      </c>
      <c r="H76" s="2" t="s">
        <v>477</v>
      </c>
      <c r="I76" s="17">
        <v>1</v>
      </c>
      <c r="J76" s="47">
        <v>45748</v>
      </c>
      <c r="K76" s="53">
        <f t="shared" si="4"/>
        <v>0.08</v>
      </c>
      <c r="L76" s="53">
        <f t="shared" si="5"/>
        <v>0.08</v>
      </c>
      <c r="M76" s="54">
        <f t="shared" si="6"/>
        <v>0.08</v>
      </c>
      <c r="N76" s="54">
        <f t="shared" si="7"/>
        <v>0.08</v>
      </c>
    </row>
    <row r="77" spans="1:14" ht="34.35" customHeight="1">
      <c r="A77" s="32" t="s">
        <v>742</v>
      </c>
      <c r="B77" s="30" t="s">
        <v>467</v>
      </c>
      <c r="C77" s="29">
        <v>66</v>
      </c>
      <c r="D77" s="6" t="s">
        <v>481</v>
      </c>
      <c r="E77" s="6"/>
      <c r="F77" s="14" t="s">
        <v>38</v>
      </c>
      <c r="G77" s="2" t="s">
        <v>470</v>
      </c>
      <c r="H77" s="2" t="s">
        <v>40</v>
      </c>
      <c r="I77" s="1"/>
      <c r="J77" s="47">
        <v>45748</v>
      </c>
      <c r="K77" s="53">
        <f t="shared" si="4"/>
        <v>0</v>
      </c>
      <c r="L77" s="53">
        <f t="shared" si="5"/>
        <v>0</v>
      </c>
      <c r="M77" s="54">
        <f t="shared" si="6"/>
        <v>0</v>
      </c>
      <c r="N77" s="54">
        <f t="shared" si="7"/>
        <v>0</v>
      </c>
    </row>
    <row r="78" spans="1:14" ht="34.35" customHeight="1">
      <c r="A78" s="32" t="s">
        <v>742</v>
      </c>
      <c r="B78" s="30" t="s">
        <v>467</v>
      </c>
      <c r="C78" s="29">
        <v>67</v>
      </c>
      <c r="D78" s="6" t="s">
        <v>484</v>
      </c>
      <c r="E78" s="6"/>
      <c r="F78" s="14" t="s">
        <v>38</v>
      </c>
      <c r="G78" s="2" t="s">
        <v>470</v>
      </c>
      <c r="H78" s="2" t="s">
        <v>40</v>
      </c>
      <c r="I78" s="17"/>
      <c r="J78" s="47">
        <v>45748</v>
      </c>
      <c r="K78" s="53">
        <f t="shared" si="4"/>
        <v>0</v>
      </c>
      <c r="L78" s="53">
        <f t="shared" si="5"/>
        <v>0</v>
      </c>
      <c r="M78" s="54">
        <f t="shared" si="6"/>
        <v>0</v>
      </c>
      <c r="N78" s="54">
        <f t="shared" si="7"/>
        <v>0</v>
      </c>
    </row>
    <row r="79" spans="1:14" ht="34.35" customHeight="1">
      <c r="A79" s="32" t="s">
        <v>742</v>
      </c>
      <c r="B79" s="12" t="s">
        <v>487</v>
      </c>
      <c r="C79" s="29">
        <v>68</v>
      </c>
      <c r="D79" s="6" t="s">
        <v>41</v>
      </c>
      <c r="E79" s="6"/>
      <c r="F79" s="14" t="s">
        <v>38</v>
      </c>
      <c r="G79" s="2" t="s">
        <v>134</v>
      </c>
      <c r="H79" s="2" t="s">
        <v>40</v>
      </c>
      <c r="I79" s="17"/>
      <c r="J79" s="47">
        <v>45748</v>
      </c>
      <c r="K79" s="53">
        <f t="shared" si="4"/>
        <v>0</v>
      </c>
      <c r="L79" s="53">
        <f t="shared" si="5"/>
        <v>0</v>
      </c>
      <c r="M79" s="54">
        <f t="shared" si="6"/>
        <v>0</v>
      </c>
      <c r="N79" s="54">
        <f t="shared" si="7"/>
        <v>0</v>
      </c>
    </row>
    <row r="80" spans="1:14" ht="34.35" customHeight="1">
      <c r="A80" s="32" t="s">
        <v>742</v>
      </c>
      <c r="B80" s="11" t="s">
        <v>488</v>
      </c>
      <c r="C80" s="29">
        <v>69</v>
      </c>
      <c r="D80" s="6" t="s">
        <v>41</v>
      </c>
      <c r="E80" s="17" t="s">
        <v>743</v>
      </c>
      <c r="F80" s="14" t="s">
        <v>38</v>
      </c>
      <c r="G80" s="2" t="s">
        <v>489</v>
      </c>
      <c r="H80" s="2" t="s">
        <v>40</v>
      </c>
      <c r="I80" s="45">
        <v>3.2</v>
      </c>
      <c r="J80" s="47">
        <v>45748</v>
      </c>
      <c r="K80" s="53">
        <f t="shared" si="4"/>
        <v>0.27</v>
      </c>
      <c r="L80" s="53">
        <f t="shared" si="5"/>
        <v>0.27</v>
      </c>
      <c r="M80" s="54">
        <f t="shared" si="6"/>
        <v>0.27</v>
      </c>
      <c r="N80" s="54">
        <f t="shared" si="7"/>
        <v>0.27</v>
      </c>
    </row>
    <row r="81" spans="1:14" ht="34.35" customHeight="1">
      <c r="A81" s="32" t="s">
        <v>744</v>
      </c>
      <c r="B81" s="11" t="s">
        <v>745</v>
      </c>
      <c r="C81" s="29">
        <v>70</v>
      </c>
      <c r="D81" s="6" t="s">
        <v>504</v>
      </c>
      <c r="E81" s="21" t="s">
        <v>746</v>
      </c>
      <c r="F81" s="14" t="s">
        <v>38</v>
      </c>
      <c r="G81" s="2" t="s">
        <v>109</v>
      </c>
      <c r="H81" s="2" t="s">
        <v>40</v>
      </c>
      <c r="I81" s="21">
        <v>0.33</v>
      </c>
      <c r="J81" s="47">
        <v>45748</v>
      </c>
      <c r="K81" s="53">
        <f t="shared" si="4"/>
        <v>0.03</v>
      </c>
      <c r="L81" s="53">
        <f t="shared" si="5"/>
        <v>0.03</v>
      </c>
      <c r="M81" s="54">
        <f t="shared" si="6"/>
        <v>0.03</v>
      </c>
      <c r="N81" s="54">
        <f t="shared" si="7"/>
        <v>0.03</v>
      </c>
    </row>
    <row r="82" spans="1:14" ht="34.35" customHeight="1">
      <c r="A82" s="32" t="s">
        <v>744</v>
      </c>
      <c r="B82" s="11" t="s">
        <v>745</v>
      </c>
      <c r="C82" s="29"/>
      <c r="D82" s="6" t="s">
        <v>508</v>
      </c>
      <c r="E82" s="21" t="s">
        <v>585</v>
      </c>
      <c r="F82" s="14"/>
      <c r="G82" s="2"/>
      <c r="H82" s="2" t="s">
        <v>40</v>
      </c>
      <c r="I82" s="21">
        <v>0.1</v>
      </c>
      <c r="J82" s="47">
        <v>45749</v>
      </c>
      <c r="K82" s="53">
        <f>IF(I82=0,0,IF(I82="-","-",ROUND(I82/12,2)))</f>
        <v>0.01</v>
      </c>
      <c r="L82" s="53">
        <f t="shared" si="5"/>
        <v>0.01</v>
      </c>
      <c r="M82" s="54">
        <f t="shared" si="6"/>
        <v>0.01</v>
      </c>
      <c r="N82" s="54">
        <f t="shared" si="7"/>
        <v>0.01</v>
      </c>
    </row>
    <row r="83" spans="1:14" ht="34.35" customHeight="1">
      <c r="A83" s="32" t="s">
        <v>744</v>
      </c>
      <c r="B83" s="11" t="s">
        <v>516</v>
      </c>
      <c r="C83" s="29">
        <v>71</v>
      </c>
      <c r="D83" s="6" t="s">
        <v>41</v>
      </c>
      <c r="E83" s="1" t="s">
        <v>519</v>
      </c>
      <c r="F83" s="14" t="s">
        <v>38</v>
      </c>
      <c r="G83" s="2" t="s">
        <v>510</v>
      </c>
      <c r="H83" s="2"/>
      <c r="I83" s="1">
        <v>70</v>
      </c>
      <c r="J83" s="47">
        <v>45748</v>
      </c>
      <c r="K83" s="53">
        <f t="shared" ref="K83:K105" si="8">IF(I83=0,0,IF(I83="-","-",ROUND(I83/12,2)))</f>
        <v>5.83</v>
      </c>
      <c r="L83" s="53">
        <f t="shared" si="5"/>
        <v>5.83</v>
      </c>
      <c r="M83" s="54">
        <f t="shared" si="6"/>
        <v>5.83</v>
      </c>
      <c r="N83" s="54">
        <f t="shared" si="7"/>
        <v>5.83</v>
      </c>
    </row>
    <row r="84" spans="1:14" ht="34.35" customHeight="1">
      <c r="A84" s="38" t="s">
        <v>747</v>
      </c>
      <c r="B84" s="37" t="s">
        <v>586</v>
      </c>
      <c r="C84" s="13">
        <v>54</v>
      </c>
      <c r="D84" s="5" t="s">
        <v>587</v>
      </c>
      <c r="E84" s="3" t="s">
        <v>588</v>
      </c>
      <c r="F84" s="14" t="s">
        <v>589</v>
      </c>
      <c r="G84" s="2" t="s">
        <v>106</v>
      </c>
      <c r="H84" s="2" t="s">
        <v>40</v>
      </c>
      <c r="I84" s="42">
        <v>40244</v>
      </c>
      <c r="J84" s="47">
        <v>45748</v>
      </c>
      <c r="K84" s="53">
        <f t="shared" si="8"/>
        <v>3353.67</v>
      </c>
      <c r="L84" s="53">
        <f t="shared" si="5"/>
        <v>3353.67</v>
      </c>
      <c r="M84" s="54">
        <f t="shared" si="6"/>
        <v>3353.67</v>
      </c>
      <c r="N84" s="54">
        <f t="shared" si="7"/>
        <v>3353.67</v>
      </c>
    </row>
    <row r="85" spans="1:14" ht="34.35" customHeight="1">
      <c r="A85" s="38" t="s">
        <v>747</v>
      </c>
      <c r="B85" s="37" t="s">
        <v>586</v>
      </c>
      <c r="C85" s="13"/>
      <c r="D85" s="5" t="s">
        <v>593</v>
      </c>
      <c r="E85" s="5"/>
      <c r="F85" s="14" t="s">
        <v>714</v>
      </c>
      <c r="G85" s="2" t="s">
        <v>106</v>
      </c>
      <c r="H85" s="2" t="s">
        <v>40</v>
      </c>
      <c r="I85" s="21">
        <v>-0.02</v>
      </c>
      <c r="J85" s="47">
        <v>45748</v>
      </c>
      <c r="K85" s="53">
        <f t="shared" si="8"/>
        <v>0</v>
      </c>
      <c r="L85" s="53">
        <f t="shared" si="5"/>
        <v>0</v>
      </c>
      <c r="M85" s="54">
        <f t="shared" si="6"/>
        <v>0</v>
      </c>
      <c r="N85" s="54">
        <f t="shared" si="7"/>
        <v>0</v>
      </c>
    </row>
    <row r="86" spans="1:14" ht="34.35" customHeight="1">
      <c r="A86" s="38" t="s">
        <v>747</v>
      </c>
      <c r="B86" s="37" t="s">
        <v>586</v>
      </c>
      <c r="C86" s="13">
        <v>55</v>
      </c>
      <c r="D86" s="5" t="s">
        <v>595</v>
      </c>
      <c r="E86" s="5"/>
      <c r="F86" s="14" t="s">
        <v>133</v>
      </c>
      <c r="G86" s="2" t="s">
        <v>106</v>
      </c>
      <c r="H86" s="2" t="s">
        <v>597</v>
      </c>
      <c r="I86" s="17">
        <v>-7.0000000000000007E-2</v>
      </c>
      <c r="J86" s="47">
        <v>45748</v>
      </c>
      <c r="K86" s="53">
        <f t="shared" si="8"/>
        <v>-0.01</v>
      </c>
      <c r="L86" s="53">
        <f t="shared" si="5"/>
        <v>-0.01</v>
      </c>
      <c r="M86" s="54">
        <f t="shared" si="6"/>
        <v>-0.01</v>
      </c>
      <c r="N86" s="54">
        <f t="shared" si="7"/>
        <v>-0.01</v>
      </c>
    </row>
    <row r="87" spans="1:14" ht="34.35" customHeight="1">
      <c r="A87" s="38" t="s">
        <v>747</v>
      </c>
      <c r="B87" s="37" t="s">
        <v>586</v>
      </c>
      <c r="C87" s="13"/>
      <c r="D87" s="5" t="s">
        <v>595</v>
      </c>
      <c r="E87" s="5"/>
      <c r="F87" s="14" t="s">
        <v>589</v>
      </c>
      <c r="G87" s="2" t="s">
        <v>106</v>
      </c>
      <c r="H87" s="2" t="s">
        <v>597</v>
      </c>
      <c r="I87" s="26">
        <v>-3020</v>
      </c>
      <c r="J87" s="47">
        <v>45748</v>
      </c>
      <c r="K87" s="53">
        <f t="shared" si="8"/>
        <v>-251.67</v>
      </c>
      <c r="L87" s="53">
        <f t="shared" si="5"/>
        <v>-251.67</v>
      </c>
      <c r="M87" s="54">
        <f t="shared" si="6"/>
        <v>-251.67</v>
      </c>
      <c r="N87" s="54">
        <f t="shared" si="7"/>
        <v>-251.67</v>
      </c>
    </row>
    <row r="88" spans="1:14" ht="34.35" customHeight="1">
      <c r="A88" s="38" t="s">
        <v>747</v>
      </c>
      <c r="B88" s="37" t="s">
        <v>586</v>
      </c>
      <c r="C88" s="13">
        <v>56</v>
      </c>
      <c r="D88" s="25" t="s">
        <v>599</v>
      </c>
      <c r="E88" s="25"/>
      <c r="F88" s="14" t="s">
        <v>288</v>
      </c>
      <c r="G88" s="2" t="s">
        <v>106</v>
      </c>
      <c r="H88" s="2" t="s">
        <v>40</v>
      </c>
      <c r="I88" s="1">
        <v>39</v>
      </c>
      <c r="J88" s="47">
        <v>45748</v>
      </c>
      <c r="K88" s="53">
        <f t="shared" si="8"/>
        <v>3.25</v>
      </c>
      <c r="L88" s="53">
        <f t="shared" si="5"/>
        <v>3.25</v>
      </c>
      <c r="M88" s="54">
        <f t="shared" si="6"/>
        <v>3.25</v>
      </c>
      <c r="N88" s="54">
        <f t="shared" si="7"/>
        <v>3.25</v>
      </c>
    </row>
    <row r="89" spans="1:14" ht="34.35" customHeight="1">
      <c r="A89" s="38" t="s">
        <v>747</v>
      </c>
      <c r="B89" s="37" t="s">
        <v>586</v>
      </c>
      <c r="C89" s="13">
        <v>57</v>
      </c>
      <c r="D89" s="25" t="s">
        <v>601</v>
      </c>
      <c r="E89" s="1" t="s">
        <v>748</v>
      </c>
      <c r="F89" s="14" t="s">
        <v>136</v>
      </c>
      <c r="G89" s="2" t="s">
        <v>106</v>
      </c>
      <c r="H89" s="2" t="s">
        <v>40</v>
      </c>
      <c r="I89" s="1">
        <v>251.99</v>
      </c>
      <c r="J89" s="47">
        <v>45748</v>
      </c>
      <c r="K89" s="53">
        <f t="shared" si="8"/>
        <v>21</v>
      </c>
      <c r="L89" s="53">
        <f t="shared" si="5"/>
        <v>21</v>
      </c>
      <c r="M89" s="54">
        <f t="shared" si="6"/>
        <v>21</v>
      </c>
      <c r="N89" s="54">
        <f t="shared" si="7"/>
        <v>21</v>
      </c>
    </row>
    <row r="90" spans="1:14" ht="34.35" customHeight="1">
      <c r="A90" s="38" t="s">
        <v>747</v>
      </c>
      <c r="B90" s="37" t="s">
        <v>604</v>
      </c>
      <c r="C90" s="13">
        <v>58</v>
      </c>
      <c r="D90" s="25" t="s">
        <v>605</v>
      </c>
      <c r="E90" s="1" t="s">
        <v>749</v>
      </c>
      <c r="F90" s="14" t="s">
        <v>607</v>
      </c>
      <c r="G90" s="2" t="s">
        <v>106</v>
      </c>
      <c r="H90" s="2" t="s">
        <v>40</v>
      </c>
      <c r="I90" s="26">
        <v>292915</v>
      </c>
      <c r="J90" s="47">
        <v>45748</v>
      </c>
      <c r="K90" s="53">
        <f t="shared" si="8"/>
        <v>24409.58</v>
      </c>
      <c r="L90" s="53">
        <f t="shared" si="5"/>
        <v>24409.58</v>
      </c>
      <c r="M90" s="54">
        <f t="shared" si="6"/>
        <v>24409.58</v>
      </c>
      <c r="N90" s="54">
        <f t="shared" si="7"/>
        <v>24409.58</v>
      </c>
    </row>
    <row r="91" spans="1:14" ht="34.35" customHeight="1">
      <c r="A91" s="38" t="s">
        <v>747</v>
      </c>
      <c r="B91" s="37" t="s">
        <v>604</v>
      </c>
      <c r="C91" s="24">
        <v>59</v>
      </c>
      <c r="D91" s="5" t="s">
        <v>608</v>
      </c>
      <c r="E91" s="5"/>
      <c r="F91" s="14" t="s">
        <v>750</v>
      </c>
      <c r="G91" s="2" t="s">
        <v>106</v>
      </c>
      <c r="H91" s="2" t="s">
        <v>610</v>
      </c>
      <c r="I91" s="17">
        <v>-0.01</v>
      </c>
      <c r="J91" s="47">
        <v>45748</v>
      </c>
      <c r="K91" s="53">
        <f t="shared" si="8"/>
        <v>0</v>
      </c>
      <c r="L91" s="53">
        <f t="shared" si="5"/>
        <v>0</v>
      </c>
      <c r="M91" s="54">
        <f t="shared" si="6"/>
        <v>0</v>
      </c>
      <c r="N91" s="54">
        <f t="shared" si="7"/>
        <v>0</v>
      </c>
    </row>
    <row r="92" spans="1:14" ht="34.35" customHeight="1">
      <c r="A92" s="38" t="s">
        <v>747</v>
      </c>
      <c r="B92" s="37" t="s">
        <v>604</v>
      </c>
      <c r="C92" s="24">
        <v>60</v>
      </c>
      <c r="D92" s="25" t="s">
        <v>611</v>
      </c>
      <c r="E92" s="1" t="s">
        <v>751</v>
      </c>
      <c r="F92" s="14" t="s">
        <v>136</v>
      </c>
      <c r="G92" s="2" t="s">
        <v>106</v>
      </c>
      <c r="H92" s="2" t="s">
        <v>40</v>
      </c>
      <c r="I92" s="1">
        <v>8.84</v>
      </c>
      <c r="J92" s="47">
        <v>45748</v>
      </c>
      <c r="K92" s="53">
        <f t="shared" si="8"/>
        <v>0.74</v>
      </c>
      <c r="L92" s="53">
        <f t="shared" si="5"/>
        <v>0.74</v>
      </c>
      <c r="M92" s="54">
        <f t="shared" si="6"/>
        <v>0.74</v>
      </c>
      <c r="N92" s="54">
        <f t="shared" si="7"/>
        <v>0.74</v>
      </c>
    </row>
    <row r="93" spans="1:14" ht="34.35" customHeight="1">
      <c r="A93" s="38" t="s">
        <v>747</v>
      </c>
      <c r="B93" s="37" t="s">
        <v>613</v>
      </c>
      <c r="C93" s="13">
        <v>61</v>
      </c>
      <c r="D93" s="5" t="s">
        <v>614</v>
      </c>
      <c r="E93" s="23" t="s">
        <v>752</v>
      </c>
      <c r="F93" s="14" t="s">
        <v>616</v>
      </c>
      <c r="G93" s="8" t="s">
        <v>39</v>
      </c>
      <c r="H93" s="2" t="s">
        <v>285</v>
      </c>
      <c r="I93" s="23">
        <v>0.192</v>
      </c>
      <c r="J93" s="47">
        <v>45748</v>
      </c>
      <c r="K93" s="53">
        <f t="shared" si="8"/>
        <v>0.02</v>
      </c>
      <c r="L93" s="53">
        <f t="shared" si="5"/>
        <v>0.02</v>
      </c>
      <c r="M93" s="54">
        <f t="shared" si="6"/>
        <v>0.02</v>
      </c>
      <c r="N93" s="54">
        <f t="shared" si="7"/>
        <v>0.02</v>
      </c>
    </row>
    <row r="94" spans="1:14" ht="34.35" customHeight="1">
      <c r="A94" s="38" t="s">
        <v>747</v>
      </c>
      <c r="B94" s="37" t="s">
        <v>613</v>
      </c>
      <c r="C94" s="13"/>
      <c r="D94" s="5" t="s">
        <v>704</v>
      </c>
      <c r="E94" s="3" t="s">
        <v>705</v>
      </c>
      <c r="F94" s="14" t="s">
        <v>619</v>
      </c>
      <c r="G94" s="8" t="s">
        <v>39</v>
      </c>
      <c r="H94" s="2" t="s">
        <v>285</v>
      </c>
      <c r="I94" s="42">
        <v>17182</v>
      </c>
      <c r="J94" s="47">
        <v>45748</v>
      </c>
      <c r="K94" s="53">
        <f t="shared" si="8"/>
        <v>1431.83</v>
      </c>
      <c r="L94" s="53">
        <f t="shared" si="5"/>
        <v>1431.83</v>
      </c>
      <c r="M94" s="54">
        <f t="shared" si="6"/>
        <v>1431.83</v>
      </c>
      <c r="N94" s="54">
        <f t="shared" si="7"/>
        <v>1431.83</v>
      </c>
    </row>
    <row r="95" spans="1:14" ht="34.35" customHeight="1">
      <c r="A95" s="32" t="s">
        <v>753</v>
      </c>
      <c r="B95" s="30" t="s">
        <v>715</v>
      </c>
      <c r="C95" s="13">
        <v>47</v>
      </c>
      <c r="D95" s="5" t="s">
        <v>715</v>
      </c>
      <c r="E95" s="5"/>
      <c r="F95" s="14" t="s">
        <v>136</v>
      </c>
      <c r="G95" s="2" t="s">
        <v>327</v>
      </c>
      <c r="H95" s="2" t="s">
        <v>41</v>
      </c>
      <c r="I95" s="40">
        <v>31107.790052372686</v>
      </c>
      <c r="J95" s="47">
        <v>45748</v>
      </c>
      <c r="K95" s="53">
        <f t="shared" si="8"/>
        <v>2592.3200000000002</v>
      </c>
      <c r="L95" s="53">
        <f t="shared" si="5"/>
        <v>2592.3200000000002</v>
      </c>
      <c r="M95" s="54">
        <f t="shared" si="6"/>
        <v>2592.3200000000002</v>
      </c>
      <c r="N95" s="54">
        <f t="shared" si="7"/>
        <v>2592.3200000000002</v>
      </c>
    </row>
    <row r="96" spans="1:14" ht="34.35" customHeight="1">
      <c r="A96" s="32" t="s">
        <v>753</v>
      </c>
      <c r="B96" s="37" t="s">
        <v>716</v>
      </c>
      <c r="C96" s="13">
        <v>48</v>
      </c>
      <c r="D96" s="5" t="s">
        <v>717</v>
      </c>
      <c r="E96" s="5"/>
      <c r="F96" s="14" t="s">
        <v>136</v>
      </c>
      <c r="G96" s="2" t="s">
        <v>327</v>
      </c>
      <c r="H96" s="2" t="s">
        <v>718</v>
      </c>
      <c r="I96" s="46">
        <v>3713.109806620002</v>
      </c>
      <c r="J96" s="47">
        <v>45748</v>
      </c>
      <c r="K96" s="53">
        <f t="shared" si="8"/>
        <v>309.43</v>
      </c>
      <c r="L96" s="53">
        <f t="shared" si="5"/>
        <v>309.43</v>
      </c>
      <c r="M96" s="54">
        <f t="shared" si="6"/>
        <v>309.43</v>
      </c>
      <c r="N96" s="54">
        <f t="shared" si="7"/>
        <v>309.43</v>
      </c>
    </row>
    <row r="97" spans="1:14" ht="34.35" customHeight="1">
      <c r="A97" s="32" t="s">
        <v>753</v>
      </c>
      <c r="B97" s="37" t="s">
        <v>716</v>
      </c>
      <c r="C97" s="13"/>
      <c r="D97" s="6" t="s">
        <v>719</v>
      </c>
      <c r="E97" s="6"/>
      <c r="F97" s="14" t="s">
        <v>133</v>
      </c>
      <c r="G97" s="2"/>
      <c r="H97" s="2"/>
      <c r="I97" s="39">
        <v>0.11899999999999999</v>
      </c>
      <c r="J97" s="47">
        <v>45748</v>
      </c>
      <c r="K97" s="53">
        <f t="shared" si="8"/>
        <v>0.01</v>
      </c>
      <c r="L97" s="53">
        <f t="shared" si="5"/>
        <v>0.01</v>
      </c>
      <c r="M97" s="54">
        <f t="shared" si="6"/>
        <v>0.01</v>
      </c>
      <c r="N97" s="54">
        <f t="shared" si="7"/>
        <v>0.01</v>
      </c>
    </row>
    <row r="98" spans="1:14" ht="34.35" customHeight="1">
      <c r="A98" s="32" t="s">
        <v>753</v>
      </c>
      <c r="B98" s="5" t="s">
        <v>720</v>
      </c>
      <c r="C98" s="13">
        <v>49</v>
      </c>
      <c r="D98" s="5" t="s">
        <v>41</v>
      </c>
      <c r="E98" s="5"/>
      <c r="F98" s="14" t="s">
        <v>133</v>
      </c>
      <c r="G98" s="2" t="s">
        <v>327</v>
      </c>
      <c r="H98" s="2" t="s">
        <v>41</v>
      </c>
      <c r="I98" s="19">
        <v>0.45454176016007819</v>
      </c>
      <c r="J98" s="47">
        <v>45748</v>
      </c>
      <c r="K98" s="53">
        <f t="shared" si="8"/>
        <v>0.04</v>
      </c>
      <c r="L98" s="53">
        <f t="shared" si="5"/>
        <v>0.04</v>
      </c>
      <c r="M98" s="54">
        <f t="shared" si="6"/>
        <v>0.04</v>
      </c>
      <c r="N98" s="54">
        <f t="shared" si="7"/>
        <v>0.04</v>
      </c>
    </row>
    <row r="99" spans="1:14" ht="34.35" customHeight="1">
      <c r="A99" s="32" t="s">
        <v>753</v>
      </c>
      <c r="B99" s="5" t="s">
        <v>721</v>
      </c>
      <c r="C99" s="13">
        <v>50</v>
      </c>
      <c r="D99" s="5" t="s">
        <v>41</v>
      </c>
      <c r="E99" s="5"/>
      <c r="F99" s="14" t="s">
        <v>133</v>
      </c>
      <c r="G99" s="2" t="s">
        <v>722</v>
      </c>
      <c r="H99" s="2" t="s">
        <v>41</v>
      </c>
      <c r="I99" s="19">
        <v>9.9467434385779166E-2</v>
      </c>
      <c r="J99" s="47">
        <v>45748</v>
      </c>
      <c r="K99" s="53">
        <f t="shared" si="8"/>
        <v>0.01</v>
      </c>
      <c r="L99" s="53">
        <f t="shared" si="5"/>
        <v>0.01</v>
      </c>
      <c r="M99" s="54">
        <f t="shared" si="6"/>
        <v>0.01</v>
      </c>
      <c r="N99" s="54">
        <f t="shared" si="7"/>
        <v>0.01</v>
      </c>
    </row>
    <row r="100" spans="1:14" ht="34.35" customHeight="1">
      <c r="A100" s="32" t="s">
        <v>753</v>
      </c>
      <c r="B100" s="30" t="s">
        <v>723</v>
      </c>
      <c r="C100" s="13">
        <v>51</v>
      </c>
      <c r="D100" s="5" t="s">
        <v>724</v>
      </c>
      <c r="E100" s="5"/>
      <c r="F100" s="14" t="s">
        <v>133</v>
      </c>
      <c r="G100" s="2" t="s">
        <v>327</v>
      </c>
      <c r="H100" s="2" t="s">
        <v>725</v>
      </c>
      <c r="I100" s="17">
        <v>1</v>
      </c>
      <c r="J100" s="47">
        <v>45748</v>
      </c>
      <c r="K100" s="53">
        <f t="shared" si="8"/>
        <v>0.08</v>
      </c>
      <c r="L100" s="53">
        <f t="shared" si="5"/>
        <v>0.08</v>
      </c>
      <c r="M100" s="54">
        <f t="shared" si="6"/>
        <v>0.08</v>
      </c>
      <c r="N100" s="54">
        <f t="shared" si="7"/>
        <v>0.08</v>
      </c>
    </row>
    <row r="101" spans="1:14" ht="34.35" customHeight="1">
      <c r="A101" s="32" t="s">
        <v>753</v>
      </c>
      <c r="B101" s="30" t="s">
        <v>723</v>
      </c>
      <c r="C101" s="13"/>
      <c r="D101" s="5" t="s">
        <v>726</v>
      </c>
      <c r="E101" s="5"/>
      <c r="F101" s="14" t="s">
        <v>727</v>
      </c>
      <c r="G101" s="2" t="s">
        <v>327</v>
      </c>
      <c r="H101" s="2" t="s">
        <v>725</v>
      </c>
      <c r="I101" s="43">
        <v>1200</v>
      </c>
      <c r="J101" s="47">
        <v>45748</v>
      </c>
      <c r="K101" s="53">
        <f t="shared" si="8"/>
        <v>100</v>
      </c>
      <c r="L101" s="53">
        <f t="shared" si="5"/>
        <v>100</v>
      </c>
      <c r="M101" s="54">
        <f t="shared" si="6"/>
        <v>100</v>
      </c>
      <c r="N101" s="54">
        <f t="shared" si="7"/>
        <v>100</v>
      </c>
    </row>
    <row r="102" spans="1:14" ht="34.35" customHeight="1">
      <c r="A102" s="32" t="s">
        <v>753</v>
      </c>
      <c r="B102" s="30" t="s">
        <v>723</v>
      </c>
      <c r="C102" s="13">
        <v>52</v>
      </c>
      <c r="D102" s="5" t="s">
        <v>728</v>
      </c>
      <c r="E102" s="5"/>
      <c r="F102" s="14" t="s">
        <v>133</v>
      </c>
      <c r="G102" s="2" t="s">
        <v>327</v>
      </c>
      <c r="H102" s="2" t="s">
        <v>725</v>
      </c>
      <c r="I102" s="17">
        <v>1</v>
      </c>
      <c r="J102" s="47">
        <v>45748</v>
      </c>
      <c r="K102" s="53">
        <f t="shared" si="8"/>
        <v>0.08</v>
      </c>
      <c r="L102" s="53">
        <f t="shared" si="5"/>
        <v>0.08</v>
      </c>
      <c r="M102" s="54">
        <f t="shared" si="6"/>
        <v>0.08</v>
      </c>
      <c r="N102" s="54">
        <f t="shared" si="7"/>
        <v>0.08</v>
      </c>
    </row>
    <row r="103" spans="1:14" ht="34.35" customHeight="1">
      <c r="A103" s="32" t="s">
        <v>753</v>
      </c>
      <c r="B103" s="30" t="s">
        <v>723</v>
      </c>
      <c r="C103" s="13"/>
      <c r="D103" s="5" t="s">
        <v>729</v>
      </c>
      <c r="E103" s="5"/>
      <c r="F103" s="14" t="s">
        <v>727</v>
      </c>
      <c r="G103" s="2" t="s">
        <v>327</v>
      </c>
      <c r="H103" s="2" t="s">
        <v>725</v>
      </c>
      <c r="I103" s="43">
        <v>1200</v>
      </c>
      <c r="J103" s="47">
        <v>45748</v>
      </c>
      <c r="K103" s="53">
        <f t="shared" ref="K103" si="9">IF(I103=0,0,IF(I103="-","-",ROUND(I103/12,2)))</f>
        <v>100</v>
      </c>
      <c r="L103" s="53">
        <f t="shared" si="5"/>
        <v>100</v>
      </c>
      <c r="M103" s="54">
        <f t="shared" si="6"/>
        <v>100</v>
      </c>
      <c r="N103" s="54">
        <f t="shared" si="7"/>
        <v>100</v>
      </c>
    </row>
    <row r="104" spans="1:14" ht="34.35" customHeight="1">
      <c r="A104" s="32" t="s">
        <v>753</v>
      </c>
      <c r="B104" s="30" t="s">
        <v>730</v>
      </c>
      <c r="C104" s="13">
        <v>53</v>
      </c>
      <c r="D104" s="5" t="s">
        <v>504</v>
      </c>
      <c r="E104" s="5"/>
      <c r="F104" s="14" t="s">
        <v>136</v>
      </c>
      <c r="G104" s="2" t="s">
        <v>327</v>
      </c>
      <c r="H104" s="2" t="s">
        <v>40</v>
      </c>
      <c r="I104" s="20">
        <v>1174.3420820195504</v>
      </c>
      <c r="J104" s="47">
        <v>45748</v>
      </c>
      <c r="K104" s="53">
        <f t="shared" si="8"/>
        <v>97.86</v>
      </c>
      <c r="L104" s="53">
        <f t="shared" si="5"/>
        <v>97.86</v>
      </c>
      <c r="M104" s="54">
        <f t="shared" si="6"/>
        <v>97.86</v>
      </c>
      <c r="N104" s="54">
        <f t="shared" si="7"/>
        <v>97.86</v>
      </c>
    </row>
    <row r="105" spans="1:14" ht="34.35" customHeight="1">
      <c r="A105" s="32" t="s">
        <v>753</v>
      </c>
      <c r="B105" s="30" t="s">
        <v>730</v>
      </c>
      <c r="C105" s="13"/>
      <c r="D105" s="5" t="s">
        <v>508</v>
      </c>
      <c r="E105" s="5"/>
      <c r="F105" s="14" t="s">
        <v>136</v>
      </c>
      <c r="G105" s="2" t="s">
        <v>327</v>
      </c>
      <c r="H105" s="2" t="s">
        <v>40</v>
      </c>
      <c r="I105" s="20">
        <v>962.16729885251311</v>
      </c>
      <c r="J105" s="47">
        <v>45748</v>
      </c>
      <c r="K105" s="53">
        <f t="shared" si="8"/>
        <v>80.180000000000007</v>
      </c>
      <c r="L105" s="53">
        <f t="shared" si="5"/>
        <v>80.180000000000007</v>
      </c>
      <c r="M105" s="54">
        <f t="shared" si="6"/>
        <v>80.180000000000007</v>
      </c>
      <c r="N105" s="54">
        <f t="shared" si="7"/>
        <v>80.180000000000007</v>
      </c>
    </row>
    <row r="106" spans="1:14" ht="34.35" customHeight="1">
      <c r="A106" s="32" t="s">
        <v>733</v>
      </c>
      <c r="B106" s="31" t="s">
        <v>36</v>
      </c>
      <c r="C106" s="29">
        <v>1</v>
      </c>
      <c r="D106" s="5" t="s">
        <v>37</v>
      </c>
      <c r="E106" s="5"/>
      <c r="F106" s="14" t="s">
        <v>38</v>
      </c>
      <c r="G106" s="2" t="s">
        <v>39</v>
      </c>
      <c r="H106" s="2" t="s">
        <v>40</v>
      </c>
      <c r="I106" s="1">
        <v>0</v>
      </c>
      <c r="J106" s="47">
        <v>45778</v>
      </c>
      <c r="K106" s="53">
        <f>IF(I106=0,0,IF(I106="-","-",ROUND(I106/12,2)))</f>
        <v>0</v>
      </c>
      <c r="L106" s="53">
        <f>K106</f>
        <v>0</v>
      </c>
      <c r="M106" s="54">
        <f>K106</f>
        <v>0</v>
      </c>
      <c r="N106" s="54">
        <f>L106</f>
        <v>0</v>
      </c>
    </row>
    <row r="107" spans="1:14" ht="34.35" customHeight="1">
      <c r="A107" s="32" t="s">
        <v>733</v>
      </c>
      <c r="B107" s="31" t="s">
        <v>36</v>
      </c>
      <c r="C107" s="29">
        <v>2</v>
      </c>
      <c r="D107" s="6" t="s">
        <v>42</v>
      </c>
      <c r="E107" s="6"/>
      <c r="F107" s="14" t="s">
        <v>38</v>
      </c>
      <c r="G107" s="2" t="s">
        <v>39</v>
      </c>
      <c r="H107" s="2" t="s">
        <v>43</v>
      </c>
      <c r="I107" s="3">
        <v>0</v>
      </c>
      <c r="J107" s="47">
        <v>45778</v>
      </c>
      <c r="K107" s="53">
        <f t="shared" ref="K107:K170" si="10">IF(I107=0,0,IF(I107="-","-",ROUND(I107/12,2)))</f>
        <v>0</v>
      </c>
      <c r="L107" s="53">
        <f t="shared" ref="L107:L170" si="11">K107</f>
        <v>0</v>
      </c>
      <c r="M107" s="54">
        <f t="shared" ref="M107:M170" si="12">K107</f>
        <v>0</v>
      </c>
      <c r="N107" s="54">
        <f t="shared" ref="N107:N170" si="13">L107</f>
        <v>0</v>
      </c>
    </row>
    <row r="108" spans="1:14" ht="34.35" customHeight="1">
      <c r="A108" s="32" t="s">
        <v>733</v>
      </c>
      <c r="B108" s="31" t="s">
        <v>36</v>
      </c>
      <c r="C108" s="29">
        <v>3</v>
      </c>
      <c r="D108" s="5" t="s">
        <v>734</v>
      </c>
      <c r="E108" s="5" t="s">
        <v>735</v>
      </c>
      <c r="F108" s="14" t="s">
        <v>38</v>
      </c>
      <c r="G108" s="2" t="s">
        <v>39</v>
      </c>
      <c r="H108" s="2" t="s">
        <v>40</v>
      </c>
      <c r="I108" s="3">
        <v>4</v>
      </c>
      <c r="J108" s="47">
        <v>45778</v>
      </c>
      <c r="K108" s="53">
        <f t="shared" si="10"/>
        <v>0.33</v>
      </c>
      <c r="L108" s="53">
        <f t="shared" si="11"/>
        <v>0.33</v>
      </c>
      <c r="M108" s="54">
        <f t="shared" si="12"/>
        <v>0.33</v>
      </c>
      <c r="N108" s="54">
        <f t="shared" si="13"/>
        <v>0.33</v>
      </c>
    </row>
    <row r="109" spans="1:14" ht="34.35" customHeight="1">
      <c r="A109" s="32" t="s">
        <v>733</v>
      </c>
      <c r="B109" s="31" t="s">
        <v>36</v>
      </c>
      <c r="C109" s="29">
        <v>4</v>
      </c>
      <c r="D109" s="6" t="s">
        <v>112</v>
      </c>
      <c r="E109" s="5" t="s">
        <v>735</v>
      </c>
      <c r="F109" s="14" t="s">
        <v>38</v>
      </c>
      <c r="G109" s="2" t="s">
        <v>39</v>
      </c>
      <c r="H109" s="2" t="s">
        <v>40</v>
      </c>
      <c r="I109" s="3">
        <v>4</v>
      </c>
      <c r="J109" s="47">
        <v>45778</v>
      </c>
      <c r="K109" s="53">
        <f t="shared" si="10"/>
        <v>0.33</v>
      </c>
      <c r="L109" s="53">
        <f t="shared" si="11"/>
        <v>0.33</v>
      </c>
      <c r="M109" s="54">
        <f t="shared" si="12"/>
        <v>0.33</v>
      </c>
      <c r="N109" s="54">
        <f t="shared" si="13"/>
        <v>0.33</v>
      </c>
    </row>
    <row r="110" spans="1:14" ht="34.35" customHeight="1">
      <c r="A110" s="32" t="s">
        <v>733</v>
      </c>
      <c r="B110" s="31" t="s">
        <v>46</v>
      </c>
      <c r="C110" s="29">
        <v>5</v>
      </c>
      <c r="D110" s="5" t="s">
        <v>47</v>
      </c>
      <c r="E110" s="5"/>
      <c r="F110" s="14" t="s">
        <v>38</v>
      </c>
      <c r="G110" s="2" t="s">
        <v>48</v>
      </c>
      <c r="H110" s="2" t="s">
        <v>49</v>
      </c>
      <c r="I110" s="1">
        <v>0</v>
      </c>
      <c r="J110" s="47">
        <v>45778</v>
      </c>
      <c r="K110" s="53">
        <f t="shared" si="10"/>
        <v>0</v>
      </c>
      <c r="L110" s="53">
        <f t="shared" si="11"/>
        <v>0</v>
      </c>
      <c r="M110" s="54">
        <f t="shared" si="12"/>
        <v>0</v>
      </c>
      <c r="N110" s="54">
        <f t="shared" si="13"/>
        <v>0</v>
      </c>
    </row>
    <row r="111" spans="1:14" ht="34.35" customHeight="1">
      <c r="A111" s="32" t="s">
        <v>733</v>
      </c>
      <c r="B111" s="31" t="s">
        <v>46</v>
      </c>
      <c r="C111" s="29">
        <v>6</v>
      </c>
      <c r="D111" s="5" t="s">
        <v>50</v>
      </c>
      <c r="E111" s="5"/>
      <c r="F111" s="14" t="s">
        <v>38</v>
      </c>
      <c r="G111" s="2" t="s">
        <v>48</v>
      </c>
      <c r="H111" s="2" t="s">
        <v>49</v>
      </c>
      <c r="I111" s="1">
        <v>0</v>
      </c>
      <c r="J111" s="47">
        <v>45778</v>
      </c>
      <c r="K111" s="53">
        <f t="shared" si="10"/>
        <v>0</v>
      </c>
      <c r="L111" s="53">
        <f t="shared" si="11"/>
        <v>0</v>
      </c>
      <c r="M111" s="54">
        <f t="shared" si="12"/>
        <v>0</v>
      </c>
      <c r="N111" s="54">
        <f t="shared" si="13"/>
        <v>0</v>
      </c>
    </row>
    <row r="112" spans="1:14" ht="34.35" customHeight="1">
      <c r="A112" s="32" t="s">
        <v>733</v>
      </c>
      <c r="B112" s="31" t="s">
        <v>46</v>
      </c>
      <c r="C112" s="29">
        <v>7</v>
      </c>
      <c r="D112" s="6" t="s">
        <v>51</v>
      </c>
      <c r="E112" s="6"/>
      <c r="F112" s="14" t="s">
        <v>38</v>
      </c>
      <c r="G112" s="2" t="s">
        <v>48</v>
      </c>
      <c r="H112" s="2" t="s">
        <v>49</v>
      </c>
      <c r="I112" s="1">
        <v>0</v>
      </c>
      <c r="J112" s="47">
        <v>45778</v>
      </c>
      <c r="K112" s="53">
        <f t="shared" si="10"/>
        <v>0</v>
      </c>
      <c r="L112" s="53">
        <f t="shared" si="11"/>
        <v>0</v>
      </c>
      <c r="M112" s="54">
        <f t="shared" si="12"/>
        <v>0</v>
      </c>
      <c r="N112" s="54">
        <f t="shared" si="13"/>
        <v>0</v>
      </c>
    </row>
    <row r="113" spans="1:14" ht="34.35" customHeight="1">
      <c r="A113" s="32" t="s">
        <v>733</v>
      </c>
      <c r="B113" s="31" t="s">
        <v>46</v>
      </c>
      <c r="C113" s="29">
        <v>8</v>
      </c>
      <c r="D113" s="5" t="s">
        <v>52</v>
      </c>
      <c r="E113" s="5"/>
      <c r="F113" s="14" t="s">
        <v>38</v>
      </c>
      <c r="G113" s="2" t="s">
        <v>48</v>
      </c>
      <c r="H113" s="2" t="s">
        <v>49</v>
      </c>
      <c r="I113" s="1">
        <v>0</v>
      </c>
      <c r="J113" s="47">
        <v>45778</v>
      </c>
      <c r="K113" s="53">
        <f t="shared" si="10"/>
        <v>0</v>
      </c>
      <c r="L113" s="53">
        <f t="shared" si="11"/>
        <v>0</v>
      </c>
      <c r="M113" s="54">
        <f t="shared" si="12"/>
        <v>0</v>
      </c>
      <c r="N113" s="54">
        <f t="shared" si="13"/>
        <v>0</v>
      </c>
    </row>
    <row r="114" spans="1:14" ht="34.35" customHeight="1">
      <c r="A114" s="32" t="s">
        <v>733</v>
      </c>
      <c r="B114" s="31" t="s">
        <v>46</v>
      </c>
      <c r="C114" s="29">
        <v>9</v>
      </c>
      <c r="D114" s="6" t="s">
        <v>736</v>
      </c>
      <c r="E114" s="6"/>
      <c r="F114" s="14" t="s">
        <v>38</v>
      </c>
      <c r="G114" s="2" t="s">
        <v>48</v>
      </c>
      <c r="H114" s="2" t="s">
        <v>49</v>
      </c>
      <c r="I114" s="1"/>
      <c r="J114" s="47">
        <v>45778</v>
      </c>
      <c r="K114" s="53">
        <f t="shared" si="10"/>
        <v>0</v>
      </c>
      <c r="L114" s="53">
        <f t="shared" si="11"/>
        <v>0</v>
      </c>
      <c r="M114" s="54">
        <f t="shared" si="12"/>
        <v>0</v>
      </c>
      <c r="N114" s="54">
        <f t="shared" si="13"/>
        <v>0</v>
      </c>
    </row>
    <row r="115" spans="1:14" ht="34.35" customHeight="1">
      <c r="A115" s="32" t="s">
        <v>737</v>
      </c>
      <c r="B115" s="15" t="s">
        <v>113</v>
      </c>
      <c r="C115" s="29">
        <v>10</v>
      </c>
      <c r="D115" s="5" t="s">
        <v>114</v>
      </c>
      <c r="E115" s="5"/>
      <c r="F115" s="14" t="s">
        <v>38</v>
      </c>
      <c r="G115" s="2" t="s">
        <v>115</v>
      </c>
      <c r="H115" s="2" t="s">
        <v>116</v>
      </c>
      <c r="I115" s="1">
        <v>0</v>
      </c>
      <c r="J115" s="47">
        <v>45778</v>
      </c>
      <c r="K115" s="53">
        <f t="shared" si="10"/>
        <v>0</v>
      </c>
      <c r="L115" s="53">
        <f t="shared" si="11"/>
        <v>0</v>
      </c>
      <c r="M115" s="54">
        <f t="shared" si="12"/>
        <v>0</v>
      </c>
      <c r="N115" s="54">
        <f t="shared" si="13"/>
        <v>0</v>
      </c>
    </row>
    <row r="116" spans="1:14" ht="34.35" customHeight="1">
      <c r="A116" s="32" t="s">
        <v>737</v>
      </c>
      <c r="B116" s="15" t="s">
        <v>113</v>
      </c>
      <c r="C116" s="29">
        <v>11</v>
      </c>
      <c r="D116" s="5" t="s">
        <v>118</v>
      </c>
      <c r="E116" s="5"/>
      <c r="F116" s="14" t="s">
        <v>38</v>
      </c>
      <c r="G116" s="2" t="s">
        <v>115</v>
      </c>
      <c r="H116" s="2" t="s">
        <v>116</v>
      </c>
      <c r="I116" s="3">
        <v>4</v>
      </c>
      <c r="J116" s="47">
        <v>45778</v>
      </c>
      <c r="K116" s="53">
        <f t="shared" si="10"/>
        <v>0.33</v>
      </c>
      <c r="L116" s="53">
        <f t="shared" si="11"/>
        <v>0.33</v>
      </c>
      <c r="M116" s="54">
        <f t="shared" si="12"/>
        <v>0.33</v>
      </c>
      <c r="N116" s="54">
        <f t="shared" si="13"/>
        <v>0.33</v>
      </c>
    </row>
    <row r="117" spans="1:14" ht="34.35" customHeight="1">
      <c r="A117" s="32" t="s">
        <v>737</v>
      </c>
      <c r="B117" s="15" t="s">
        <v>113</v>
      </c>
      <c r="C117" s="29">
        <v>12</v>
      </c>
      <c r="D117" s="5" t="s">
        <v>119</v>
      </c>
      <c r="E117" s="5"/>
      <c r="F117" s="14" t="s">
        <v>38</v>
      </c>
      <c r="G117" s="2" t="s">
        <v>115</v>
      </c>
      <c r="H117" s="2" t="s">
        <v>116</v>
      </c>
      <c r="I117" s="3">
        <v>9</v>
      </c>
      <c r="J117" s="47">
        <v>45778</v>
      </c>
      <c r="K117" s="53">
        <f t="shared" si="10"/>
        <v>0.75</v>
      </c>
      <c r="L117" s="53">
        <f t="shared" si="11"/>
        <v>0.75</v>
      </c>
      <c r="M117" s="54">
        <f t="shared" si="12"/>
        <v>0.75</v>
      </c>
      <c r="N117" s="54">
        <f t="shared" si="13"/>
        <v>0.75</v>
      </c>
    </row>
    <row r="118" spans="1:14" ht="34.35" customHeight="1">
      <c r="A118" s="32" t="s">
        <v>737</v>
      </c>
      <c r="B118" s="15" t="s">
        <v>113</v>
      </c>
      <c r="C118" s="29">
        <v>13</v>
      </c>
      <c r="D118" s="6" t="s">
        <v>120</v>
      </c>
      <c r="E118" s="6"/>
      <c r="F118" s="14" t="s">
        <v>38</v>
      </c>
      <c r="G118" s="2" t="s">
        <v>115</v>
      </c>
      <c r="H118" s="2" t="s">
        <v>116</v>
      </c>
      <c r="I118" s="3">
        <v>6</v>
      </c>
      <c r="J118" s="47">
        <v>45778</v>
      </c>
      <c r="K118" s="53">
        <f t="shared" si="10"/>
        <v>0.5</v>
      </c>
      <c r="L118" s="53">
        <f t="shared" si="11"/>
        <v>0.5</v>
      </c>
      <c r="M118" s="54">
        <f t="shared" si="12"/>
        <v>0.5</v>
      </c>
      <c r="N118" s="54">
        <f t="shared" si="13"/>
        <v>0.5</v>
      </c>
    </row>
    <row r="119" spans="1:14" ht="34.35" customHeight="1">
      <c r="A119" s="32" t="s">
        <v>737</v>
      </c>
      <c r="B119" s="15" t="s">
        <v>113</v>
      </c>
      <c r="C119" s="29">
        <v>14</v>
      </c>
      <c r="D119" s="5" t="s">
        <v>125</v>
      </c>
      <c r="E119" s="5"/>
      <c r="F119" s="14" t="s">
        <v>38</v>
      </c>
      <c r="G119" s="2" t="s">
        <v>126</v>
      </c>
      <c r="H119" s="2" t="s">
        <v>127</v>
      </c>
      <c r="I119" s="1">
        <v>6</v>
      </c>
      <c r="J119" s="47">
        <v>45778</v>
      </c>
      <c r="K119" s="53">
        <f t="shared" si="10"/>
        <v>0.5</v>
      </c>
      <c r="L119" s="53">
        <f t="shared" si="11"/>
        <v>0.5</v>
      </c>
      <c r="M119" s="54">
        <f t="shared" si="12"/>
        <v>0.5</v>
      </c>
      <c r="N119" s="54">
        <f t="shared" si="13"/>
        <v>0.5</v>
      </c>
    </row>
    <row r="120" spans="1:14" ht="34.35" customHeight="1">
      <c r="A120" s="32" t="s">
        <v>737</v>
      </c>
      <c r="B120" s="15" t="s">
        <v>113</v>
      </c>
      <c r="C120" s="29">
        <v>15</v>
      </c>
      <c r="D120" s="6" t="s">
        <v>129</v>
      </c>
      <c r="E120" s="6"/>
      <c r="F120" s="14" t="s">
        <v>38</v>
      </c>
      <c r="G120" s="2" t="s">
        <v>126</v>
      </c>
      <c r="H120" s="2" t="s">
        <v>130</v>
      </c>
      <c r="I120" s="1">
        <v>5</v>
      </c>
      <c r="J120" s="47">
        <v>45778</v>
      </c>
      <c r="K120" s="53">
        <f t="shared" si="10"/>
        <v>0.42</v>
      </c>
      <c r="L120" s="53">
        <f t="shared" si="11"/>
        <v>0.42</v>
      </c>
      <c r="M120" s="54">
        <f t="shared" si="12"/>
        <v>0.42</v>
      </c>
      <c r="N120" s="54">
        <f t="shared" si="13"/>
        <v>0.42</v>
      </c>
    </row>
    <row r="121" spans="1:14" ht="34.35" customHeight="1">
      <c r="A121" s="32" t="s">
        <v>737</v>
      </c>
      <c r="B121" s="9" t="s">
        <v>131</v>
      </c>
      <c r="C121" s="13">
        <v>16</v>
      </c>
      <c r="D121" s="5" t="s">
        <v>132</v>
      </c>
      <c r="E121" s="5"/>
      <c r="F121" s="14" t="s">
        <v>133</v>
      </c>
      <c r="G121" s="2" t="s">
        <v>134</v>
      </c>
      <c r="H121" s="2" t="s">
        <v>135</v>
      </c>
      <c r="I121" s="16">
        <v>5.6228257045651073E-3</v>
      </c>
      <c r="J121" s="47">
        <v>45778</v>
      </c>
      <c r="K121" s="53">
        <f t="shared" si="10"/>
        <v>0</v>
      </c>
      <c r="L121" s="53">
        <f t="shared" si="11"/>
        <v>0</v>
      </c>
      <c r="M121" s="54">
        <f t="shared" si="12"/>
        <v>0</v>
      </c>
      <c r="N121" s="54">
        <f t="shared" si="13"/>
        <v>0</v>
      </c>
    </row>
    <row r="122" spans="1:14" ht="34.35" customHeight="1">
      <c r="A122" s="32" t="s">
        <v>737</v>
      </c>
      <c r="B122" s="9" t="s">
        <v>131</v>
      </c>
      <c r="C122" s="13"/>
      <c r="D122" s="5" t="s">
        <v>132</v>
      </c>
      <c r="E122" s="5"/>
      <c r="F122" s="14" t="s">
        <v>136</v>
      </c>
      <c r="G122" s="2" t="s">
        <v>134</v>
      </c>
      <c r="H122" s="2" t="s">
        <v>135</v>
      </c>
      <c r="I122" s="27">
        <v>162.9</v>
      </c>
      <c r="J122" s="47">
        <v>45778</v>
      </c>
      <c r="K122" s="53">
        <f t="shared" si="10"/>
        <v>13.58</v>
      </c>
      <c r="L122" s="53">
        <f t="shared" si="11"/>
        <v>13.58</v>
      </c>
      <c r="M122" s="54">
        <f t="shared" si="12"/>
        <v>13.58</v>
      </c>
      <c r="N122" s="54">
        <f t="shared" si="13"/>
        <v>13.58</v>
      </c>
    </row>
    <row r="123" spans="1:14" ht="34.35" customHeight="1">
      <c r="A123" s="32" t="s">
        <v>737</v>
      </c>
      <c r="B123" s="9" t="s">
        <v>131</v>
      </c>
      <c r="C123" s="29">
        <v>17</v>
      </c>
      <c r="D123" s="5" t="s">
        <v>137</v>
      </c>
      <c r="E123" s="5"/>
      <c r="F123" s="14" t="s">
        <v>136</v>
      </c>
      <c r="G123" s="2" t="s">
        <v>138</v>
      </c>
      <c r="H123" s="2" t="s">
        <v>135</v>
      </c>
      <c r="I123" s="3">
        <v>231.81399999999999</v>
      </c>
      <c r="J123" s="47">
        <v>45778</v>
      </c>
      <c r="K123" s="53">
        <f t="shared" si="10"/>
        <v>19.32</v>
      </c>
      <c r="L123" s="53">
        <f t="shared" si="11"/>
        <v>19.32</v>
      </c>
      <c r="M123" s="54">
        <f t="shared" si="12"/>
        <v>19.32</v>
      </c>
      <c r="N123" s="54">
        <f t="shared" si="13"/>
        <v>19.32</v>
      </c>
    </row>
    <row r="124" spans="1:14" ht="34.35" customHeight="1">
      <c r="A124" s="32" t="s">
        <v>738</v>
      </c>
      <c r="B124" s="9" t="s">
        <v>283</v>
      </c>
      <c r="C124" s="29">
        <v>10</v>
      </c>
      <c r="D124" s="5" t="s">
        <v>284</v>
      </c>
      <c r="E124" s="5" t="s">
        <v>739</v>
      </c>
      <c r="F124" s="14" t="s">
        <v>38</v>
      </c>
      <c r="G124" s="2" t="s">
        <v>106</v>
      </c>
      <c r="H124" s="2" t="s">
        <v>285</v>
      </c>
      <c r="I124" s="1">
        <v>130</v>
      </c>
      <c r="J124" s="47">
        <v>45778</v>
      </c>
      <c r="K124" s="53">
        <f t="shared" si="10"/>
        <v>10.83</v>
      </c>
      <c r="L124" s="53">
        <f t="shared" si="11"/>
        <v>10.83</v>
      </c>
      <c r="M124" s="54">
        <f t="shared" si="12"/>
        <v>10.83</v>
      </c>
      <c r="N124" s="54">
        <f t="shared" si="13"/>
        <v>10.83</v>
      </c>
    </row>
    <row r="125" spans="1:14" ht="34.35" customHeight="1">
      <c r="A125" s="32" t="s">
        <v>738</v>
      </c>
      <c r="B125" s="9" t="s">
        <v>286</v>
      </c>
      <c r="C125" s="29">
        <v>11</v>
      </c>
      <c r="D125" s="5" t="s">
        <v>287</v>
      </c>
      <c r="E125" s="5"/>
      <c r="F125" s="14" t="s">
        <v>288</v>
      </c>
      <c r="G125" s="2" t="s">
        <v>106</v>
      </c>
      <c r="H125" s="2" t="s">
        <v>289</v>
      </c>
      <c r="I125" s="1">
        <v>0</v>
      </c>
      <c r="J125" s="47">
        <v>45778</v>
      </c>
      <c r="K125" s="53">
        <f t="shared" si="10"/>
        <v>0</v>
      </c>
      <c r="L125" s="53">
        <f t="shared" si="11"/>
        <v>0</v>
      </c>
      <c r="M125" s="54">
        <f t="shared" si="12"/>
        <v>0</v>
      </c>
      <c r="N125" s="54">
        <f t="shared" si="13"/>
        <v>0</v>
      </c>
    </row>
    <row r="126" spans="1:14" ht="34.35" customHeight="1">
      <c r="A126" s="32" t="s">
        <v>738</v>
      </c>
      <c r="B126" s="9" t="s">
        <v>292</v>
      </c>
      <c r="C126" s="29">
        <v>12</v>
      </c>
      <c r="D126" s="5" t="s">
        <v>41</v>
      </c>
      <c r="E126" s="5"/>
      <c r="F126" s="14" t="s">
        <v>133</v>
      </c>
      <c r="G126" s="2" t="s">
        <v>105</v>
      </c>
      <c r="H126" s="2" t="s">
        <v>43</v>
      </c>
      <c r="I126" s="17">
        <v>1</v>
      </c>
      <c r="J126" s="47">
        <v>45778</v>
      </c>
      <c r="K126" s="53">
        <f t="shared" si="10"/>
        <v>0.08</v>
      </c>
      <c r="L126" s="53">
        <f t="shared" si="11"/>
        <v>0.08</v>
      </c>
      <c r="M126" s="54">
        <f t="shared" si="12"/>
        <v>0.08</v>
      </c>
      <c r="N126" s="54">
        <f t="shared" si="13"/>
        <v>0.08</v>
      </c>
    </row>
    <row r="127" spans="1:14" ht="34.35" customHeight="1">
      <c r="A127" s="32" t="s">
        <v>738</v>
      </c>
      <c r="B127" s="9" t="s">
        <v>293</v>
      </c>
      <c r="C127" s="29">
        <v>13</v>
      </c>
      <c r="D127" s="5" t="s">
        <v>41</v>
      </c>
      <c r="E127" s="5"/>
      <c r="F127" s="14" t="s">
        <v>38</v>
      </c>
      <c r="G127" s="2" t="s">
        <v>105</v>
      </c>
      <c r="H127" s="2" t="s">
        <v>43</v>
      </c>
      <c r="I127" s="1">
        <v>0</v>
      </c>
      <c r="J127" s="47">
        <v>45778</v>
      </c>
      <c r="K127" s="53">
        <f t="shared" si="10"/>
        <v>0</v>
      </c>
      <c r="L127" s="53">
        <f t="shared" si="11"/>
        <v>0</v>
      </c>
      <c r="M127" s="54">
        <f t="shared" si="12"/>
        <v>0</v>
      </c>
      <c r="N127" s="54">
        <f t="shared" si="13"/>
        <v>0</v>
      </c>
    </row>
    <row r="128" spans="1:14" ht="34.35" customHeight="1">
      <c r="A128" s="32" t="s">
        <v>738</v>
      </c>
      <c r="B128" s="9" t="s">
        <v>294</v>
      </c>
      <c r="C128" s="29">
        <v>14</v>
      </c>
      <c r="D128" s="5" t="s">
        <v>41</v>
      </c>
      <c r="E128" s="3" t="s">
        <v>740</v>
      </c>
      <c r="F128" s="14" t="s">
        <v>136</v>
      </c>
      <c r="G128" s="2" t="s">
        <v>110</v>
      </c>
      <c r="H128" s="2" t="s">
        <v>134</v>
      </c>
      <c r="I128" s="3">
        <v>7.65</v>
      </c>
      <c r="J128" s="47">
        <v>45778</v>
      </c>
      <c r="K128" s="53">
        <f t="shared" si="10"/>
        <v>0.64</v>
      </c>
      <c r="L128" s="53">
        <f t="shared" si="11"/>
        <v>0.64</v>
      </c>
      <c r="M128" s="54">
        <f t="shared" si="12"/>
        <v>0.64</v>
      </c>
      <c r="N128" s="54">
        <f t="shared" si="13"/>
        <v>0.64</v>
      </c>
    </row>
    <row r="129" spans="1:14" ht="34.35" customHeight="1">
      <c r="A129" s="32" t="s">
        <v>741</v>
      </c>
      <c r="B129" s="36" t="s">
        <v>310</v>
      </c>
      <c r="C129" s="29">
        <v>15</v>
      </c>
      <c r="D129" s="5" t="s">
        <v>311</v>
      </c>
      <c r="E129" s="5"/>
      <c r="F129" s="14" t="s">
        <v>38</v>
      </c>
      <c r="G129" s="2" t="s">
        <v>489</v>
      </c>
      <c r="H129" s="2" t="s">
        <v>40</v>
      </c>
      <c r="I129" s="3">
        <v>0</v>
      </c>
      <c r="J129" s="47">
        <v>45778</v>
      </c>
      <c r="K129" s="53">
        <f t="shared" si="10"/>
        <v>0</v>
      </c>
      <c r="L129" s="53">
        <f t="shared" si="11"/>
        <v>0</v>
      </c>
      <c r="M129" s="54">
        <f t="shared" si="12"/>
        <v>0</v>
      </c>
      <c r="N129" s="54">
        <f t="shared" si="13"/>
        <v>0</v>
      </c>
    </row>
    <row r="130" spans="1:14" ht="34.35" customHeight="1">
      <c r="A130" s="32" t="s">
        <v>741</v>
      </c>
      <c r="B130" s="36" t="s">
        <v>310</v>
      </c>
      <c r="C130" s="29">
        <v>16</v>
      </c>
      <c r="D130" s="5" t="s">
        <v>313</v>
      </c>
      <c r="E130" s="5"/>
      <c r="F130" s="14" t="s">
        <v>38</v>
      </c>
      <c r="G130" s="2" t="s">
        <v>489</v>
      </c>
      <c r="H130" s="2" t="s">
        <v>40</v>
      </c>
      <c r="I130" s="3">
        <v>0</v>
      </c>
      <c r="J130" s="47">
        <v>45778</v>
      </c>
      <c r="K130" s="53">
        <f t="shared" si="10"/>
        <v>0</v>
      </c>
      <c r="L130" s="53">
        <f t="shared" si="11"/>
        <v>0</v>
      </c>
      <c r="M130" s="54">
        <f t="shared" si="12"/>
        <v>0</v>
      </c>
      <c r="N130" s="54">
        <f t="shared" si="13"/>
        <v>0</v>
      </c>
    </row>
    <row r="131" spans="1:14" ht="34.35" customHeight="1">
      <c r="A131" s="32" t="s">
        <v>741</v>
      </c>
      <c r="B131" s="36" t="s">
        <v>310</v>
      </c>
      <c r="C131" s="29">
        <v>17</v>
      </c>
      <c r="D131" s="6" t="s">
        <v>314</v>
      </c>
      <c r="E131" s="6"/>
      <c r="F131" s="14" t="s">
        <v>38</v>
      </c>
      <c r="G131" s="2" t="s">
        <v>489</v>
      </c>
      <c r="H131" s="2" t="s">
        <v>40</v>
      </c>
      <c r="I131" s="3">
        <v>0</v>
      </c>
      <c r="J131" s="47">
        <v>45778</v>
      </c>
      <c r="K131" s="53">
        <f t="shared" si="10"/>
        <v>0</v>
      </c>
      <c r="L131" s="53">
        <f t="shared" si="11"/>
        <v>0</v>
      </c>
      <c r="M131" s="54">
        <f t="shared" si="12"/>
        <v>0</v>
      </c>
      <c r="N131" s="54">
        <f t="shared" si="13"/>
        <v>0</v>
      </c>
    </row>
    <row r="132" spans="1:14" ht="34.35" customHeight="1">
      <c r="A132" s="32" t="s">
        <v>741</v>
      </c>
      <c r="B132" s="36" t="s">
        <v>310</v>
      </c>
      <c r="C132" s="13">
        <v>18</v>
      </c>
      <c r="D132" s="5" t="s">
        <v>315</v>
      </c>
      <c r="E132" s="3" t="s">
        <v>458</v>
      </c>
      <c r="F132" s="14" t="s">
        <v>38</v>
      </c>
      <c r="G132" s="2" t="s">
        <v>316</v>
      </c>
      <c r="H132" s="2" t="s">
        <v>40</v>
      </c>
      <c r="I132" s="3">
        <v>280</v>
      </c>
      <c r="J132" s="47">
        <v>45778</v>
      </c>
      <c r="K132" s="53">
        <f t="shared" si="10"/>
        <v>23.33</v>
      </c>
      <c r="L132" s="53">
        <f t="shared" si="11"/>
        <v>23.33</v>
      </c>
      <c r="M132" s="54">
        <f t="shared" si="12"/>
        <v>23.33</v>
      </c>
      <c r="N132" s="54">
        <f t="shared" si="13"/>
        <v>23.33</v>
      </c>
    </row>
    <row r="133" spans="1:14" ht="34.35" customHeight="1">
      <c r="A133" s="32" t="s">
        <v>741</v>
      </c>
      <c r="B133" s="36" t="s">
        <v>310</v>
      </c>
      <c r="C133" s="13"/>
      <c r="D133" s="5" t="s">
        <v>315</v>
      </c>
      <c r="E133" s="3" t="s">
        <v>459</v>
      </c>
      <c r="F133" s="14" t="s">
        <v>136</v>
      </c>
      <c r="G133" s="2" t="s">
        <v>316</v>
      </c>
      <c r="H133" s="2" t="s">
        <v>40</v>
      </c>
      <c r="I133" s="3">
        <v>106</v>
      </c>
      <c r="J133" s="47">
        <v>45778</v>
      </c>
      <c r="K133" s="53">
        <f t="shared" si="10"/>
        <v>8.83</v>
      </c>
      <c r="L133" s="53">
        <f t="shared" si="11"/>
        <v>8.83</v>
      </c>
      <c r="M133" s="54">
        <f t="shared" si="12"/>
        <v>8.83</v>
      </c>
      <c r="N133" s="54">
        <f t="shared" si="13"/>
        <v>8.83</v>
      </c>
    </row>
    <row r="134" spans="1:14" ht="34.35" customHeight="1">
      <c r="A134" s="32" t="s">
        <v>741</v>
      </c>
      <c r="B134" s="36" t="s">
        <v>310</v>
      </c>
      <c r="C134" s="13">
        <v>19</v>
      </c>
      <c r="D134" s="5" t="s">
        <v>317</v>
      </c>
      <c r="E134" s="5"/>
      <c r="F134" s="14" t="s">
        <v>38</v>
      </c>
      <c r="G134" s="2" t="s">
        <v>316</v>
      </c>
      <c r="H134" s="2" t="s">
        <v>40</v>
      </c>
      <c r="I134" s="3">
        <v>0</v>
      </c>
      <c r="J134" s="47">
        <v>45778</v>
      </c>
      <c r="K134" s="53">
        <f t="shared" si="10"/>
        <v>0</v>
      </c>
      <c r="L134" s="53">
        <f t="shared" si="11"/>
        <v>0</v>
      </c>
      <c r="M134" s="54">
        <f t="shared" si="12"/>
        <v>0</v>
      </c>
      <c r="N134" s="54">
        <f t="shared" si="13"/>
        <v>0</v>
      </c>
    </row>
    <row r="135" spans="1:14" ht="34.35" customHeight="1">
      <c r="A135" s="32" t="s">
        <v>741</v>
      </c>
      <c r="B135" s="36" t="s">
        <v>310</v>
      </c>
      <c r="C135" s="13"/>
      <c r="D135" s="5" t="s">
        <v>317</v>
      </c>
      <c r="E135" s="5"/>
      <c r="F135" s="14" t="s">
        <v>136</v>
      </c>
      <c r="G135" s="2" t="s">
        <v>316</v>
      </c>
      <c r="H135" s="2" t="s">
        <v>40</v>
      </c>
      <c r="I135" s="3">
        <v>0</v>
      </c>
      <c r="J135" s="47">
        <v>45778</v>
      </c>
      <c r="K135" s="53">
        <f t="shared" si="10"/>
        <v>0</v>
      </c>
      <c r="L135" s="53">
        <f t="shared" si="11"/>
        <v>0</v>
      </c>
      <c r="M135" s="54">
        <f t="shared" si="12"/>
        <v>0</v>
      </c>
      <c r="N135" s="54">
        <f t="shared" si="13"/>
        <v>0</v>
      </c>
    </row>
    <row r="136" spans="1:14" ht="34.35" customHeight="1">
      <c r="A136" s="32" t="s">
        <v>741</v>
      </c>
      <c r="B136" s="36" t="s">
        <v>310</v>
      </c>
      <c r="C136" s="13">
        <v>20</v>
      </c>
      <c r="D136" s="5" t="s">
        <v>318</v>
      </c>
      <c r="E136" s="3" t="s">
        <v>460</v>
      </c>
      <c r="F136" s="14" t="s">
        <v>38</v>
      </c>
      <c r="G136" s="2" t="s">
        <v>316</v>
      </c>
      <c r="H136" s="2" t="s">
        <v>40</v>
      </c>
      <c r="I136" s="3">
        <v>192</v>
      </c>
      <c r="J136" s="47">
        <v>45778</v>
      </c>
      <c r="K136" s="53">
        <f t="shared" si="10"/>
        <v>16</v>
      </c>
      <c r="L136" s="53">
        <f t="shared" si="11"/>
        <v>16</v>
      </c>
      <c r="M136" s="54">
        <f t="shared" si="12"/>
        <v>16</v>
      </c>
      <c r="N136" s="54">
        <f t="shared" si="13"/>
        <v>16</v>
      </c>
    </row>
    <row r="137" spans="1:14" ht="34.35" customHeight="1">
      <c r="A137" s="32" t="s">
        <v>741</v>
      </c>
      <c r="B137" s="36" t="s">
        <v>310</v>
      </c>
      <c r="C137" s="13"/>
      <c r="D137" s="5" t="s">
        <v>318</v>
      </c>
      <c r="E137" s="3" t="s">
        <v>461</v>
      </c>
      <c r="F137" s="14" t="s">
        <v>136</v>
      </c>
      <c r="G137" s="2" t="s">
        <v>316</v>
      </c>
      <c r="H137" s="2" t="s">
        <v>40</v>
      </c>
      <c r="I137" s="3">
        <v>307</v>
      </c>
      <c r="J137" s="47">
        <v>45778</v>
      </c>
      <c r="K137" s="53">
        <f t="shared" si="10"/>
        <v>25.58</v>
      </c>
      <c r="L137" s="53">
        <f t="shared" si="11"/>
        <v>25.58</v>
      </c>
      <c r="M137" s="54">
        <f t="shared" si="12"/>
        <v>25.58</v>
      </c>
      <c r="N137" s="54">
        <f t="shared" si="13"/>
        <v>25.58</v>
      </c>
    </row>
    <row r="138" spans="1:14" ht="34.35" customHeight="1">
      <c r="A138" s="32" t="s">
        <v>741</v>
      </c>
      <c r="B138" s="9" t="s">
        <v>319</v>
      </c>
      <c r="C138" s="29">
        <v>21</v>
      </c>
      <c r="D138" s="5" t="s">
        <v>320</v>
      </c>
      <c r="E138" s="5"/>
      <c r="F138" s="14" t="s">
        <v>38</v>
      </c>
      <c r="G138" s="2" t="s">
        <v>321</v>
      </c>
      <c r="H138" s="2" t="s">
        <v>40</v>
      </c>
      <c r="I138" s="3">
        <v>0</v>
      </c>
      <c r="J138" s="47">
        <v>45778</v>
      </c>
      <c r="K138" s="53">
        <f t="shared" si="10"/>
        <v>0</v>
      </c>
      <c r="L138" s="53">
        <f t="shared" si="11"/>
        <v>0</v>
      </c>
      <c r="M138" s="54">
        <f t="shared" si="12"/>
        <v>0</v>
      </c>
      <c r="N138" s="54">
        <f t="shared" si="13"/>
        <v>0</v>
      </c>
    </row>
    <row r="139" spans="1:14" ht="34.35" customHeight="1">
      <c r="A139" s="32" t="s">
        <v>741</v>
      </c>
      <c r="B139" s="9" t="s">
        <v>319</v>
      </c>
      <c r="C139" s="29">
        <v>22</v>
      </c>
      <c r="D139" s="5" t="s">
        <v>322</v>
      </c>
      <c r="E139" s="5"/>
      <c r="F139" s="14" t="s">
        <v>38</v>
      </c>
      <c r="G139" s="2" t="s">
        <v>321</v>
      </c>
      <c r="H139" s="2" t="s">
        <v>40</v>
      </c>
      <c r="I139" s="3">
        <v>0</v>
      </c>
      <c r="J139" s="47">
        <v>45778</v>
      </c>
      <c r="K139" s="53">
        <f t="shared" si="10"/>
        <v>0</v>
      </c>
      <c r="L139" s="53">
        <f t="shared" si="11"/>
        <v>0</v>
      </c>
      <c r="M139" s="54">
        <f t="shared" si="12"/>
        <v>0</v>
      </c>
      <c r="N139" s="54">
        <f t="shared" si="13"/>
        <v>0</v>
      </c>
    </row>
    <row r="140" spans="1:14" ht="34.35" customHeight="1">
      <c r="A140" s="32" t="s">
        <v>741</v>
      </c>
      <c r="B140" s="9" t="s">
        <v>319</v>
      </c>
      <c r="C140" s="29">
        <v>23</v>
      </c>
      <c r="D140" s="5" t="s">
        <v>313</v>
      </c>
      <c r="E140" s="5"/>
      <c r="F140" s="14" t="s">
        <v>38</v>
      </c>
      <c r="G140" s="2" t="s">
        <v>321</v>
      </c>
      <c r="H140" s="2" t="s">
        <v>40</v>
      </c>
      <c r="I140" s="3">
        <v>0</v>
      </c>
      <c r="J140" s="47">
        <v>45778</v>
      </c>
      <c r="K140" s="53">
        <f t="shared" si="10"/>
        <v>0</v>
      </c>
      <c r="L140" s="53">
        <f t="shared" si="11"/>
        <v>0</v>
      </c>
      <c r="M140" s="54">
        <f t="shared" si="12"/>
        <v>0</v>
      </c>
      <c r="N140" s="54">
        <f t="shared" si="13"/>
        <v>0</v>
      </c>
    </row>
    <row r="141" spans="1:14" ht="34.35" customHeight="1">
      <c r="A141" s="32" t="s">
        <v>741</v>
      </c>
      <c r="B141" s="9" t="s">
        <v>319</v>
      </c>
      <c r="C141" s="29">
        <v>24</v>
      </c>
      <c r="D141" s="5" t="s">
        <v>323</v>
      </c>
      <c r="E141" s="5"/>
      <c r="F141" s="14" t="s">
        <v>38</v>
      </c>
      <c r="G141" s="2" t="s">
        <v>321</v>
      </c>
      <c r="H141" s="2" t="s">
        <v>40</v>
      </c>
      <c r="I141" s="3">
        <v>5</v>
      </c>
      <c r="J141" s="47">
        <v>45778</v>
      </c>
      <c r="K141" s="53">
        <f t="shared" si="10"/>
        <v>0.42</v>
      </c>
      <c r="L141" s="53">
        <f t="shared" si="11"/>
        <v>0.42</v>
      </c>
      <c r="M141" s="54">
        <f t="shared" si="12"/>
        <v>0.42</v>
      </c>
      <c r="N141" s="54">
        <f t="shared" si="13"/>
        <v>0.42</v>
      </c>
    </row>
    <row r="142" spans="1:14" ht="34.35" customHeight="1">
      <c r="A142" s="32" t="s">
        <v>741</v>
      </c>
      <c r="B142" s="30" t="s">
        <v>324</v>
      </c>
      <c r="C142" s="29">
        <v>25</v>
      </c>
      <c r="D142" s="5" t="s">
        <v>311</v>
      </c>
      <c r="E142" s="5"/>
      <c r="F142" s="14" t="s">
        <v>38</v>
      </c>
      <c r="G142" s="2" t="s">
        <v>312</v>
      </c>
      <c r="H142" s="2" t="s">
        <v>40</v>
      </c>
      <c r="I142" s="1">
        <v>0</v>
      </c>
      <c r="J142" s="47">
        <v>45778</v>
      </c>
      <c r="K142" s="53">
        <f t="shared" si="10"/>
        <v>0</v>
      </c>
      <c r="L142" s="53">
        <f t="shared" si="11"/>
        <v>0</v>
      </c>
      <c r="M142" s="54">
        <f t="shared" si="12"/>
        <v>0</v>
      </c>
      <c r="N142" s="54">
        <f t="shared" si="13"/>
        <v>0</v>
      </c>
    </row>
    <row r="143" spans="1:14" ht="34.35" customHeight="1">
      <c r="A143" s="32" t="s">
        <v>741</v>
      </c>
      <c r="B143" s="30" t="s">
        <v>324</v>
      </c>
      <c r="C143" s="29">
        <v>26</v>
      </c>
      <c r="D143" s="5" t="s">
        <v>313</v>
      </c>
      <c r="E143" s="5"/>
      <c r="F143" s="14" t="s">
        <v>38</v>
      </c>
      <c r="G143" s="2" t="s">
        <v>312</v>
      </c>
      <c r="H143" s="2"/>
      <c r="I143" s="1"/>
      <c r="J143" s="47">
        <v>45778</v>
      </c>
      <c r="K143" s="53">
        <f t="shared" si="10"/>
        <v>0</v>
      </c>
      <c r="L143" s="53">
        <f t="shared" si="11"/>
        <v>0</v>
      </c>
      <c r="M143" s="54">
        <f t="shared" si="12"/>
        <v>0</v>
      </c>
      <c r="N143" s="54">
        <f t="shared" si="13"/>
        <v>0</v>
      </c>
    </row>
    <row r="144" spans="1:14" ht="34.35" customHeight="1">
      <c r="A144" s="32" t="s">
        <v>741</v>
      </c>
      <c r="B144" s="30" t="s">
        <v>324</v>
      </c>
      <c r="C144" s="29">
        <v>27</v>
      </c>
      <c r="D144" s="6" t="s">
        <v>314</v>
      </c>
      <c r="E144" s="6"/>
      <c r="F144" s="14" t="s">
        <v>38</v>
      </c>
      <c r="G144" s="2" t="s">
        <v>312</v>
      </c>
      <c r="H144" s="2" t="s">
        <v>40</v>
      </c>
      <c r="I144" s="1">
        <v>0</v>
      </c>
      <c r="J144" s="47">
        <v>45778</v>
      </c>
      <c r="K144" s="53">
        <f t="shared" si="10"/>
        <v>0</v>
      </c>
      <c r="L144" s="53">
        <f t="shared" si="11"/>
        <v>0</v>
      </c>
      <c r="M144" s="54">
        <f t="shared" si="12"/>
        <v>0</v>
      </c>
      <c r="N144" s="54">
        <f t="shared" si="13"/>
        <v>0</v>
      </c>
    </row>
    <row r="145" spans="1:14" ht="34.35" customHeight="1">
      <c r="A145" s="32" t="s">
        <v>741</v>
      </c>
      <c r="B145" s="37" t="s">
        <v>325</v>
      </c>
      <c r="C145" s="13">
        <v>28</v>
      </c>
      <c r="D145" s="5" t="s">
        <v>326</v>
      </c>
      <c r="E145" s="5"/>
      <c r="F145" s="14" t="s">
        <v>38</v>
      </c>
      <c r="G145" s="2" t="s">
        <v>327</v>
      </c>
      <c r="H145" s="2" t="s">
        <v>40</v>
      </c>
      <c r="I145" s="1">
        <v>0</v>
      </c>
      <c r="J145" s="47">
        <v>45778</v>
      </c>
      <c r="K145" s="53">
        <f t="shared" si="10"/>
        <v>0</v>
      </c>
      <c r="L145" s="53">
        <f t="shared" si="11"/>
        <v>0</v>
      </c>
      <c r="M145" s="54">
        <f t="shared" si="12"/>
        <v>0</v>
      </c>
      <c r="N145" s="54">
        <f t="shared" si="13"/>
        <v>0</v>
      </c>
    </row>
    <row r="146" spans="1:14" ht="34.35" customHeight="1">
      <c r="A146" s="32" t="s">
        <v>741</v>
      </c>
      <c r="B146" s="37" t="s">
        <v>325</v>
      </c>
      <c r="C146" s="13"/>
      <c r="D146" s="5" t="s">
        <v>326</v>
      </c>
      <c r="E146" s="5"/>
      <c r="F146" s="14" t="s">
        <v>136</v>
      </c>
      <c r="G146" s="2" t="s">
        <v>327</v>
      </c>
      <c r="H146" s="2" t="s">
        <v>40</v>
      </c>
      <c r="I146" s="1">
        <v>0</v>
      </c>
      <c r="J146" s="47">
        <v>45778</v>
      </c>
      <c r="K146" s="53">
        <f t="shared" si="10"/>
        <v>0</v>
      </c>
      <c r="L146" s="53">
        <f t="shared" si="11"/>
        <v>0</v>
      </c>
      <c r="M146" s="54">
        <f t="shared" si="12"/>
        <v>0</v>
      </c>
      <c r="N146" s="54">
        <f t="shared" si="13"/>
        <v>0</v>
      </c>
    </row>
    <row r="147" spans="1:14" ht="34.35" customHeight="1">
      <c r="A147" s="32" t="s">
        <v>741</v>
      </c>
      <c r="B147" s="37" t="s">
        <v>325</v>
      </c>
      <c r="C147" s="13">
        <v>29</v>
      </c>
      <c r="D147" s="6" t="s">
        <v>328</v>
      </c>
      <c r="E147" s="6"/>
      <c r="F147" s="14" t="s">
        <v>38</v>
      </c>
      <c r="G147" s="2" t="s">
        <v>327</v>
      </c>
      <c r="H147" s="2" t="s">
        <v>40</v>
      </c>
      <c r="I147" s="1" t="s">
        <v>41</v>
      </c>
      <c r="J147" s="47">
        <v>45778</v>
      </c>
      <c r="K147" s="53" t="str">
        <f t="shared" si="10"/>
        <v>-</v>
      </c>
      <c r="L147" s="53" t="str">
        <f t="shared" si="11"/>
        <v>-</v>
      </c>
      <c r="M147" s="54" t="str">
        <f t="shared" si="12"/>
        <v>-</v>
      </c>
      <c r="N147" s="54" t="str">
        <f t="shared" si="13"/>
        <v>-</v>
      </c>
    </row>
    <row r="148" spans="1:14" ht="34.35" customHeight="1">
      <c r="A148" s="32" t="s">
        <v>741</v>
      </c>
      <c r="B148" s="37" t="s">
        <v>325</v>
      </c>
      <c r="C148" s="13"/>
      <c r="D148" s="6" t="s">
        <v>328</v>
      </c>
      <c r="E148" s="6"/>
      <c r="F148" s="14" t="s">
        <v>136</v>
      </c>
      <c r="G148" s="2" t="s">
        <v>327</v>
      </c>
      <c r="H148" s="2" t="s">
        <v>40</v>
      </c>
      <c r="I148" s="1" t="s">
        <v>41</v>
      </c>
      <c r="J148" s="47">
        <v>45778</v>
      </c>
      <c r="K148" s="53" t="str">
        <f t="shared" si="10"/>
        <v>-</v>
      </c>
      <c r="L148" s="53" t="str">
        <f t="shared" si="11"/>
        <v>-</v>
      </c>
      <c r="M148" s="54" t="str">
        <f t="shared" si="12"/>
        <v>-</v>
      </c>
      <c r="N148" s="54" t="str">
        <f t="shared" si="13"/>
        <v>-</v>
      </c>
    </row>
    <row r="149" spans="1:14" ht="34.35" customHeight="1">
      <c r="A149" s="32" t="s">
        <v>741</v>
      </c>
      <c r="B149" s="37" t="s">
        <v>325</v>
      </c>
      <c r="C149" s="13">
        <v>30</v>
      </c>
      <c r="D149" s="6" t="s">
        <v>329</v>
      </c>
      <c r="E149" s="6"/>
      <c r="F149" s="14" t="s">
        <v>38</v>
      </c>
      <c r="G149" s="2" t="s">
        <v>327</v>
      </c>
      <c r="H149" s="2" t="s">
        <v>40</v>
      </c>
      <c r="I149" s="1" t="s">
        <v>41</v>
      </c>
      <c r="J149" s="47">
        <v>45778</v>
      </c>
      <c r="K149" s="53" t="str">
        <f t="shared" si="10"/>
        <v>-</v>
      </c>
      <c r="L149" s="53" t="str">
        <f t="shared" si="11"/>
        <v>-</v>
      </c>
      <c r="M149" s="54" t="str">
        <f t="shared" si="12"/>
        <v>-</v>
      </c>
      <c r="N149" s="54" t="str">
        <f t="shared" si="13"/>
        <v>-</v>
      </c>
    </row>
    <row r="150" spans="1:14" ht="34.35" customHeight="1">
      <c r="A150" s="32" t="s">
        <v>741</v>
      </c>
      <c r="B150" s="37" t="s">
        <v>325</v>
      </c>
      <c r="C150" s="13"/>
      <c r="D150" s="6" t="s">
        <v>329</v>
      </c>
      <c r="E150" s="6"/>
      <c r="F150" s="14" t="s">
        <v>136</v>
      </c>
      <c r="G150" s="2" t="s">
        <v>327</v>
      </c>
      <c r="H150" s="2" t="s">
        <v>40</v>
      </c>
      <c r="I150" s="1" t="s">
        <v>41</v>
      </c>
      <c r="J150" s="47">
        <v>45778</v>
      </c>
      <c r="K150" s="53" t="str">
        <f t="shared" si="10"/>
        <v>-</v>
      </c>
      <c r="L150" s="53" t="str">
        <f t="shared" si="11"/>
        <v>-</v>
      </c>
      <c r="M150" s="54" t="str">
        <f t="shared" si="12"/>
        <v>-</v>
      </c>
      <c r="N150" s="54" t="str">
        <f t="shared" si="13"/>
        <v>-</v>
      </c>
    </row>
    <row r="151" spans="1:14" ht="34.35" customHeight="1">
      <c r="A151" s="32" t="s">
        <v>741</v>
      </c>
      <c r="B151" s="37" t="s">
        <v>325</v>
      </c>
      <c r="C151" s="13">
        <v>31</v>
      </c>
      <c r="D151" s="6" t="s">
        <v>462</v>
      </c>
      <c r="E151" s="6"/>
      <c r="F151" s="14" t="s">
        <v>38</v>
      </c>
      <c r="G151" s="2" t="s">
        <v>327</v>
      </c>
      <c r="H151" s="2" t="s">
        <v>40</v>
      </c>
      <c r="I151" s="1" t="s">
        <v>41</v>
      </c>
      <c r="J151" s="47">
        <v>45778</v>
      </c>
      <c r="K151" s="53" t="str">
        <f t="shared" si="10"/>
        <v>-</v>
      </c>
      <c r="L151" s="53" t="str">
        <f t="shared" si="11"/>
        <v>-</v>
      </c>
      <c r="M151" s="54" t="str">
        <f t="shared" si="12"/>
        <v>-</v>
      </c>
      <c r="N151" s="54" t="str">
        <f t="shared" si="13"/>
        <v>-</v>
      </c>
    </row>
    <row r="152" spans="1:14" ht="34.35" customHeight="1">
      <c r="A152" s="32" t="s">
        <v>741</v>
      </c>
      <c r="B152" s="37" t="s">
        <v>325</v>
      </c>
      <c r="C152" s="13"/>
      <c r="D152" s="6" t="s">
        <v>462</v>
      </c>
      <c r="E152" s="6"/>
      <c r="F152" s="14" t="s">
        <v>136</v>
      </c>
      <c r="G152" s="2" t="s">
        <v>327</v>
      </c>
      <c r="H152" s="2" t="s">
        <v>40</v>
      </c>
      <c r="I152" s="1" t="s">
        <v>41</v>
      </c>
      <c r="J152" s="47">
        <v>45778</v>
      </c>
      <c r="K152" s="53" t="str">
        <f t="shared" si="10"/>
        <v>-</v>
      </c>
      <c r="L152" s="53" t="str">
        <f t="shared" si="11"/>
        <v>-</v>
      </c>
      <c r="M152" s="54" t="str">
        <f t="shared" si="12"/>
        <v>-</v>
      </c>
      <c r="N152" s="54" t="str">
        <f t="shared" si="13"/>
        <v>-</v>
      </c>
    </row>
    <row r="153" spans="1:14" ht="34.35" customHeight="1">
      <c r="A153" s="32" t="s">
        <v>741</v>
      </c>
      <c r="B153" s="37" t="s">
        <v>325</v>
      </c>
      <c r="C153" s="13">
        <v>32</v>
      </c>
      <c r="D153" s="5" t="s">
        <v>331</v>
      </c>
      <c r="E153" s="5"/>
      <c r="F153" s="14" t="s">
        <v>38</v>
      </c>
      <c r="G153" s="2" t="s">
        <v>327</v>
      </c>
      <c r="H153" s="2" t="s">
        <v>332</v>
      </c>
      <c r="I153" s="1">
        <v>0</v>
      </c>
      <c r="J153" s="47">
        <v>45778</v>
      </c>
      <c r="K153" s="53">
        <f t="shared" si="10"/>
        <v>0</v>
      </c>
      <c r="L153" s="53">
        <f t="shared" si="11"/>
        <v>0</v>
      </c>
      <c r="M153" s="54">
        <f t="shared" si="12"/>
        <v>0</v>
      </c>
      <c r="N153" s="54">
        <f t="shared" si="13"/>
        <v>0</v>
      </c>
    </row>
    <row r="154" spans="1:14" ht="34.35" customHeight="1">
      <c r="A154" s="32" t="s">
        <v>741</v>
      </c>
      <c r="B154" s="37" t="s">
        <v>325</v>
      </c>
      <c r="C154" s="13"/>
      <c r="D154" s="5" t="s">
        <v>463</v>
      </c>
      <c r="E154" s="5"/>
      <c r="F154" s="14" t="s">
        <v>136</v>
      </c>
      <c r="G154" s="2" t="s">
        <v>327</v>
      </c>
      <c r="H154" s="2" t="s">
        <v>332</v>
      </c>
      <c r="I154" s="1">
        <v>0</v>
      </c>
      <c r="J154" s="47">
        <v>45778</v>
      </c>
      <c r="K154" s="53">
        <f t="shared" si="10"/>
        <v>0</v>
      </c>
      <c r="L154" s="53">
        <f t="shared" si="11"/>
        <v>0</v>
      </c>
      <c r="M154" s="54">
        <f t="shared" si="12"/>
        <v>0</v>
      </c>
      <c r="N154" s="54">
        <f t="shared" si="13"/>
        <v>0</v>
      </c>
    </row>
    <row r="155" spans="1:14" ht="34.35" customHeight="1">
      <c r="A155" s="32" t="s">
        <v>741</v>
      </c>
      <c r="B155" s="37" t="s">
        <v>325</v>
      </c>
      <c r="C155" s="13">
        <v>33</v>
      </c>
      <c r="D155" s="5" t="s">
        <v>464</v>
      </c>
      <c r="E155" s="5"/>
      <c r="F155" s="14" t="s">
        <v>38</v>
      </c>
      <c r="G155" s="2" t="s">
        <v>327</v>
      </c>
      <c r="H155" s="2" t="s">
        <v>332</v>
      </c>
      <c r="I155" s="1">
        <v>0</v>
      </c>
      <c r="J155" s="47">
        <v>45778</v>
      </c>
      <c r="K155" s="53">
        <f t="shared" si="10"/>
        <v>0</v>
      </c>
      <c r="L155" s="53">
        <f t="shared" si="11"/>
        <v>0</v>
      </c>
      <c r="M155" s="54">
        <f t="shared" si="12"/>
        <v>0</v>
      </c>
      <c r="N155" s="54">
        <f t="shared" si="13"/>
        <v>0</v>
      </c>
    </row>
    <row r="156" spans="1:14" ht="34.35" customHeight="1">
      <c r="A156" s="32" t="s">
        <v>741</v>
      </c>
      <c r="B156" s="37" t="s">
        <v>325</v>
      </c>
      <c r="C156" s="13"/>
      <c r="D156" s="5" t="s">
        <v>464</v>
      </c>
      <c r="E156" s="5"/>
      <c r="F156" s="14" t="s">
        <v>136</v>
      </c>
      <c r="G156" s="2" t="s">
        <v>327</v>
      </c>
      <c r="H156" s="2" t="s">
        <v>332</v>
      </c>
      <c r="I156" s="1">
        <v>0</v>
      </c>
      <c r="J156" s="47">
        <v>45778</v>
      </c>
      <c r="K156" s="53">
        <f t="shared" si="10"/>
        <v>0</v>
      </c>
      <c r="L156" s="53">
        <f t="shared" si="11"/>
        <v>0</v>
      </c>
      <c r="M156" s="54">
        <f t="shared" si="12"/>
        <v>0</v>
      </c>
      <c r="N156" s="54">
        <f t="shared" si="13"/>
        <v>0</v>
      </c>
    </row>
    <row r="157" spans="1:14" ht="34.35" customHeight="1">
      <c r="A157" s="32" t="s">
        <v>741</v>
      </c>
      <c r="B157" s="37" t="s">
        <v>325</v>
      </c>
      <c r="C157" s="13">
        <v>34</v>
      </c>
      <c r="D157" s="5" t="s">
        <v>336</v>
      </c>
      <c r="E157" s="5"/>
      <c r="F157" s="14" t="s">
        <v>38</v>
      </c>
      <c r="G157" s="2" t="s">
        <v>316</v>
      </c>
      <c r="H157" s="2" t="s">
        <v>40</v>
      </c>
      <c r="I157" s="1">
        <v>0</v>
      </c>
      <c r="J157" s="47">
        <v>45778</v>
      </c>
      <c r="K157" s="53">
        <f t="shared" si="10"/>
        <v>0</v>
      </c>
      <c r="L157" s="53">
        <f t="shared" si="11"/>
        <v>0</v>
      </c>
      <c r="M157" s="54">
        <f t="shared" si="12"/>
        <v>0</v>
      </c>
      <c r="N157" s="54">
        <f t="shared" si="13"/>
        <v>0</v>
      </c>
    </row>
    <row r="158" spans="1:14" ht="34.35" customHeight="1">
      <c r="A158" s="32" t="s">
        <v>741</v>
      </c>
      <c r="B158" s="37" t="s">
        <v>325</v>
      </c>
      <c r="C158" s="13"/>
      <c r="D158" s="5" t="s">
        <v>336</v>
      </c>
      <c r="E158" s="5"/>
      <c r="F158" s="14" t="s">
        <v>136</v>
      </c>
      <c r="G158" s="2" t="s">
        <v>316</v>
      </c>
      <c r="H158" s="2" t="s">
        <v>40</v>
      </c>
      <c r="I158" s="1">
        <v>0</v>
      </c>
      <c r="J158" s="47">
        <v>45778</v>
      </c>
      <c r="K158" s="53">
        <f t="shared" si="10"/>
        <v>0</v>
      </c>
      <c r="L158" s="53">
        <f t="shared" si="11"/>
        <v>0</v>
      </c>
      <c r="M158" s="54">
        <f t="shared" si="12"/>
        <v>0</v>
      </c>
      <c r="N158" s="54">
        <f t="shared" si="13"/>
        <v>0</v>
      </c>
    </row>
    <row r="159" spans="1:14" ht="34.35" customHeight="1">
      <c r="A159" s="32" t="s">
        <v>741</v>
      </c>
      <c r="B159" s="37" t="s">
        <v>325</v>
      </c>
      <c r="C159" s="13">
        <v>35</v>
      </c>
      <c r="D159" s="5" t="s">
        <v>338</v>
      </c>
      <c r="E159" s="5"/>
      <c r="F159" s="14" t="s">
        <v>38</v>
      </c>
      <c r="G159" s="2" t="s">
        <v>316</v>
      </c>
      <c r="H159" s="2" t="s">
        <v>40</v>
      </c>
      <c r="I159" s="1">
        <v>0</v>
      </c>
      <c r="J159" s="47">
        <v>45778</v>
      </c>
      <c r="K159" s="53">
        <f t="shared" si="10"/>
        <v>0</v>
      </c>
      <c r="L159" s="53">
        <f t="shared" si="11"/>
        <v>0</v>
      </c>
      <c r="M159" s="54">
        <f t="shared" si="12"/>
        <v>0</v>
      </c>
      <c r="N159" s="54">
        <f t="shared" si="13"/>
        <v>0</v>
      </c>
    </row>
    <row r="160" spans="1:14" ht="34.35" customHeight="1">
      <c r="A160" s="32" t="s">
        <v>741</v>
      </c>
      <c r="B160" s="37" t="s">
        <v>325</v>
      </c>
      <c r="C160" s="13"/>
      <c r="D160" s="5" t="s">
        <v>338</v>
      </c>
      <c r="E160" s="5"/>
      <c r="F160" s="14" t="s">
        <v>136</v>
      </c>
      <c r="G160" s="2" t="s">
        <v>316</v>
      </c>
      <c r="H160" s="2" t="s">
        <v>40</v>
      </c>
      <c r="I160" s="1">
        <v>0</v>
      </c>
      <c r="J160" s="47">
        <v>45778</v>
      </c>
      <c r="K160" s="53">
        <f t="shared" si="10"/>
        <v>0</v>
      </c>
      <c r="L160" s="53">
        <f t="shared" si="11"/>
        <v>0</v>
      </c>
      <c r="M160" s="54">
        <f t="shared" si="12"/>
        <v>0</v>
      </c>
      <c r="N160" s="54">
        <f t="shared" si="13"/>
        <v>0</v>
      </c>
    </row>
    <row r="161" spans="1:14" ht="34.35" customHeight="1">
      <c r="A161" s="32" t="s">
        <v>741</v>
      </c>
      <c r="B161" s="37" t="s">
        <v>325</v>
      </c>
      <c r="C161" s="13">
        <v>36</v>
      </c>
      <c r="D161" s="5" t="s">
        <v>339</v>
      </c>
      <c r="E161" s="1" t="s">
        <v>465</v>
      </c>
      <c r="F161" s="14" t="s">
        <v>133</v>
      </c>
      <c r="G161" s="2" t="s">
        <v>340</v>
      </c>
      <c r="H161" s="2" t="s">
        <v>341</v>
      </c>
      <c r="I161" s="19">
        <v>5.0000000000000001E-3</v>
      </c>
      <c r="J161" s="47">
        <v>45778</v>
      </c>
      <c r="K161" s="53">
        <f t="shared" si="10"/>
        <v>0</v>
      </c>
      <c r="L161" s="53">
        <f t="shared" si="11"/>
        <v>0</v>
      </c>
      <c r="M161" s="54">
        <f t="shared" si="12"/>
        <v>0</v>
      </c>
      <c r="N161" s="54">
        <f t="shared" si="13"/>
        <v>0</v>
      </c>
    </row>
    <row r="162" spans="1:14" ht="34.35" customHeight="1">
      <c r="A162" s="32" t="s">
        <v>741</v>
      </c>
      <c r="B162" s="37" t="s">
        <v>325</v>
      </c>
      <c r="C162" s="13"/>
      <c r="D162" s="5" t="s">
        <v>339</v>
      </c>
      <c r="E162" s="5"/>
      <c r="F162" s="14" t="s">
        <v>136</v>
      </c>
      <c r="G162" s="2" t="s">
        <v>340</v>
      </c>
      <c r="H162" s="2" t="s">
        <v>341</v>
      </c>
      <c r="I162" s="18" t="s">
        <v>41</v>
      </c>
      <c r="J162" s="47">
        <v>45778</v>
      </c>
      <c r="K162" s="53" t="str">
        <f t="shared" si="10"/>
        <v>-</v>
      </c>
      <c r="L162" s="53" t="str">
        <f t="shared" si="11"/>
        <v>-</v>
      </c>
      <c r="M162" s="54" t="str">
        <f t="shared" si="12"/>
        <v>-</v>
      </c>
      <c r="N162" s="54" t="str">
        <f t="shared" si="13"/>
        <v>-</v>
      </c>
    </row>
    <row r="163" spans="1:14" ht="34.35" customHeight="1">
      <c r="A163" s="32" t="s">
        <v>741</v>
      </c>
      <c r="B163" s="37" t="s">
        <v>325</v>
      </c>
      <c r="C163" s="13">
        <v>37</v>
      </c>
      <c r="D163" s="5" t="s">
        <v>342</v>
      </c>
      <c r="E163" s="5"/>
      <c r="F163" s="14" t="s">
        <v>133</v>
      </c>
      <c r="G163" s="2" t="s">
        <v>106</v>
      </c>
      <c r="H163" s="2" t="s">
        <v>285</v>
      </c>
      <c r="I163" s="55">
        <v>0.12</v>
      </c>
      <c r="J163" s="47">
        <v>45778</v>
      </c>
      <c r="K163" s="53">
        <f t="shared" si="10"/>
        <v>0.01</v>
      </c>
      <c r="L163" s="53">
        <f t="shared" si="11"/>
        <v>0.01</v>
      </c>
      <c r="M163" s="54">
        <f t="shared" si="12"/>
        <v>0.01</v>
      </c>
      <c r="N163" s="54">
        <f t="shared" si="13"/>
        <v>0.01</v>
      </c>
    </row>
    <row r="164" spans="1:14" ht="34.35" customHeight="1">
      <c r="A164" s="32" t="s">
        <v>741</v>
      </c>
      <c r="B164" s="37" t="s">
        <v>325</v>
      </c>
      <c r="C164" s="13"/>
      <c r="D164" s="5" t="s">
        <v>342</v>
      </c>
      <c r="E164" s="5"/>
      <c r="F164" s="14" t="s">
        <v>136</v>
      </c>
      <c r="G164" s="2" t="s">
        <v>106</v>
      </c>
      <c r="H164" s="2" t="s">
        <v>285</v>
      </c>
      <c r="I164" s="44">
        <v>30</v>
      </c>
      <c r="J164" s="47">
        <v>45778</v>
      </c>
      <c r="K164" s="53">
        <f t="shared" si="10"/>
        <v>2.5</v>
      </c>
      <c r="L164" s="53">
        <f t="shared" si="11"/>
        <v>2.5</v>
      </c>
      <c r="M164" s="54">
        <f t="shared" si="12"/>
        <v>2.5</v>
      </c>
      <c r="N164" s="54">
        <f t="shared" si="13"/>
        <v>2.5</v>
      </c>
    </row>
    <row r="165" spans="1:14" ht="34.35" customHeight="1">
      <c r="A165" s="32" t="s">
        <v>741</v>
      </c>
      <c r="B165" s="37" t="s">
        <v>325</v>
      </c>
      <c r="C165" s="13">
        <v>38</v>
      </c>
      <c r="D165" s="6" t="s">
        <v>343</v>
      </c>
      <c r="E165" s="6"/>
      <c r="F165" s="14" t="s">
        <v>38</v>
      </c>
      <c r="G165" s="2" t="s">
        <v>105</v>
      </c>
      <c r="H165" s="2"/>
      <c r="I165" s="3"/>
      <c r="J165" s="47">
        <v>45778</v>
      </c>
      <c r="K165" s="53">
        <f t="shared" si="10"/>
        <v>0</v>
      </c>
      <c r="L165" s="53">
        <f t="shared" si="11"/>
        <v>0</v>
      </c>
      <c r="M165" s="54">
        <f t="shared" si="12"/>
        <v>0</v>
      </c>
      <c r="N165" s="54">
        <f t="shared" si="13"/>
        <v>0</v>
      </c>
    </row>
    <row r="166" spans="1:14" ht="34.35" customHeight="1">
      <c r="A166" s="32" t="s">
        <v>741</v>
      </c>
      <c r="B166" s="37" t="s">
        <v>325</v>
      </c>
      <c r="C166" s="13"/>
      <c r="D166" s="6" t="s">
        <v>343</v>
      </c>
      <c r="E166" s="6"/>
      <c r="F166" s="14" t="s">
        <v>136</v>
      </c>
      <c r="G166" s="2" t="s">
        <v>105</v>
      </c>
      <c r="H166" s="2"/>
      <c r="I166" s="3"/>
      <c r="J166" s="47">
        <v>45778</v>
      </c>
      <c r="K166" s="53">
        <f t="shared" si="10"/>
        <v>0</v>
      </c>
      <c r="L166" s="53">
        <f t="shared" si="11"/>
        <v>0</v>
      </c>
      <c r="M166" s="54">
        <f t="shared" si="12"/>
        <v>0</v>
      </c>
      <c r="N166" s="54">
        <f t="shared" si="13"/>
        <v>0</v>
      </c>
    </row>
    <row r="167" spans="1:14" ht="34.35" customHeight="1">
      <c r="A167" s="32" t="s">
        <v>741</v>
      </c>
      <c r="B167" s="37" t="s">
        <v>325</v>
      </c>
      <c r="C167" s="29">
        <v>39</v>
      </c>
      <c r="D167" s="5" t="s">
        <v>344</v>
      </c>
      <c r="E167" s="5"/>
      <c r="F167" s="14" t="s">
        <v>136</v>
      </c>
      <c r="G167" s="2" t="s">
        <v>110</v>
      </c>
      <c r="H167" s="2" t="s">
        <v>345</v>
      </c>
      <c r="I167" s="3">
        <v>3.17</v>
      </c>
      <c r="J167" s="47">
        <v>45778</v>
      </c>
      <c r="K167" s="53">
        <f t="shared" si="10"/>
        <v>0.26</v>
      </c>
      <c r="L167" s="53">
        <f t="shared" si="11"/>
        <v>0.26</v>
      </c>
      <c r="M167" s="54">
        <f t="shared" si="12"/>
        <v>0.26</v>
      </c>
      <c r="N167" s="54">
        <f t="shared" si="13"/>
        <v>0.26</v>
      </c>
    </row>
    <row r="168" spans="1:14" ht="34.35" customHeight="1">
      <c r="A168" s="32" t="s">
        <v>741</v>
      </c>
      <c r="B168" s="37" t="s">
        <v>325</v>
      </c>
      <c r="C168" s="29">
        <v>40</v>
      </c>
      <c r="D168" s="5" t="s">
        <v>346</v>
      </c>
      <c r="E168" s="5"/>
      <c r="F168" s="14" t="s">
        <v>136</v>
      </c>
      <c r="G168" s="2" t="s">
        <v>110</v>
      </c>
      <c r="H168" s="2" t="s">
        <v>345</v>
      </c>
      <c r="I168" s="3">
        <v>5.84</v>
      </c>
      <c r="J168" s="47">
        <v>45778</v>
      </c>
      <c r="K168" s="53">
        <f t="shared" si="10"/>
        <v>0.49</v>
      </c>
      <c r="L168" s="53">
        <f t="shared" si="11"/>
        <v>0.49</v>
      </c>
      <c r="M168" s="54">
        <f t="shared" si="12"/>
        <v>0.49</v>
      </c>
      <c r="N168" s="54">
        <f t="shared" si="13"/>
        <v>0.49</v>
      </c>
    </row>
    <row r="169" spans="1:14" ht="34.35" customHeight="1">
      <c r="A169" s="32" t="s">
        <v>741</v>
      </c>
      <c r="B169" s="37" t="s">
        <v>325</v>
      </c>
      <c r="C169" s="13">
        <v>41</v>
      </c>
      <c r="D169" s="5" t="s">
        <v>347</v>
      </c>
      <c r="E169" s="5"/>
      <c r="F169" s="14" t="s">
        <v>38</v>
      </c>
      <c r="G169" s="2" t="s">
        <v>106</v>
      </c>
      <c r="H169" s="2" t="s">
        <v>285</v>
      </c>
      <c r="I169" s="44">
        <v>60</v>
      </c>
      <c r="J169" s="47">
        <v>45778</v>
      </c>
      <c r="K169" s="53">
        <f t="shared" si="10"/>
        <v>5</v>
      </c>
      <c r="L169" s="53">
        <f t="shared" si="11"/>
        <v>5</v>
      </c>
      <c r="M169" s="54">
        <f t="shared" si="12"/>
        <v>5</v>
      </c>
      <c r="N169" s="54">
        <f t="shared" si="13"/>
        <v>5</v>
      </c>
    </row>
    <row r="170" spans="1:14" ht="34.35" customHeight="1">
      <c r="A170" s="32" t="s">
        <v>741</v>
      </c>
      <c r="B170" s="37" t="s">
        <v>325</v>
      </c>
      <c r="C170" s="13"/>
      <c r="D170" s="5" t="s">
        <v>347</v>
      </c>
      <c r="E170" s="5"/>
      <c r="F170" s="14" t="s">
        <v>136</v>
      </c>
      <c r="G170" s="2" t="s">
        <v>106</v>
      </c>
      <c r="H170" s="2" t="s">
        <v>285</v>
      </c>
      <c r="I170" s="44">
        <v>500</v>
      </c>
      <c r="J170" s="47">
        <v>45778</v>
      </c>
      <c r="K170" s="53">
        <f t="shared" si="10"/>
        <v>41.67</v>
      </c>
      <c r="L170" s="53">
        <f t="shared" si="11"/>
        <v>41.67</v>
      </c>
      <c r="M170" s="54">
        <f t="shared" si="12"/>
        <v>41.67</v>
      </c>
      <c r="N170" s="54">
        <f t="shared" si="13"/>
        <v>41.67</v>
      </c>
    </row>
    <row r="171" spans="1:14" ht="34.35" customHeight="1">
      <c r="A171" s="32" t="s">
        <v>741</v>
      </c>
      <c r="B171" s="37" t="s">
        <v>325</v>
      </c>
      <c r="C171" s="29">
        <v>42</v>
      </c>
      <c r="D171" s="5" t="s">
        <v>349</v>
      </c>
      <c r="E171" s="5"/>
      <c r="F171" s="14" t="s">
        <v>136</v>
      </c>
      <c r="G171" s="2" t="s">
        <v>340</v>
      </c>
      <c r="H171" s="2" t="s">
        <v>134</v>
      </c>
      <c r="I171" s="3">
        <v>5.4</v>
      </c>
      <c r="J171" s="47">
        <v>45778</v>
      </c>
      <c r="K171" s="53">
        <f t="shared" ref="K171:K185" si="14">IF(I171=0,0,IF(I171="-","-",ROUND(I171/12,2)))</f>
        <v>0.45</v>
      </c>
      <c r="L171" s="53">
        <f t="shared" ref="L171:L209" si="15">K171</f>
        <v>0.45</v>
      </c>
      <c r="M171" s="54">
        <f t="shared" ref="M171:M209" si="16">K171</f>
        <v>0.45</v>
      </c>
      <c r="N171" s="54">
        <f t="shared" ref="N171:N209" si="17">L171</f>
        <v>0.45</v>
      </c>
    </row>
    <row r="172" spans="1:14" ht="34.35" customHeight="1">
      <c r="A172" s="32" t="s">
        <v>741</v>
      </c>
      <c r="B172" s="37" t="s">
        <v>325</v>
      </c>
      <c r="C172" s="13">
        <v>43</v>
      </c>
      <c r="D172" s="5" t="s">
        <v>350</v>
      </c>
      <c r="E172" s="5"/>
      <c r="F172" s="14" t="s">
        <v>38</v>
      </c>
      <c r="G172" s="2" t="s">
        <v>106</v>
      </c>
      <c r="H172" s="2" t="s">
        <v>134</v>
      </c>
      <c r="I172" s="44">
        <v>200</v>
      </c>
      <c r="J172" s="47">
        <v>45778</v>
      </c>
      <c r="K172" s="53">
        <f t="shared" si="14"/>
        <v>16.670000000000002</v>
      </c>
      <c r="L172" s="53">
        <f t="shared" si="15"/>
        <v>16.670000000000002</v>
      </c>
      <c r="M172" s="54">
        <f t="shared" si="16"/>
        <v>16.670000000000002</v>
      </c>
      <c r="N172" s="54">
        <f t="shared" si="17"/>
        <v>16.670000000000002</v>
      </c>
    </row>
    <row r="173" spans="1:14" ht="34.35" customHeight="1">
      <c r="A173" s="32" t="s">
        <v>741</v>
      </c>
      <c r="B173" s="37" t="s">
        <v>325</v>
      </c>
      <c r="C173" s="13"/>
      <c r="D173" s="5" t="s">
        <v>350</v>
      </c>
      <c r="E173" s="5"/>
      <c r="F173" s="14" t="s">
        <v>136</v>
      </c>
      <c r="G173" s="2" t="s">
        <v>106</v>
      </c>
      <c r="H173" s="2" t="s">
        <v>134</v>
      </c>
      <c r="I173" s="44">
        <v>90</v>
      </c>
      <c r="J173" s="47">
        <v>45778</v>
      </c>
      <c r="K173" s="53">
        <f t="shared" si="14"/>
        <v>7.5</v>
      </c>
      <c r="L173" s="53">
        <f t="shared" si="15"/>
        <v>7.5</v>
      </c>
      <c r="M173" s="54">
        <f t="shared" si="16"/>
        <v>7.5</v>
      </c>
      <c r="N173" s="54">
        <f t="shared" si="17"/>
        <v>7.5</v>
      </c>
    </row>
    <row r="174" spans="1:14" ht="34.35" customHeight="1">
      <c r="A174" s="32" t="s">
        <v>741</v>
      </c>
      <c r="B174" s="15" t="s">
        <v>351</v>
      </c>
      <c r="C174" s="29">
        <v>44</v>
      </c>
      <c r="D174" s="7" t="s">
        <v>41</v>
      </c>
      <c r="E174" s="3" t="s">
        <v>352</v>
      </c>
      <c r="F174" s="14" t="s">
        <v>353</v>
      </c>
      <c r="G174" s="2" t="s">
        <v>489</v>
      </c>
      <c r="H174" s="28" t="s">
        <v>40</v>
      </c>
      <c r="I174" s="41">
        <v>1.2</v>
      </c>
      <c r="J174" s="47">
        <v>45778</v>
      </c>
      <c r="K174" s="53">
        <f t="shared" si="14"/>
        <v>0.1</v>
      </c>
      <c r="L174" s="53">
        <f t="shared" si="15"/>
        <v>0.1</v>
      </c>
      <c r="M174" s="54">
        <f t="shared" si="16"/>
        <v>0.1</v>
      </c>
      <c r="N174" s="54">
        <f t="shared" si="17"/>
        <v>0.1</v>
      </c>
    </row>
    <row r="175" spans="1:14" ht="34.35" customHeight="1">
      <c r="A175" s="32" t="s">
        <v>741</v>
      </c>
      <c r="B175" s="10" t="s">
        <v>354</v>
      </c>
      <c r="C175" s="29">
        <v>45</v>
      </c>
      <c r="D175" s="7" t="s">
        <v>41</v>
      </c>
      <c r="E175" s="1" t="s">
        <v>466</v>
      </c>
      <c r="F175" s="14" t="s">
        <v>353</v>
      </c>
      <c r="G175" s="2" t="s">
        <v>327</v>
      </c>
      <c r="H175" s="28" t="s">
        <v>40</v>
      </c>
      <c r="I175" s="1">
        <v>0</v>
      </c>
      <c r="J175" s="47">
        <v>45778</v>
      </c>
      <c r="K175" s="53">
        <f t="shared" si="14"/>
        <v>0</v>
      </c>
      <c r="L175" s="53">
        <f t="shared" si="15"/>
        <v>0</v>
      </c>
      <c r="M175" s="54">
        <f t="shared" si="16"/>
        <v>0</v>
      </c>
      <c r="N175" s="54">
        <f t="shared" si="17"/>
        <v>0</v>
      </c>
    </row>
    <row r="176" spans="1:14" ht="34.35" customHeight="1">
      <c r="A176" s="32" t="s">
        <v>741</v>
      </c>
      <c r="B176" s="10" t="s">
        <v>356</v>
      </c>
      <c r="C176" s="29">
        <v>46</v>
      </c>
      <c r="D176" s="7" t="s">
        <v>41</v>
      </c>
      <c r="E176" s="1" t="s">
        <v>466</v>
      </c>
      <c r="F176" s="14" t="s">
        <v>353</v>
      </c>
      <c r="G176" s="2" t="s">
        <v>321</v>
      </c>
      <c r="H176" s="28" t="s">
        <v>40</v>
      </c>
      <c r="I176" s="1">
        <v>0</v>
      </c>
      <c r="J176" s="47">
        <v>45778</v>
      </c>
      <c r="K176" s="53">
        <f t="shared" si="14"/>
        <v>0</v>
      </c>
      <c r="L176" s="53">
        <f t="shared" si="15"/>
        <v>0</v>
      </c>
      <c r="M176" s="54">
        <f t="shared" si="16"/>
        <v>0</v>
      </c>
      <c r="N176" s="54">
        <f t="shared" si="17"/>
        <v>0</v>
      </c>
    </row>
    <row r="177" spans="1:14" ht="34.35" customHeight="1">
      <c r="A177" s="32" t="s">
        <v>742</v>
      </c>
      <c r="B177" s="11" t="s">
        <v>357</v>
      </c>
      <c r="C177" s="29">
        <v>62</v>
      </c>
      <c r="D177" s="7" t="s">
        <v>41</v>
      </c>
      <c r="E177" s="7"/>
      <c r="F177" s="14" t="s">
        <v>38</v>
      </c>
      <c r="G177" s="2" t="s">
        <v>489</v>
      </c>
      <c r="H177" s="4"/>
      <c r="I177" s="1"/>
      <c r="J177" s="47">
        <v>45778</v>
      </c>
      <c r="K177" s="53">
        <f t="shared" si="14"/>
        <v>0</v>
      </c>
      <c r="L177" s="53">
        <f t="shared" si="15"/>
        <v>0</v>
      </c>
      <c r="M177" s="54">
        <f t="shared" si="16"/>
        <v>0</v>
      </c>
      <c r="N177" s="54">
        <f t="shared" si="17"/>
        <v>0</v>
      </c>
    </row>
    <row r="178" spans="1:14" ht="34.35" customHeight="1">
      <c r="A178" s="32" t="s">
        <v>742</v>
      </c>
      <c r="B178" s="30" t="s">
        <v>467</v>
      </c>
      <c r="C178" s="29">
        <v>63</v>
      </c>
      <c r="D178" s="6" t="s">
        <v>468</v>
      </c>
      <c r="E178" s="6"/>
      <c r="F178" s="14" t="s">
        <v>469</v>
      </c>
      <c r="G178" s="2" t="s">
        <v>470</v>
      </c>
      <c r="H178" s="2" t="s">
        <v>40</v>
      </c>
      <c r="I178" s="17"/>
      <c r="J178" s="47">
        <v>45778</v>
      </c>
      <c r="K178" s="53">
        <f t="shared" si="14"/>
        <v>0</v>
      </c>
      <c r="L178" s="53">
        <f t="shared" si="15"/>
        <v>0</v>
      </c>
      <c r="M178" s="54">
        <f t="shared" si="16"/>
        <v>0</v>
      </c>
      <c r="N178" s="54">
        <f t="shared" si="17"/>
        <v>0</v>
      </c>
    </row>
    <row r="179" spans="1:14" ht="34.35" customHeight="1">
      <c r="A179" s="32" t="s">
        <v>742</v>
      </c>
      <c r="B179" s="30" t="s">
        <v>467</v>
      </c>
      <c r="C179" s="29">
        <v>64</v>
      </c>
      <c r="D179" s="6" t="s">
        <v>472</v>
      </c>
      <c r="E179" s="6"/>
      <c r="F179" s="14" t="s">
        <v>473</v>
      </c>
      <c r="G179" s="2" t="s">
        <v>470</v>
      </c>
      <c r="H179" s="2" t="s">
        <v>40</v>
      </c>
      <c r="I179" s="1"/>
      <c r="J179" s="47">
        <v>45778</v>
      </c>
      <c r="K179" s="53">
        <f t="shared" si="14"/>
        <v>0</v>
      </c>
      <c r="L179" s="53">
        <f t="shared" si="15"/>
        <v>0</v>
      </c>
      <c r="M179" s="54">
        <f t="shared" si="16"/>
        <v>0</v>
      </c>
      <c r="N179" s="54">
        <f t="shared" si="17"/>
        <v>0</v>
      </c>
    </row>
    <row r="180" spans="1:14" ht="34.35" customHeight="1">
      <c r="A180" s="32" t="s">
        <v>742</v>
      </c>
      <c r="B180" s="30" t="s">
        <v>467</v>
      </c>
      <c r="C180" s="29">
        <v>65</v>
      </c>
      <c r="D180" s="6" t="s">
        <v>475</v>
      </c>
      <c r="E180" s="6"/>
      <c r="F180" s="22" t="s">
        <v>133</v>
      </c>
      <c r="G180" s="2" t="s">
        <v>470</v>
      </c>
      <c r="H180" s="2" t="s">
        <v>477</v>
      </c>
      <c r="I180" s="17">
        <v>1</v>
      </c>
      <c r="J180" s="47">
        <v>45778</v>
      </c>
      <c r="K180" s="53">
        <f t="shared" si="14"/>
        <v>0.08</v>
      </c>
      <c r="L180" s="53">
        <f t="shared" si="15"/>
        <v>0.08</v>
      </c>
      <c r="M180" s="54">
        <f t="shared" si="16"/>
        <v>0.08</v>
      </c>
      <c r="N180" s="54">
        <f t="shared" si="17"/>
        <v>0.08</v>
      </c>
    </row>
    <row r="181" spans="1:14" ht="34.35" customHeight="1">
      <c r="A181" s="32" t="s">
        <v>742</v>
      </c>
      <c r="B181" s="30" t="s">
        <v>467</v>
      </c>
      <c r="C181" s="29">
        <v>66</v>
      </c>
      <c r="D181" s="6" t="s">
        <v>481</v>
      </c>
      <c r="E181" s="6"/>
      <c r="F181" s="14" t="s">
        <v>38</v>
      </c>
      <c r="G181" s="2" t="s">
        <v>470</v>
      </c>
      <c r="H181" s="2" t="s">
        <v>40</v>
      </c>
      <c r="I181" s="1"/>
      <c r="J181" s="47">
        <v>45778</v>
      </c>
      <c r="K181" s="53">
        <f t="shared" si="14"/>
        <v>0</v>
      </c>
      <c r="L181" s="53">
        <f t="shared" si="15"/>
        <v>0</v>
      </c>
      <c r="M181" s="54">
        <f t="shared" si="16"/>
        <v>0</v>
      </c>
      <c r="N181" s="54">
        <f t="shared" si="17"/>
        <v>0</v>
      </c>
    </row>
    <row r="182" spans="1:14" ht="34.35" customHeight="1">
      <c r="A182" s="32" t="s">
        <v>742</v>
      </c>
      <c r="B182" s="30" t="s">
        <v>467</v>
      </c>
      <c r="C182" s="29">
        <v>67</v>
      </c>
      <c r="D182" s="6" t="s">
        <v>484</v>
      </c>
      <c r="E182" s="6"/>
      <c r="F182" s="14" t="s">
        <v>38</v>
      </c>
      <c r="G182" s="2" t="s">
        <v>470</v>
      </c>
      <c r="H182" s="2" t="s">
        <v>40</v>
      </c>
      <c r="I182" s="17"/>
      <c r="J182" s="47">
        <v>45778</v>
      </c>
      <c r="K182" s="53">
        <f t="shared" si="14"/>
        <v>0</v>
      </c>
      <c r="L182" s="53">
        <f t="shared" si="15"/>
        <v>0</v>
      </c>
      <c r="M182" s="54">
        <f t="shared" si="16"/>
        <v>0</v>
      </c>
      <c r="N182" s="54">
        <f t="shared" si="17"/>
        <v>0</v>
      </c>
    </row>
    <row r="183" spans="1:14" ht="34.35" customHeight="1">
      <c r="A183" s="32" t="s">
        <v>742</v>
      </c>
      <c r="B183" s="12" t="s">
        <v>487</v>
      </c>
      <c r="C183" s="29">
        <v>68</v>
      </c>
      <c r="D183" s="6" t="s">
        <v>41</v>
      </c>
      <c r="E183" s="6"/>
      <c r="F183" s="14" t="s">
        <v>38</v>
      </c>
      <c r="G183" s="2" t="s">
        <v>134</v>
      </c>
      <c r="H183" s="2" t="s">
        <v>40</v>
      </c>
      <c r="I183" s="17"/>
      <c r="J183" s="47">
        <v>45778</v>
      </c>
      <c r="K183" s="53">
        <f t="shared" si="14"/>
        <v>0</v>
      </c>
      <c r="L183" s="53">
        <f t="shared" si="15"/>
        <v>0</v>
      </c>
      <c r="M183" s="54">
        <f t="shared" si="16"/>
        <v>0</v>
      </c>
      <c r="N183" s="54">
        <f t="shared" si="17"/>
        <v>0</v>
      </c>
    </row>
    <row r="184" spans="1:14" ht="34.35" customHeight="1">
      <c r="A184" s="32" t="s">
        <v>742</v>
      </c>
      <c r="B184" s="11" t="s">
        <v>488</v>
      </c>
      <c r="C184" s="29">
        <v>69</v>
      </c>
      <c r="D184" s="6" t="s">
        <v>41</v>
      </c>
      <c r="E184" s="17" t="s">
        <v>743</v>
      </c>
      <c r="F184" s="14" t="s">
        <v>38</v>
      </c>
      <c r="G184" s="2" t="s">
        <v>489</v>
      </c>
      <c r="H184" s="2" t="s">
        <v>40</v>
      </c>
      <c r="I184" s="45">
        <v>3.2</v>
      </c>
      <c r="J184" s="47">
        <v>45778</v>
      </c>
      <c r="K184" s="53">
        <f t="shared" si="14"/>
        <v>0.27</v>
      </c>
      <c r="L184" s="53">
        <f t="shared" si="15"/>
        <v>0.27</v>
      </c>
      <c r="M184" s="54">
        <f t="shared" si="16"/>
        <v>0.27</v>
      </c>
      <c r="N184" s="54">
        <f t="shared" si="17"/>
        <v>0.27</v>
      </c>
    </row>
    <row r="185" spans="1:14" ht="34.35" customHeight="1">
      <c r="A185" s="32" t="s">
        <v>744</v>
      </c>
      <c r="B185" s="11" t="s">
        <v>745</v>
      </c>
      <c r="C185" s="29">
        <v>70</v>
      </c>
      <c r="D185" s="6" t="s">
        <v>504</v>
      </c>
      <c r="E185" s="21" t="s">
        <v>746</v>
      </c>
      <c r="F185" s="14" t="s">
        <v>38</v>
      </c>
      <c r="G185" s="2" t="s">
        <v>109</v>
      </c>
      <c r="H185" s="2" t="s">
        <v>40</v>
      </c>
      <c r="I185" s="21">
        <v>0.33</v>
      </c>
      <c r="J185" s="47">
        <v>45778</v>
      </c>
      <c r="K185" s="53">
        <f t="shared" si="14"/>
        <v>0.03</v>
      </c>
      <c r="L185" s="53">
        <f t="shared" si="15"/>
        <v>0.03</v>
      </c>
      <c r="M185" s="54">
        <f t="shared" si="16"/>
        <v>0.03</v>
      </c>
      <c r="N185" s="54">
        <f t="shared" si="17"/>
        <v>0.03</v>
      </c>
    </row>
    <row r="186" spans="1:14" ht="34.35" customHeight="1">
      <c r="A186" s="32" t="s">
        <v>744</v>
      </c>
      <c r="B186" s="11" t="s">
        <v>745</v>
      </c>
      <c r="C186" s="29"/>
      <c r="D186" s="6" t="s">
        <v>508</v>
      </c>
      <c r="E186" s="21" t="s">
        <v>585</v>
      </c>
      <c r="F186" s="14"/>
      <c r="G186" s="2"/>
      <c r="H186" s="2" t="s">
        <v>40</v>
      </c>
      <c r="I186" s="21">
        <v>0.1</v>
      </c>
      <c r="J186" s="47">
        <v>45778</v>
      </c>
      <c r="K186" s="53">
        <f>IF(I186=0,0,IF(I186="-","-",ROUND(I186/12,2)))</f>
        <v>0.01</v>
      </c>
      <c r="L186" s="53">
        <f t="shared" si="15"/>
        <v>0.01</v>
      </c>
      <c r="M186" s="54">
        <f t="shared" si="16"/>
        <v>0.01</v>
      </c>
      <c r="N186" s="54">
        <f t="shared" si="17"/>
        <v>0.01</v>
      </c>
    </row>
    <row r="187" spans="1:14" ht="34.35" customHeight="1">
      <c r="A187" s="32" t="s">
        <v>744</v>
      </c>
      <c r="B187" s="11" t="s">
        <v>516</v>
      </c>
      <c r="C187" s="29">
        <v>71</v>
      </c>
      <c r="D187" s="6" t="s">
        <v>41</v>
      </c>
      <c r="E187" s="1" t="s">
        <v>519</v>
      </c>
      <c r="F187" s="14" t="s">
        <v>38</v>
      </c>
      <c r="G187" s="2" t="s">
        <v>510</v>
      </c>
      <c r="H187" s="2"/>
      <c r="I187" s="1">
        <v>70</v>
      </c>
      <c r="J187" s="47">
        <v>45778</v>
      </c>
      <c r="K187" s="53">
        <f t="shared" ref="K187:K209" si="18">IF(I187=0,0,IF(I187="-","-",ROUND(I187/12,2)))</f>
        <v>5.83</v>
      </c>
      <c r="L187" s="53">
        <f t="shared" si="15"/>
        <v>5.83</v>
      </c>
      <c r="M187" s="54">
        <f t="shared" si="16"/>
        <v>5.83</v>
      </c>
      <c r="N187" s="54">
        <f t="shared" si="17"/>
        <v>5.83</v>
      </c>
    </row>
    <row r="188" spans="1:14" ht="34.35" customHeight="1">
      <c r="A188" s="38" t="s">
        <v>747</v>
      </c>
      <c r="B188" s="37" t="s">
        <v>586</v>
      </c>
      <c r="C188" s="13">
        <v>54</v>
      </c>
      <c r="D188" s="5" t="s">
        <v>587</v>
      </c>
      <c r="E188" s="3" t="s">
        <v>588</v>
      </c>
      <c r="F188" s="14" t="s">
        <v>589</v>
      </c>
      <c r="G188" s="2" t="s">
        <v>106</v>
      </c>
      <c r="H188" s="2" t="s">
        <v>40</v>
      </c>
      <c r="I188" s="42">
        <v>40244</v>
      </c>
      <c r="J188" s="47">
        <v>45778</v>
      </c>
      <c r="K188" s="53">
        <f t="shared" si="18"/>
        <v>3353.67</v>
      </c>
      <c r="L188" s="53">
        <f t="shared" si="15"/>
        <v>3353.67</v>
      </c>
      <c r="M188" s="54">
        <f t="shared" si="16"/>
        <v>3353.67</v>
      </c>
      <c r="N188" s="54">
        <f t="shared" si="17"/>
        <v>3353.67</v>
      </c>
    </row>
    <row r="189" spans="1:14" ht="34.35" customHeight="1">
      <c r="A189" s="38" t="s">
        <v>747</v>
      </c>
      <c r="B189" s="37" t="s">
        <v>586</v>
      </c>
      <c r="C189" s="13"/>
      <c r="D189" s="5" t="s">
        <v>593</v>
      </c>
      <c r="E189" s="5"/>
      <c r="F189" s="14" t="s">
        <v>714</v>
      </c>
      <c r="G189" s="2" t="s">
        <v>106</v>
      </c>
      <c r="H189" s="2" t="s">
        <v>40</v>
      </c>
      <c r="I189" s="21">
        <v>-0.02</v>
      </c>
      <c r="J189" s="47">
        <v>45778</v>
      </c>
      <c r="K189" s="53">
        <f t="shared" si="18"/>
        <v>0</v>
      </c>
      <c r="L189" s="53">
        <f t="shared" si="15"/>
        <v>0</v>
      </c>
      <c r="M189" s="54">
        <f t="shared" si="16"/>
        <v>0</v>
      </c>
      <c r="N189" s="54">
        <f t="shared" si="17"/>
        <v>0</v>
      </c>
    </row>
    <row r="190" spans="1:14" ht="34.35" customHeight="1">
      <c r="A190" s="38" t="s">
        <v>747</v>
      </c>
      <c r="B190" s="37" t="s">
        <v>586</v>
      </c>
      <c r="C190" s="13">
        <v>55</v>
      </c>
      <c r="D190" s="5" t="s">
        <v>595</v>
      </c>
      <c r="E190" s="5"/>
      <c r="F190" s="14" t="s">
        <v>133</v>
      </c>
      <c r="G190" s="2" t="s">
        <v>106</v>
      </c>
      <c r="H190" s="2" t="s">
        <v>597</v>
      </c>
      <c r="I190" s="17">
        <v>-7.0000000000000007E-2</v>
      </c>
      <c r="J190" s="47">
        <v>45778</v>
      </c>
      <c r="K190" s="53">
        <f t="shared" si="18"/>
        <v>-0.01</v>
      </c>
      <c r="L190" s="53">
        <f t="shared" si="15"/>
        <v>-0.01</v>
      </c>
      <c r="M190" s="54">
        <f t="shared" si="16"/>
        <v>-0.01</v>
      </c>
      <c r="N190" s="54">
        <f t="shared" si="17"/>
        <v>-0.01</v>
      </c>
    </row>
    <row r="191" spans="1:14" ht="34.35" customHeight="1">
      <c r="A191" s="38" t="s">
        <v>747</v>
      </c>
      <c r="B191" s="37" t="s">
        <v>586</v>
      </c>
      <c r="C191" s="13"/>
      <c r="D191" s="5" t="s">
        <v>595</v>
      </c>
      <c r="E191" s="5"/>
      <c r="F191" s="14" t="s">
        <v>589</v>
      </c>
      <c r="G191" s="2" t="s">
        <v>106</v>
      </c>
      <c r="H191" s="2" t="s">
        <v>597</v>
      </c>
      <c r="I191" s="26">
        <v>-3020</v>
      </c>
      <c r="J191" s="47">
        <v>45778</v>
      </c>
      <c r="K191" s="53">
        <f t="shared" si="18"/>
        <v>-251.67</v>
      </c>
      <c r="L191" s="53">
        <f t="shared" si="15"/>
        <v>-251.67</v>
      </c>
      <c r="M191" s="54">
        <f t="shared" si="16"/>
        <v>-251.67</v>
      </c>
      <c r="N191" s="54">
        <f t="shared" si="17"/>
        <v>-251.67</v>
      </c>
    </row>
    <row r="192" spans="1:14" ht="34.35" customHeight="1">
      <c r="A192" s="38" t="s">
        <v>747</v>
      </c>
      <c r="B192" s="37" t="s">
        <v>586</v>
      </c>
      <c r="C192" s="13">
        <v>56</v>
      </c>
      <c r="D192" s="25" t="s">
        <v>599</v>
      </c>
      <c r="E192" s="25"/>
      <c r="F192" s="14" t="s">
        <v>288</v>
      </c>
      <c r="G192" s="2" t="s">
        <v>106</v>
      </c>
      <c r="H192" s="2" t="s">
        <v>40</v>
      </c>
      <c r="I192" s="1">
        <v>39</v>
      </c>
      <c r="J192" s="47">
        <v>45778</v>
      </c>
      <c r="K192" s="53">
        <f t="shared" si="18"/>
        <v>3.25</v>
      </c>
      <c r="L192" s="53">
        <f t="shared" si="15"/>
        <v>3.25</v>
      </c>
      <c r="M192" s="54">
        <f t="shared" si="16"/>
        <v>3.25</v>
      </c>
      <c r="N192" s="54">
        <f t="shared" si="17"/>
        <v>3.25</v>
      </c>
    </row>
    <row r="193" spans="1:14" ht="34.35" customHeight="1">
      <c r="A193" s="38" t="s">
        <v>747</v>
      </c>
      <c r="B193" s="37" t="s">
        <v>586</v>
      </c>
      <c r="C193" s="13">
        <v>57</v>
      </c>
      <c r="D193" s="25" t="s">
        <v>601</v>
      </c>
      <c r="E193" s="1" t="s">
        <v>748</v>
      </c>
      <c r="F193" s="14" t="s">
        <v>136</v>
      </c>
      <c r="G193" s="2" t="s">
        <v>106</v>
      </c>
      <c r="H193" s="2" t="s">
        <v>40</v>
      </c>
      <c r="I193" s="1">
        <v>251.99</v>
      </c>
      <c r="J193" s="47">
        <v>45778</v>
      </c>
      <c r="K193" s="53">
        <f t="shared" si="18"/>
        <v>21</v>
      </c>
      <c r="L193" s="53">
        <f t="shared" si="15"/>
        <v>21</v>
      </c>
      <c r="M193" s="54">
        <f t="shared" si="16"/>
        <v>21</v>
      </c>
      <c r="N193" s="54">
        <f t="shared" si="17"/>
        <v>21</v>
      </c>
    </row>
    <row r="194" spans="1:14" ht="34.35" customHeight="1">
      <c r="A194" s="38" t="s">
        <v>747</v>
      </c>
      <c r="B194" s="37" t="s">
        <v>604</v>
      </c>
      <c r="C194" s="13">
        <v>58</v>
      </c>
      <c r="D194" s="25" t="s">
        <v>605</v>
      </c>
      <c r="E194" s="1" t="s">
        <v>749</v>
      </c>
      <c r="F194" s="14" t="s">
        <v>607</v>
      </c>
      <c r="G194" s="2" t="s">
        <v>106</v>
      </c>
      <c r="H194" s="2" t="s">
        <v>40</v>
      </c>
      <c r="I194" s="26">
        <v>292915</v>
      </c>
      <c r="J194" s="47">
        <v>45778</v>
      </c>
      <c r="K194" s="53">
        <f t="shared" si="18"/>
        <v>24409.58</v>
      </c>
      <c r="L194" s="53">
        <f t="shared" si="15"/>
        <v>24409.58</v>
      </c>
      <c r="M194" s="54">
        <f t="shared" si="16"/>
        <v>24409.58</v>
      </c>
      <c r="N194" s="54">
        <f t="shared" si="17"/>
        <v>24409.58</v>
      </c>
    </row>
    <row r="195" spans="1:14" ht="34.35" customHeight="1">
      <c r="A195" s="38" t="s">
        <v>747</v>
      </c>
      <c r="B195" s="37" t="s">
        <v>604</v>
      </c>
      <c r="C195" s="24">
        <v>59</v>
      </c>
      <c r="D195" s="5" t="s">
        <v>608</v>
      </c>
      <c r="E195" s="5"/>
      <c r="F195" s="14" t="s">
        <v>750</v>
      </c>
      <c r="G195" s="2" t="s">
        <v>106</v>
      </c>
      <c r="H195" s="2" t="s">
        <v>610</v>
      </c>
      <c r="I195" s="17">
        <v>-0.01</v>
      </c>
      <c r="J195" s="47">
        <v>45778</v>
      </c>
      <c r="K195" s="53">
        <f t="shared" si="18"/>
        <v>0</v>
      </c>
      <c r="L195" s="53">
        <f t="shared" si="15"/>
        <v>0</v>
      </c>
      <c r="M195" s="54">
        <f t="shared" si="16"/>
        <v>0</v>
      </c>
      <c r="N195" s="54">
        <f t="shared" si="17"/>
        <v>0</v>
      </c>
    </row>
    <row r="196" spans="1:14" ht="34.35" customHeight="1">
      <c r="A196" s="38" t="s">
        <v>747</v>
      </c>
      <c r="B196" s="37" t="s">
        <v>604</v>
      </c>
      <c r="C196" s="24">
        <v>60</v>
      </c>
      <c r="D196" s="25" t="s">
        <v>611</v>
      </c>
      <c r="E196" s="1" t="s">
        <v>751</v>
      </c>
      <c r="F196" s="14" t="s">
        <v>136</v>
      </c>
      <c r="G196" s="2" t="s">
        <v>106</v>
      </c>
      <c r="H196" s="2" t="s">
        <v>40</v>
      </c>
      <c r="I196" s="1">
        <v>8.84</v>
      </c>
      <c r="J196" s="47">
        <v>45778</v>
      </c>
      <c r="K196" s="53">
        <f t="shared" si="18"/>
        <v>0.74</v>
      </c>
      <c r="L196" s="53">
        <f t="shared" si="15"/>
        <v>0.74</v>
      </c>
      <c r="M196" s="54">
        <f t="shared" si="16"/>
        <v>0.74</v>
      </c>
      <c r="N196" s="54">
        <f t="shared" si="17"/>
        <v>0.74</v>
      </c>
    </row>
    <row r="197" spans="1:14" ht="34.35" customHeight="1">
      <c r="A197" s="38" t="s">
        <v>747</v>
      </c>
      <c r="B197" s="37" t="s">
        <v>613</v>
      </c>
      <c r="C197" s="13">
        <v>61</v>
      </c>
      <c r="D197" s="5" t="s">
        <v>614</v>
      </c>
      <c r="E197" s="23" t="s">
        <v>752</v>
      </c>
      <c r="F197" s="14" t="s">
        <v>616</v>
      </c>
      <c r="G197" s="8" t="s">
        <v>39</v>
      </c>
      <c r="H197" s="2" t="s">
        <v>285</v>
      </c>
      <c r="I197" s="23">
        <v>0.192</v>
      </c>
      <c r="J197" s="47">
        <v>45778</v>
      </c>
      <c r="K197" s="53">
        <f t="shared" si="18"/>
        <v>0.02</v>
      </c>
      <c r="L197" s="53">
        <f t="shared" si="15"/>
        <v>0.02</v>
      </c>
      <c r="M197" s="54">
        <f t="shared" si="16"/>
        <v>0.02</v>
      </c>
      <c r="N197" s="54">
        <f t="shared" si="17"/>
        <v>0.02</v>
      </c>
    </row>
    <row r="198" spans="1:14" ht="34.35" customHeight="1">
      <c r="A198" s="38" t="s">
        <v>747</v>
      </c>
      <c r="B198" s="37" t="s">
        <v>613</v>
      </c>
      <c r="C198" s="13"/>
      <c r="D198" s="5" t="s">
        <v>704</v>
      </c>
      <c r="E198" s="3" t="s">
        <v>705</v>
      </c>
      <c r="F198" s="14" t="s">
        <v>619</v>
      </c>
      <c r="G198" s="8" t="s">
        <v>39</v>
      </c>
      <c r="H198" s="2" t="s">
        <v>285</v>
      </c>
      <c r="I198" s="42">
        <v>17182</v>
      </c>
      <c r="J198" s="47">
        <v>45778</v>
      </c>
      <c r="K198" s="53">
        <f t="shared" si="18"/>
        <v>1431.83</v>
      </c>
      <c r="L198" s="53">
        <f t="shared" si="15"/>
        <v>1431.83</v>
      </c>
      <c r="M198" s="54">
        <f t="shared" si="16"/>
        <v>1431.83</v>
      </c>
      <c r="N198" s="54">
        <f t="shared" si="17"/>
        <v>1431.83</v>
      </c>
    </row>
    <row r="199" spans="1:14" ht="34.35" customHeight="1">
      <c r="A199" s="32" t="s">
        <v>753</v>
      </c>
      <c r="B199" s="30" t="s">
        <v>715</v>
      </c>
      <c r="C199" s="13">
        <v>47</v>
      </c>
      <c r="D199" s="5" t="s">
        <v>715</v>
      </c>
      <c r="E199" s="5"/>
      <c r="F199" s="14" t="s">
        <v>136</v>
      </c>
      <c r="G199" s="2" t="s">
        <v>327</v>
      </c>
      <c r="H199" s="2" t="s">
        <v>41</v>
      </c>
      <c r="I199" s="40">
        <v>31107.790052372686</v>
      </c>
      <c r="J199" s="47">
        <v>45778</v>
      </c>
      <c r="K199" s="53">
        <f t="shared" si="18"/>
        <v>2592.3200000000002</v>
      </c>
      <c r="L199" s="53">
        <f t="shared" si="15"/>
        <v>2592.3200000000002</v>
      </c>
      <c r="M199" s="54">
        <f t="shared" si="16"/>
        <v>2592.3200000000002</v>
      </c>
      <c r="N199" s="54">
        <f t="shared" si="17"/>
        <v>2592.3200000000002</v>
      </c>
    </row>
    <row r="200" spans="1:14" ht="34.35" customHeight="1">
      <c r="A200" s="32" t="s">
        <v>753</v>
      </c>
      <c r="B200" s="37" t="s">
        <v>716</v>
      </c>
      <c r="C200" s="13">
        <v>48</v>
      </c>
      <c r="D200" s="5" t="s">
        <v>717</v>
      </c>
      <c r="E200" s="5"/>
      <c r="F200" s="14" t="s">
        <v>136</v>
      </c>
      <c r="G200" s="2" t="s">
        <v>327</v>
      </c>
      <c r="H200" s="2" t="s">
        <v>718</v>
      </c>
      <c r="I200" s="46">
        <v>3713.109806620002</v>
      </c>
      <c r="J200" s="47">
        <v>45778</v>
      </c>
      <c r="K200" s="53">
        <f t="shared" si="18"/>
        <v>309.43</v>
      </c>
      <c r="L200" s="53">
        <f t="shared" si="15"/>
        <v>309.43</v>
      </c>
      <c r="M200" s="54">
        <f t="shared" si="16"/>
        <v>309.43</v>
      </c>
      <c r="N200" s="54">
        <f t="shared" si="17"/>
        <v>309.43</v>
      </c>
    </row>
    <row r="201" spans="1:14" ht="34.35" customHeight="1">
      <c r="A201" s="32" t="s">
        <v>753</v>
      </c>
      <c r="B201" s="37" t="s">
        <v>716</v>
      </c>
      <c r="C201" s="13"/>
      <c r="D201" s="6" t="s">
        <v>719</v>
      </c>
      <c r="E201" s="6"/>
      <c r="F201" s="14" t="s">
        <v>133</v>
      </c>
      <c r="G201" s="2"/>
      <c r="H201" s="2"/>
      <c r="I201" s="39">
        <v>0.11899999999999999</v>
      </c>
      <c r="J201" s="47">
        <v>45778</v>
      </c>
      <c r="K201" s="53">
        <f t="shared" si="18"/>
        <v>0.01</v>
      </c>
      <c r="L201" s="53">
        <f t="shared" si="15"/>
        <v>0.01</v>
      </c>
      <c r="M201" s="54">
        <f t="shared" si="16"/>
        <v>0.01</v>
      </c>
      <c r="N201" s="54">
        <f t="shared" si="17"/>
        <v>0.01</v>
      </c>
    </row>
    <row r="202" spans="1:14" ht="34.35" customHeight="1">
      <c r="A202" s="32" t="s">
        <v>753</v>
      </c>
      <c r="B202" s="5" t="s">
        <v>720</v>
      </c>
      <c r="C202" s="13">
        <v>49</v>
      </c>
      <c r="D202" s="5" t="s">
        <v>41</v>
      </c>
      <c r="E202" s="5"/>
      <c r="F202" s="14" t="s">
        <v>133</v>
      </c>
      <c r="G202" s="2" t="s">
        <v>327</v>
      </c>
      <c r="H202" s="2" t="s">
        <v>41</v>
      </c>
      <c r="I202" s="19">
        <v>0.45454176016007819</v>
      </c>
      <c r="J202" s="47">
        <v>45778</v>
      </c>
      <c r="K202" s="53">
        <f t="shared" si="18"/>
        <v>0.04</v>
      </c>
      <c r="L202" s="53">
        <f t="shared" si="15"/>
        <v>0.04</v>
      </c>
      <c r="M202" s="54">
        <f t="shared" si="16"/>
        <v>0.04</v>
      </c>
      <c r="N202" s="54">
        <f t="shared" si="17"/>
        <v>0.04</v>
      </c>
    </row>
    <row r="203" spans="1:14" ht="34.35" customHeight="1">
      <c r="A203" s="32" t="s">
        <v>753</v>
      </c>
      <c r="B203" s="5" t="s">
        <v>721</v>
      </c>
      <c r="C203" s="13">
        <v>50</v>
      </c>
      <c r="D203" s="5" t="s">
        <v>41</v>
      </c>
      <c r="E203" s="5"/>
      <c r="F203" s="14" t="s">
        <v>133</v>
      </c>
      <c r="G203" s="2" t="s">
        <v>722</v>
      </c>
      <c r="H203" s="2" t="s">
        <v>41</v>
      </c>
      <c r="I203" s="19">
        <v>9.9467434385779166E-2</v>
      </c>
      <c r="J203" s="47">
        <v>45778</v>
      </c>
      <c r="K203" s="53">
        <f t="shared" si="18"/>
        <v>0.01</v>
      </c>
      <c r="L203" s="53">
        <f t="shared" si="15"/>
        <v>0.01</v>
      </c>
      <c r="M203" s="54">
        <f t="shared" si="16"/>
        <v>0.01</v>
      </c>
      <c r="N203" s="54">
        <f t="shared" si="17"/>
        <v>0.01</v>
      </c>
    </row>
    <row r="204" spans="1:14" ht="34.35" customHeight="1">
      <c r="A204" s="32" t="s">
        <v>753</v>
      </c>
      <c r="B204" s="30" t="s">
        <v>723</v>
      </c>
      <c r="C204" s="13">
        <v>51</v>
      </c>
      <c r="D204" s="5" t="s">
        <v>724</v>
      </c>
      <c r="E204" s="5"/>
      <c r="F204" s="14" t="s">
        <v>133</v>
      </c>
      <c r="G204" s="2" t="s">
        <v>327</v>
      </c>
      <c r="H204" s="2" t="s">
        <v>725</v>
      </c>
      <c r="I204" s="17">
        <v>1</v>
      </c>
      <c r="J204" s="47">
        <v>45778</v>
      </c>
      <c r="K204" s="53">
        <f t="shared" si="18"/>
        <v>0.08</v>
      </c>
      <c r="L204" s="53">
        <f t="shared" si="15"/>
        <v>0.08</v>
      </c>
      <c r="M204" s="54">
        <f t="shared" si="16"/>
        <v>0.08</v>
      </c>
      <c r="N204" s="54">
        <f t="shared" si="17"/>
        <v>0.08</v>
      </c>
    </row>
    <row r="205" spans="1:14" ht="34.35" customHeight="1">
      <c r="A205" s="32" t="s">
        <v>753</v>
      </c>
      <c r="B205" s="30" t="s">
        <v>723</v>
      </c>
      <c r="C205" s="13"/>
      <c r="D205" s="5" t="s">
        <v>726</v>
      </c>
      <c r="E205" s="5"/>
      <c r="F205" s="14" t="s">
        <v>727</v>
      </c>
      <c r="G205" s="2" t="s">
        <v>327</v>
      </c>
      <c r="H205" s="2" t="s">
        <v>725</v>
      </c>
      <c r="I205" s="43">
        <v>1200</v>
      </c>
      <c r="J205" s="47">
        <v>45778</v>
      </c>
      <c r="K205" s="53">
        <f t="shared" si="18"/>
        <v>100</v>
      </c>
      <c r="L205" s="53">
        <f t="shared" si="15"/>
        <v>100</v>
      </c>
      <c r="M205" s="54">
        <f t="shared" si="16"/>
        <v>100</v>
      </c>
      <c r="N205" s="54">
        <f t="shared" si="17"/>
        <v>100</v>
      </c>
    </row>
    <row r="206" spans="1:14" ht="34.35" customHeight="1">
      <c r="A206" s="32" t="s">
        <v>753</v>
      </c>
      <c r="B206" s="30" t="s">
        <v>723</v>
      </c>
      <c r="C206" s="13">
        <v>52</v>
      </c>
      <c r="D206" s="5" t="s">
        <v>728</v>
      </c>
      <c r="E206" s="5"/>
      <c r="F206" s="14" t="s">
        <v>133</v>
      </c>
      <c r="G206" s="2" t="s">
        <v>327</v>
      </c>
      <c r="H206" s="2" t="s">
        <v>725</v>
      </c>
      <c r="I206" s="17">
        <v>1</v>
      </c>
      <c r="J206" s="47">
        <v>45778</v>
      </c>
      <c r="K206" s="53">
        <f t="shared" si="18"/>
        <v>0.08</v>
      </c>
      <c r="L206" s="53">
        <f t="shared" si="15"/>
        <v>0.08</v>
      </c>
      <c r="M206" s="54">
        <f t="shared" si="16"/>
        <v>0.08</v>
      </c>
      <c r="N206" s="54">
        <f t="shared" si="17"/>
        <v>0.08</v>
      </c>
    </row>
    <row r="207" spans="1:14" ht="34.35" customHeight="1">
      <c r="A207" s="32" t="s">
        <v>753</v>
      </c>
      <c r="B207" s="30" t="s">
        <v>723</v>
      </c>
      <c r="C207" s="13"/>
      <c r="D207" s="5" t="s">
        <v>729</v>
      </c>
      <c r="E207" s="5"/>
      <c r="F207" s="14" t="s">
        <v>727</v>
      </c>
      <c r="G207" s="2" t="s">
        <v>327</v>
      </c>
      <c r="H207" s="2" t="s">
        <v>725</v>
      </c>
      <c r="I207" s="43">
        <v>1200</v>
      </c>
      <c r="J207" s="47">
        <v>45778</v>
      </c>
      <c r="K207" s="53">
        <f t="shared" si="18"/>
        <v>100</v>
      </c>
      <c r="L207" s="53">
        <f t="shared" si="15"/>
        <v>100</v>
      </c>
      <c r="M207" s="54">
        <f t="shared" si="16"/>
        <v>100</v>
      </c>
      <c r="N207" s="54">
        <f t="shared" si="17"/>
        <v>100</v>
      </c>
    </row>
    <row r="208" spans="1:14" ht="34.35" customHeight="1">
      <c r="A208" s="32" t="s">
        <v>753</v>
      </c>
      <c r="B208" s="30" t="s">
        <v>730</v>
      </c>
      <c r="C208" s="13">
        <v>53</v>
      </c>
      <c r="D208" s="5" t="s">
        <v>504</v>
      </c>
      <c r="E208" s="5"/>
      <c r="F208" s="14" t="s">
        <v>136</v>
      </c>
      <c r="G208" s="2" t="s">
        <v>327</v>
      </c>
      <c r="H208" s="2" t="s">
        <v>40</v>
      </c>
      <c r="I208" s="20">
        <v>1174.3420820195504</v>
      </c>
      <c r="J208" s="47">
        <v>45778</v>
      </c>
      <c r="K208" s="53">
        <f t="shared" si="18"/>
        <v>97.86</v>
      </c>
      <c r="L208" s="53">
        <f t="shared" si="15"/>
        <v>97.86</v>
      </c>
      <c r="M208" s="54">
        <f t="shared" si="16"/>
        <v>97.86</v>
      </c>
      <c r="N208" s="54">
        <f t="shared" si="17"/>
        <v>97.86</v>
      </c>
    </row>
    <row r="209" spans="1:14" ht="34.35" customHeight="1">
      <c r="A209" s="32" t="s">
        <v>753</v>
      </c>
      <c r="B209" s="30" t="s">
        <v>730</v>
      </c>
      <c r="C209" s="13"/>
      <c r="D209" s="5" t="s">
        <v>508</v>
      </c>
      <c r="E209" s="5"/>
      <c r="F209" s="14" t="s">
        <v>136</v>
      </c>
      <c r="G209" s="2" t="s">
        <v>327</v>
      </c>
      <c r="H209" s="2" t="s">
        <v>40</v>
      </c>
      <c r="I209" s="20">
        <v>962.16729885251311</v>
      </c>
      <c r="J209" s="47">
        <v>45778</v>
      </c>
      <c r="K209" s="53">
        <f t="shared" si="18"/>
        <v>80.180000000000007</v>
      </c>
      <c r="L209" s="53">
        <f t="shared" si="15"/>
        <v>80.180000000000007</v>
      </c>
      <c r="M209" s="54">
        <f t="shared" si="16"/>
        <v>80.180000000000007</v>
      </c>
      <c r="N209" s="54">
        <f t="shared" si="17"/>
        <v>80.180000000000007</v>
      </c>
    </row>
    <row r="210" spans="1:14" ht="34.35" customHeight="1">
      <c r="A210" s="32" t="s">
        <v>733</v>
      </c>
      <c r="B210" s="31" t="s">
        <v>36</v>
      </c>
      <c r="C210" s="29">
        <v>1</v>
      </c>
      <c r="D210" s="5" t="s">
        <v>37</v>
      </c>
      <c r="E210" s="5"/>
      <c r="F210" s="14" t="s">
        <v>38</v>
      </c>
      <c r="G210" s="2" t="s">
        <v>39</v>
      </c>
      <c r="H210" s="2" t="s">
        <v>40</v>
      </c>
      <c r="I210" s="1">
        <v>0</v>
      </c>
      <c r="J210" s="47">
        <v>45809</v>
      </c>
      <c r="K210" s="53">
        <f>IF(I210=0,0,IF(I210="-","-",ROUND(I210/12,2)))</f>
        <v>0</v>
      </c>
      <c r="L210" s="53">
        <f>K210</f>
        <v>0</v>
      </c>
      <c r="M210" s="54">
        <f>K210</f>
        <v>0</v>
      </c>
      <c r="N210" s="54">
        <f>L210</f>
        <v>0</v>
      </c>
    </row>
    <row r="211" spans="1:14" ht="34.35" customHeight="1">
      <c r="A211" s="32" t="s">
        <v>733</v>
      </c>
      <c r="B211" s="31" t="s">
        <v>36</v>
      </c>
      <c r="C211" s="29">
        <v>2</v>
      </c>
      <c r="D211" s="6" t="s">
        <v>42</v>
      </c>
      <c r="E211" s="6"/>
      <c r="F211" s="14" t="s">
        <v>38</v>
      </c>
      <c r="G211" s="2" t="s">
        <v>39</v>
      </c>
      <c r="H211" s="2" t="s">
        <v>43</v>
      </c>
      <c r="I211" s="3">
        <v>0</v>
      </c>
      <c r="J211" s="47">
        <v>45809</v>
      </c>
      <c r="K211" s="53">
        <f t="shared" ref="K211:K274" si="19">IF(I211=0,0,IF(I211="-","-",ROUND(I211/12,2)))</f>
        <v>0</v>
      </c>
      <c r="L211" s="53">
        <f t="shared" ref="L211:L274" si="20">K211</f>
        <v>0</v>
      </c>
      <c r="M211" s="54">
        <f t="shared" ref="M211:M274" si="21">K211</f>
        <v>0</v>
      </c>
      <c r="N211" s="54">
        <f t="shared" ref="N211:N274" si="22">L211</f>
        <v>0</v>
      </c>
    </row>
    <row r="212" spans="1:14" ht="34.35" customHeight="1">
      <c r="A212" s="32" t="s">
        <v>733</v>
      </c>
      <c r="B212" s="31" t="s">
        <v>36</v>
      </c>
      <c r="C212" s="29">
        <v>3</v>
      </c>
      <c r="D212" s="5" t="s">
        <v>734</v>
      </c>
      <c r="E212" s="5" t="s">
        <v>735</v>
      </c>
      <c r="F212" s="14" t="s">
        <v>38</v>
      </c>
      <c r="G212" s="2" t="s">
        <v>39</v>
      </c>
      <c r="H212" s="2" t="s">
        <v>40</v>
      </c>
      <c r="I212" s="3">
        <v>4</v>
      </c>
      <c r="J212" s="47">
        <v>45809</v>
      </c>
      <c r="K212" s="53">
        <f t="shared" si="19"/>
        <v>0.33</v>
      </c>
      <c r="L212" s="53">
        <f t="shared" si="20"/>
        <v>0.33</v>
      </c>
      <c r="M212" s="54">
        <f t="shared" si="21"/>
        <v>0.33</v>
      </c>
      <c r="N212" s="54">
        <f t="shared" si="22"/>
        <v>0.33</v>
      </c>
    </row>
    <row r="213" spans="1:14" ht="34.35" customHeight="1">
      <c r="A213" s="32" t="s">
        <v>733</v>
      </c>
      <c r="B213" s="31" t="s">
        <v>36</v>
      </c>
      <c r="C213" s="29">
        <v>4</v>
      </c>
      <c r="D213" s="6" t="s">
        <v>112</v>
      </c>
      <c r="E213" s="5" t="s">
        <v>735</v>
      </c>
      <c r="F213" s="14" t="s">
        <v>38</v>
      </c>
      <c r="G213" s="2" t="s">
        <v>39</v>
      </c>
      <c r="H213" s="2" t="s">
        <v>40</v>
      </c>
      <c r="I213" s="3">
        <v>4</v>
      </c>
      <c r="J213" s="47">
        <v>45809</v>
      </c>
      <c r="K213" s="53">
        <f t="shared" si="19"/>
        <v>0.33</v>
      </c>
      <c r="L213" s="53">
        <f t="shared" si="20"/>
        <v>0.33</v>
      </c>
      <c r="M213" s="54">
        <f t="shared" si="21"/>
        <v>0.33</v>
      </c>
      <c r="N213" s="54">
        <f t="shared" si="22"/>
        <v>0.33</v>
      </c>
    </row>
    <row r="214" spans="1:14" ht="34.35" customHeight="1">
      <c r="A214" s="32" t="s">
        <v>733</v>
      </c>
      <c r="B214" s="31" t="s">
        <v>46</v>
      </c>
      <c r="C214" s="29">
        <v>5</v>
      </c>
      <c r="D214" s="5" t="s">
        <v>47</v>
      </c>
      <c r="E214" s="5"/>
      <c r="F214" s="14" t="s">
        <v>38</v>
      </c>
      <c r="G214" s="2" t="s">
        <v>48</v>
      </c>
      <c r="H214" s="2" t="s">
        <v>49</v>
      </c>
      <c r="I214" s="1">
        <v>0</v>
      </c>
      <c r="J214" s="47">
        <v>45809</v>
      </c>
      <c r="K214" s="53">
        <f t="shared" si="19"/>
        <v>0</v>
      </c>
      <c r="L214" s="53">
        <f t="shared" si="20"/>
        <v>0</v>
      </c>
      <c r="M214" s="54">
        <f t="shared" si="21"/>
        <v>0</v>
      </c>
      <c r="N214" s="54">
        <f t="shared" si="22"/>
        <v>0</v>
      </c>
    </row>
    <row r="215" spans="1:14" ht="34.35" customHeight="1">
      <c r="A215" s="32" t="s">
        <v>733</v>
      </c>
      <c r="B215" s="31" t="s">
        <v>46</v>
      </c>
      <c r="C215" s="29">
        <v>6</v>
      </c>
      <c r="D215" s="5" t="s">
        <v>50</v>
      </c>
      <c r="E215" s="5"/>
      <c r="F215" s="14" t="s">
        <v>38</v>
      </c>
      <c r="G215" s="2" t="s">
        <v>48</v>
      </c>
      <c r="H215" s="2" t="s">
        <v>49</v>
      </c>
      <c r="I215" s="1">
        <v>0</v>
      </c>
      <c r="J215" s="47">
        <v>45809</v>
      </c>
      <c r="K215" s="53">
        <f t="shared" si="19"/>
        <v>0</v>
      </c>
      <c r="L215" s="53">
        <f t="shared" si="20"/>
        <v>0</v>
      </c>
      <c r="M215" s="54">
        <f t="shared" si="21"/>
        <v>0</v>
      </c>
      <c r="N215" s="54">
        <f t="shared" si="22"/>
        <v>0</v>
      </c>
    </row>
    <row r="216" spans="1:14" ht="34.35" customHeight="1">
      <c r="A216" s="32" t="s">
        <v>733</v>
      </c>
      <c r="B216" s="31" t="s">
        <v>46</v>
      </c>
      <c r="C216" s="29">
        <v>7</v>
      </c>
      <c r="D216" s="6" t="s">
        <v>51</v>
      </c>
      <c r="E216" s="6"/>
      <c r="F216" s="14" t="s">
        <v>38</v>
      </c>
      <c r="G216" s="2" t="s">
        <v>48</v>
      </c>
      <c r="H216" s="2" t="s">
        <v>49</v>
      </c>
      <c r="I216" s="1">
        <v>0</v>
      </c>
      <c r="J216" s="47">
        <v>45809</v>
      </c>
      <c r="K216" s="53">
        <f t="shared" si="19"/>
        <v>0</v>
      </c>
      <c r="L216" s="53">
        <f t="shared" si="20"/>
        <v>0</v>
      </c>
      <c r="M216" s="54">
        <f t="shared" si="21"/>
        <v>0</v>
      </c>
      <c r="N216" s="54">
        <f t="shared" si="22"/>
        <v>0</v>
      </c>
    </row>
    <row r="217" spans="1:14" ht="34.35" customHeight="1">
      <c r="A217" s="32" t="s">
        <v>733</v>
      </c>
      <c r="B217" s="31" t="s">
        <v>46</v>
      </c>
      <c r="C217" s="29">
        <v>8</v>
      </c>
      <c r="D217" s="5" t="s">
        <v>52</v>
      </c>
      <c r="E217" s="5"/>
      <c r="F217" s="14" t="s">
        <v>38</v>
      </c>
      <c r="G217" s="2" t="s">
        <v>48</v>
      </c>
      <c r="H217" s="2" t="s">
        <v>49</v>
      </c>
      <c r="I217" s="1">
        <v>0</v>
      </c>
      <c r="J217" s="47">
        <v>45809</v>
      </c>
      <c r="K217" s="53">
        <f t="shared" si="19"/>
        <v>0</v>
      </c>
      <c r="L217" s="53">
        <f t="shared" si="20"/>
        <v>0</v>
      </c>
      <c r="M217" s="54">
        <f t="shared" si="21"/>
        <v>0</v>
      </c>
      <c r="N217" s="54">
        <f t="shared" si="22"/>
        <v>0</v>
      </c>
    </row>
    <row r="218" spans="1:14" ht="34.35" customHeight="1">
      <c r="A218" s="32" t="s">
        <v>733</v>
      </c>
      <c r="B218" s="31" t="s">
        <v>46</v>
      </c>
      <c r="C218" s="29">
        <v>9</v>
      </c>
      <c r="D218" s="6" t="s">
        <v>736</v>
      </c>
      <c r="E218" s="6"/>
      <c r="F218" s="14" t="s">
        <v>38</v>
      </c>
      <c r="G218" s="2" t="s">
        <v>48</v>
      </c>
      <c r="H218" s="2" t="s">
        <v>49</v>
      </c>
      <c r="I218" s="1"/>
      <c r="J218" s="47">
        <v>45809</v>
      </c>
      <c r="K218" s="53">
        <f t="shared" si="19"/>
        <v>0</v>
      </c>
      <c r="L218" s="53">
        <f t="shared" si="20"/>
        <v>0</v>
      </c>
      <c r="M218" s="54">
        <f t="shared" si="21"/>
        <v>0</v>
      </c>
      <c r="N218" s="54">
        <f t="shared" si="22"/>
        <v>0</v>
      </c>
    </row>
    <row r="219" spans="1:14" ht="34.35" customHeight="1">
      <c r="A219" s="32" t="s">
        <v>737</v>
      </c>
      <c r="B219" s="15" t="s">
        <v>113</v>
      </c>
      <c r="C219" s="29">
        <v>10</v>
      </c>
      <c r="D219" s="5" t="s">
        <v>114</v>
      </c>
      <c r="E219" s="5"/>
      <c r="F219" s="14" t="s">
        <v>38</v>
      </c>
      <c r="G219" s="2" t="s">
        <v>115</v>
      </c>
      <c r="H219" s="2" t="s">
        <v>116</v>
      </c>
      <c r="I219" s="1">
        <v>0</v>
      </c>
      <c r="J219" s="47">
        <v>45809</v>
      </c>
      <c r="K219" s="53">
        <f t="shared" si="19"/>
        <v>0</v>
      </c>
      <c r="L219" s="53">
        <f t="shared" si="20"/>
        <v>0</v>
      </c>
      <c r="M219" s="54">
        <f t="shared" si="21"/>
        <v>0</v>
      </c>
      <c r="N219" s="54">
        <f t="shared" si="22"/>
        <v>0</v>
      </c>
    </row>
    <row r="220" spans="1:14" ht="34.35" customHeight="1">
      <c r="A220" s="32" t="s">
        <v>737</v>
      </c>
      <c r="B220" s="15" t="s">
        <v>113</v>
      </c>
      <c r="C220" s="29">
        <v>11</v>
      </c>
      <c r="D220" s="5" t="s">
        <v>118</v>
      </c>
      <c r="E220" s="5"/>
      <c r="F220" s="14" t="s">
        <v>38</v>
      </c>
      <c r="G220" s="2" t="s">
        <v>115</v>
      </c>
      <c r="H220" s="2" t="s">
        <v>116</v>
      </c>
      <c r="I220" s="3">
        <v>4</v>
      </c>
      <c r="J220" s="47">
        <v>45809</v>
      </c>
      <c r="K220" s="53">
        <f t="shared" si="19"/>
        <v>0.33</v>
      </c>
      <c r="L220" s="53">
        <f t="shared" si="20"/>
        <v>0.33</v>
      </c>
      <c r="M220" s="54">
        <f t="shared" si="21"/>
        <v>0.33</v>
      </c>
      <c r="N220" s="54">
        <f t="shared" si="22"/>
        <v>0.33</v>
      </c>
    </row>
    <row r="221" spans="1:14" ht="34.35" customHeight="1">
      <c r="A221" s="32" t="s">
        <v>737</v>
      </c>
      <c r="B221" s="15" t="s">
        <v>113</v>
      </c>
      <c r="C221" s="29">
        <v>12</v>
      </c>
      <c r="D221" s="5" t="s">
        <v>119</v>
      </c>
      <c r="E221" s="5"/>
      <c r="F221" s="14" t="s">
        <v>38</v>
      </c>
      <c r="G221" s="2" t="s">
        <v>115</v>
      </c>
      <c r="H221" s="2" t="s">
        <v>116</v>
      </c>
      <c r="I221" s="3">
        <v>9</v>
      </c>
      <c r="J221" s="47">
        <v>45809</v>
      </c>
      <c r="K221" s="53">
        <f t="shared" si="19"/>
        <v>0.75</v>
      </c>
      <c r="L221" s="53">
        <f t="shared" si="20"/>
        <v>0.75</v>
      </c>
      <c r="M221" s="54">
        <f t="shared" si="21"/>
        <v>0.75</v>
      </c>
      <c r="N221" s="54">
        <f t="shared" si="22"/>
        <v>0.75</v>
      </c>
    </row>
    <row r="222" spans="1:14" ht="34.35" customHeight="1">
      <c r="A222" s="32" t="s">
        <v>737</v>
      </c>
      <c r="B222" s="15" t="s">
        <v>113</v>
      </c>
      <c r="C222" s="29">
        <v>13</v>
      </c>
      <c r="D222" s="6" t="s">
        <v>120</v>
      </c>
      <c r="E222" s="6"/>
      <c r="F222" s="14" t="s">
        <v>38</v>
      </c>
      <c r="G222" s="2" t="s">
        <v>115</v>
      </c>
      <c r="H222" s="2" t="s">
        <v>116</v>
      </c>
      <c r="I222" s="3">
        <v>6</v>
      </c>
      <c r="J222" s="47">
        <v>45809</v>
      </c>
      <c r="K222" s="53">
        <f t="shared" si="19"/>
        <v>0.5</v>
      </c>
      <c r="L222" s="53">
        <f t="shared" si="20"/>
        <v>0.5</v>
      </c>
      <c r="M222" s="54">
        <f t="shared" si="21"/>
        <v>0.5</v>
      </c>
      <c r="N222" s="54">
        <f t="shared" si="22"/>
        <v>0.5</v>
      </c>
    </row>
    <row r="223" spans="1:14" ht="34.35" customHeight="1">
      <c r="A223" s="32" t="s">
        <v>737</v>
      </c>
      <c r="B223" s="15" t="s">
        <v>113</v>
      </c>
      <c r="C223" s="29">
        <v>14</v>
      </c>
      <c r="D223" s="5" t="s">
        <v>125</v>
      </c>
      <c r="E223" s="5"/>
      <c r="F223" s="14" t="s">
        <v>38</v>
      </c>
      <c r="G223" s="2" t="s">
        <v>126</v>
      </c>
      <c r="H223" s="2" t="s">
        <v>127</v>
      </c>
      <c r="I223" s="1">
        <v>6</v>
      </c>
      <c r="J223" s="47">
        <v>45809</v>
      </c>
      <c r="K223" s="53">
        <f t="shared" si="19"/>
        <v>0.5</v>
      </c>
      <c r="L223" s="53">
        <f t="shared" si="20"/>
        <v>0.5</v>
      </c>
      <c r="M223" s="54">
        <f t="shared" si="21"/>
        <v>0.5</v>
      </c>
      <c r="N223" s="54">
        <f t="shared" si="22"/>
        <v>0.5</v>
      </c>
    </row>
    <row r="224" spans="1:14" ht="34.35" customHeight="1">
      <c r="A224" s="32" t="s">
        <v>737</v>
      </c>
      <c r="B224" s="15" t="s">
        <v>113</v>
      </c>
      <c r="C224" s="29">
        <v>15</v>
      </c>
      <c r="D224" s="6" t="s">
        <v>129</v>
      </c>
      <c r="E224" s="6"/>
      <c r="F224" s="14" t="s">
        <v>38</v>
      </c>
      <c r="G224" s="2" t="s">
        <v>126</v>
      </c>
      <c r="H224" s="2" t="s">
        <v>130</v>
      </c>
      <c r="I224" s="1">
        <v>5</v>
      </c>
      <c r="J224" s="47">
        <v>45809</v>
      </c>
      <c r="K224" s="53">
        <f t="shared" si="19"/>
        <v>0.42</v>
      </c>
      <c r="L224" s="53">
        <f t="shared" si="20"/>
        <v>0.42</v>
      </c>
      <c r="M224" s="54">
        <f t="shared" si="21"/>
        <v>0.42</v>
      </c>
      <c r="N224" s="54">
        <f t="shared" si="22"/>
        <v>0.42</v>
      </c>
    </row>
    <row r="225" spans="1:14" ht="34.35" customHeight="1">
      <c r="A225" s="32" t="s">
        <v>737</v>
      </c>
      <c r="B225" s="9" t="s">
        <v>131</v>
      </c>
      <c r="C225" s="13">
        <v>16</v>
      </c>
      <c r="D225" s="5" t="s">
        <v>132</v>
      </c>
      <c r="E225" s="5"/>
      <c r="F225" s="14" t="s">
        <v>133</v>
      </c>
      <c r="G225" s="2" t="s">
        <v>134</v>
      </c>
      <c r="H225" s="2" t="s">
        <v>135</v>
      </c>
      <c r="I225" s="16">
        <v>5.6228257045651073E-3</v>
      </c>
      <c r="J225" s="47">
        <v>45809</v>
      </c>
      <c r="K225" s="53">
        <f t="shared" si="19"/>
        <v>0</v>
      </c>
      <c r="L225" s="53">
        <f t="shared" si="20"/>
        <v>0</v>
      </c>
      <c r="M225" s="54">
        <f t="shared" si="21"/>
        <v>0</v>
      </c>
      <c r="N225" s="54">
        <f t="shared" si="22"/>
        <v>0</v>
      </c>
    </row>
    <row r="226" spans="1:14" ht="34.35" customHeight="1">
      <c r="A226" s="32" t="s">
        <v>737</v>
      </c>
      <c r="B226" s="9" t="s">
        <v>131</v>
      </c>
      <c r="C226" s="13"/>
      <c r="D226" s="5" t="s">
        <v>132</v>
      </c>
      <c r="E226" s="5"/>
      <c r="F226" s="14" t="s">
        <v>136</v>
      </c>
      <c r="G226" s="2" t="s">
        <v>134</v>
      </c>
      <c r="H226" s="2" t="s">
        <v>135</v>
      </c>
      <c r="I226" s="27">
        <v>162.9</v>
      </c>
      <c r="J226" s="47">
        <v>45809</v>
      </c>
      <c r="K226" s="53">
        <f t="shared" si="19"/>
        <v>13.58</v>
      </c>
      <c r="L226" s="53">
        <f t="shared" si="20"/>
        <v>13.58</v>
      </c>
      <c r="M226" s="54">
        <f t="shared" si="21"/>
        <v>13.58</v>
      </c>
      <c r="N226" s="54">
        <f t="shared" si="22"/>
        <v>13.58</v>
      </c>
    </row>
    <row r="227" spans="1:14" ht="34.35" customHeight="1">
      <c r="A227" s="32" t="s">
        <v>737</v>
      </c>
      <c r="B227" s="9" t="s">
        <v>131</v>
      </c>
      <c r="C227" s="29">
        <v>17</v>
      </c>
      <c r="D227" s="5" t="s">
        <v>137</v>
      </c>
      <c r="E227" s="5"/>
      <c r="F227" s="14" t="s">
        <v>136</v>
      </c>
      <c r="G227" s="2" t="s">
        <v>138</v>
      </c>
      <c r="H227" s="2" t="s">
        <v>135</v>
      </c>
      <c r="I227" s="3">
        <v>231.81399999999999</v>
      </c>
      <c r="J227" s="47">
        <v>45809</v>
      </c>
      <c r="K227" s="53">
        <f t="shared" si="19"/>
        <v>19.32</v>
      </c>
      <c r="L227" s="53">
        <f t="shared" si="20"/>
        <v>19.32</v>
      </c>
      <c r="M227" s="54">
        <f t="shared" si="21"/>
        <v>19.32</v>
      </c>
      <c r="N227" s="54">
        <f t="shared" si="22"/>
        <v>19.32</v>
      </c>
    </row>
    <row r="228" spans="1:14" ht="34.35" customHeight="1">
      <c r="A228" s="32" t="s">
        <v>738</v>
      </c>
      <c r="B228" s="9" t="s">
        <v>283</v>
      </c>
      <c r="C228" s="29">
        <v>10</v>
      </c>
      <c r="D228" s="5" t="s">
        <v>284</v>
      </c>
      <c r="E228" s="5" t="s">
        <v>739</v>
      </c>
      <c r="F228" s="14" t="s">
        <v>38</v>
      </c>
      <c r="G228" s="2" t="s">
        <v>106</v>
      </c>
      <c r="H228" s="2" t="s">
        <v>285</v>
      </c>
      <c r="I228" s="1">
        <v>130</v>
      </c>
      <c r="J228" s="47">
        <v>45809</v>
      </c>
      <c r="K228" s="53">
        <f t="shared" si="19"/>
        <v>10.83</v>
      </c>
      <c r="L228" s="53">
        <f t="shared" si="20"/>
        <v>10.83</v>
      </c>
      <c r="M228" s="54">
        <f t="shared" si="21"/>
        <v>10.83</v>
      </c>
      <c r="N228" s="54">
        <f t="shared" si="22"/>
        <v>10.83</v>
      </c>
    </row>
    <row r="229" spans="1:14" ht="34.35" customHeight="1">
      <c r="A229" s="32" t="s">
        <v>738</v>
      </c>
      <c r="B229" s="9" t="s">
        <v>286</v>
      </c>
      <c r="C229" s="29">
        <v>11</v>
      </c>
      <c r="D229" s="5" t="s">
        <v>287</v>
      </c>
      <c r="E229" s="5"/>
      <c r="F229" s="14" t="s">
        <v>288</v>
      </c>
      <c r="G229" s="2" t="s">
        <v>106</v>
      </c>
      <c r="H229" s="2" t="s">
        <v>289</v>
      </c>
      <c r="I229" s="1">
        <v>0</v>
      </c>
      <c r="J229" s="47">
        <v>45809</v>
      </c>
      <c r="K229" s="53">
        <f t="shared" si="19"/>
        <v>0</v>
      </c>
      <c r="L229" s="53">
        <f t="shared" si="20"/>
        <v>0</v>
      </c>
      <c r="M229" s="54">
        <f t="shared" si="21"/>
        <v>0</v>
      </c>
      <c r="N229" s="54">
        <f t="shared" si="22"/>
        <v>0</v>
      </c>
    </row>
    <row r="230" spans="1:14" ht="34.35" customHeight="1">
      <c r="A230" s="32" t="s">
        <v>738</v>
      </c>
      <c r="B230" s="9" t="s">
        <v>292</v>
      </c>
      <c r="C230" s="29">
        <v>12</v>
      </c>
      <c r="D230" s="5" t="s">
        <v>41</v>
      </c>
      <c r="E230" s="5"/>
      <c r="F230" s="14" t="s">
        <v>133</v>
      </c>
      <c r="G230" s="2" t="s">
        <v>105</v>
      </c>
      <c r="H230" s="2" t="s">
        <v>43</v>
      </c>
      <c r="I230" s="17">
        <v>1</v>
      </c>
      <c r="J230" s="47">
        <v>45809</v>
      </c>
      <c r="K230" s="53">
        <f t="shared" si="19"/>
        <v>0.08</v>
      </c>
      <c r="L230" s="53">
        <f t="shared" si="20"/>
        <v>0.08</v>
      </c>
      <c r="M230" s="54">
        <f t="shared" si="21"/>
        <v>0.08</v>
      </c>
      <c r="N230" s="54">
        <f t="shared" si="22"/>
        <v>0.08</v>
      </c>
    </row>
    <row r="231" spans="1:14" ht="34.35" customHeight="1">
      <c r="A231" s="32" t="s">
        <v>738</v>
      </c>
      <c r="B231" s="9" t="s">
        <v>293</v>
      </c>
      <c r="C231" s="29">
        <v>13</v>
      </c>
      <c r="D231" s="5" t="s">
        <v>41</v>
      </c>
      <c r="E231" s="5"/>
      <c r="F231" s="14" t="s">
        <v>38</v>
      </c>
      <c r="G231" s="2" t="s">
        <v>105</v>
      </c>
      <c r="H231" s="2" t="s">
        <v>43</v>
      </c>
      <c r="I231" s="1">
        <v>0</v>
      </c>
      <c r="J231" s="47">
        <v>45809</v>
      </c>
      <c r="K231" s="53">
        <f t="shared" si="19"/>
        <v>0</v>
      </c>
      <c r="L231" s="53">
        <f t="shared" si="20"/>
        <v>0</v>
      </c>
      <c r="M231" s="54">
        <f t="shared" si="21"/>
        <v>0</v>
      </c>
      <c r="N231" s="54">
        <f t="shared" si="22"/>
        <v>0</v>
      </c>
    </row>
    <row r="232" spans="1:14" ht="34.35" customHeight="1">
      <c r="A232" s="32" t="s">
        <v>738</v>
      </c>
      <c r="B232" s="9" t="s">
        <v>294</v>
      </c>
      <c r="C232" s="29">
        <v>14</v>
      </c>
      <c r="D232" s="5" t="s">
        <v>41</v>
      </c>
      <c r="E232" s="3" t="s">
        <v>740</v>
      </c>
      <c r="F232" s="14" t="s">
        <v>136</v>
      </c>
      <c r="G232" s="2" t="s">
        <v>110</v>
      </c>
      <c r="H232" s="2" t="s">
        <v>134</v>
      </c>
      <c r="I232" s="3">
        <v>7.65</v>
      </c>
      <c r="J232" s="47">
        <v>45809</v>
      </c>
      <c r="K232" s="53">
        <f t="shared" si="19"/>
        <v>0.64</v>
      </c>
      <c r="L232" s="53">
        <f t="shared" si="20"/>
        <v>0.64</v>
      </c>
      <c r="M232" s="54">
        <f t="shared" si="21"/>
        <v>0.64</v>
      </c>
      <c r="N232" s="54">
        <f t="shared" si="22"/>
        <v>0.64</v>
      </c>
    </row>
    <row r="233" spans="1:14" ht="34.35" customHeight="1">
      <c r="A233" s="32" t="s">
        <v>741</v>
      </c>
      <c r="B233" s="36" t="s">
        <v>310</v>
      </c>
      <c r="C233" s="29">
        <v>15</v>
      </c>
      <c r="D233" s="5" t="s">
        <v>311</v>
      </c>
      <c r="E233" s="5"/>
      <c r="F233" s="14" t="s">
        <v>38</v>
      </c>
      <c r="G233" s="2" t="s">
        <v>489</v>
      </c>
      <c r="H233" s="2" t="s">
        <v>40</v>
      </c>
      <c r="I233" s="3">
        <v>0</v>
      </c>
      <c r="J233" s="47">
        <v>45809</v>
      </c>
      <c r="K233" s="53">
        <f t="shared" si="19"/>
        <v>0</v>
      </c>
      <c r="L233" s="53">
        <f t="shared" si="20"/>
        <v>0</v>
      </c>
      <c r="M233" s="54">
        <f t="shared" si="21"/>
        <v>0</v>
      </c>
      <c r="N233" s="54">
        <f t="shared" si="22"/>
        <v>0</v>
      </c>
    </row>
    <row r="234" spans="1:14" ht="34.35" customHeight="1">
      <c r="A234" s="32" t="s">
        <v>741</v>
      </c>
      <c r="B234" s="36" t="s">
        <v>310</v>
      </c>
      <c r="C234" s="29">
        <v>16</v>
      </c>
      <c r="D234" s="5" t="s">
        <v>313</v>
      </c>
      <c r="E234" s="5"/>
      <c r="F234" s="14" t="s">
        <v>38</v>
      </c>
      <c r="G234" s="2" t="s">
        <v>489</v>
      </c>
      <c r="H234" s="2" t="s">
        <v>40</v>
      </c>
      <c r="I234" s="3">
        <v>0</v>
      </c>
      <c r="J234" s="47">
        <v>45809</v>
      </c>
      <c r="K234" s="53">
        <f t="shared" si="19"/>
        <v>0</v>
      </c>
      <c r="L234" s="53">
        <f t="shared" si="20"/>
        <v>0</v>
      </c>
      <c r="M234" s="54">
        <f t="shared" si="21"/>
        <v>0</v>
      </c>
      <c r="N234" s="54">
        <f t="shared" si="22"/>
        <v>0</v>
      </c>
    </row>
    <row r="235" spans="1:14" ht="34.35" customHeight="1">
      <c r="A235" s="32" t="s">
        <v>741</v>
      </c>
      <c r="B235" s="36" t="s">
        <v>310</v>
      </c>
      <c r="C235" s="29">
        <v>17</v>
      </c>
      <c r="D235" s="6" t="s">
        <v>314</v>
      </c>
      <c r="E235" s="6"/>
      <c r="F235" s="14" t="s">
        <v>38</v>
      </c>
      <c r="G235" s="2" t="s">
        <v>489</v>
      </c>
      <c r="H235" s="2" t="s">
        <v>40</v>
      </c>
      <c r="I235" s="3">
        <v>0</v>
      </c>
      <c r="J235" s="47">
        <v>45809</v>
      </c>
      <c r="K235" s="53">
        <f t="shared" si="19"/>
        <v>0</v>
      </c>
      <c r="L235" s="53">
        <f t="shared" si="20"/>
        <v>0</v>
      </c>
      <c r="M235" s="54">
        <f t="shared" si="21"/>
        <v>0</v>
      </c>
      <c r="N235" s="54">
        <f t="shared" si="22"/>
        <v>0</v>
      </c>
    </row>
    <row r="236" spans="1:14" ht="34.35" customHeight="1">
      <c r="A236" s="32" t="s">
        <v>741</v>
      </c>
      <c r="B236" s="36" t="s">
        <v>310</v>
      </c>
      <c r="C236" s="13">
        <v>18</v>
      </c>
      <c r="D236" s="5" t="s">
        <v>315</v>
      </c>
      <c r="E236" s="3" t="s">
        <v>458</v>
      </c>
      <c r="F236" s="14" t="s">
        <v>38</v>
      </c>
      <c r="G236" s="2" t="s">
        <v>316</v>
      </c>
      <c r="H236" s="2" t="s">
        <v>40</v>
      </c>
      <c r="I236" s="3">
        <v>280</v>
      </c>
      <c r="J236" s="47">
        <v>45809</v>
      </c>
      <c r="K236" s="53">
        <f t="shared" si="19"/>
        <v>23.33</v>
      </c>
      <c r="L236" s="53">
        <f t="shared" si="20"/>
        <v>23.33</v>
      </c>
      <c r="M236" s="54">
        <f t="shared" si="21"/>
        <v>23.33</v>
      </c>
      <c r="N236" s="54">
        <f t="shared" si="22"/>
        <v>23.33</v>
      </c>
    </row>
    <row r="237" spans="1:14" ht="34.35" customHeight="1">
      <c r="A237" s="32" t="s">
        <v>741</v>
      </c>
      <c r="B237" s="36" t="s">
        <v>310</v>
      </c>
      <c r="C237" s="13"/>
      <c r="D237" s="5" t="s">
        <v>315</v>
      </c>
      <c r="E237" s="3" t="s">
        <v>459</v>
      </c>
      <c r="F237" s="14" t="s">
        <v>136</v>
      </c>
      <c r="G237" s="2" t="s">
        <v>316</v>
      </c>
      <c r="H237" s="2" t="s">
        <v>40</v>
      </c>
      <c r="I237" s="3">
        <v>106</v>
      </c>
      <c r="J237" s="47">
        <v>45809</v>
      </c>
      <c r="K237" s="53">
        <f t="shared" si="19"/>
        <v>8.83</v>
      </c>
      <c r="L237" s="53">
        <f t="shared" si="20"/>
        <v>8.83</v>
      </c>
      <c r="M237" s="54">
        <f t="shared" si="21"/>
        <v>8.83</v>
      </c>
      <c r="N237" s="54">
        <f t="shared" si="22"/>
        <v>8.83</v>
      </c>
    </row>
    <row r="238" spans="1:14" ht="34.35" customHeight="1">
      <c r="A238" s="32" t="s">
        <v>741</v>
      </c>
      <c r="B238" s="36" t="s">
        <v>310</v>
      </c>
      <c r="C238" s="13">
        <v>19</v>
      </c>
      <c r="D238" s="5" t="s">
        <v>317</v>
      </c>
      <c r="E238" s="5"/>
      <c r="F238" s="14" t="s">
        <v>38</v>
      </c>
      <c r="G238" s="2" t="s">
        <v>316</v>
      </c>
      <c r="H238" s="2" t="s">
        <v>40</v>
      </c>
      <c r="I238" s="3">
        <v>0</v>
      </c>
      <c r="J238" s="47">
        <v>45809</v>
      </c>
      <c r="K238" s="53">
        <f t="shared" si="19"/>
        <v>0</v>
      </c>
      <c r="L238" s="53">
        <f t="shared" si="20"/>
        <v>0</v>
      </c>
      <c r="M238" s="54">
        <f t="shared" si="21"/>
        <v>0</v>
      </c>
      <c r="N238" s="54">
        <f t="shared" si="22"/>
        <v>0</v>
      </c>
    </row>
    <row r="239" spans="1:14" ht="34.35" customHeight="1">
      <c r="A239" s="32" t="s">
        <v>741</v>
      </c>
      <c r="B239" s="36" t="s">
        <v>310</v>
      </c>
      <c r="C239" s="13"/>
      <c r="D239" s="5" t="s">
        <v>317</v>
      </c>
      <c r="E239" s="5"/>
      <c r="F239" s="14" t="s">
        <v>136</v>
      </c>
      <c r="G239" s="2" t="s">
        <v>316</v>
      </c>
      <c r="H239" s="2" t="s">
        <v>40</v>
      </c>
      <c r="I239" s="3">
        <v>0</v>
      </c>
      <c r="J239" s="47">
        <v>45809</v>
      </c>
      <c r="K239" s="53">
        <f t="shared" si="19"/>
        <v>0</v>
      </c>
      <c r="L239" s="53">
        <f t="shared" si="20"/>
        <v>0</v>
      </c>
      <c r="M239" s="54">
        <f t="shared" si="21"/>
        <v>0</v>
      </c>
      <c r="N239" s="54">
        <f t="shared" si="22"/>
        <v>0</v>
      </c>
    </row>
    <row r="240" spans="1:14" ht="34.35" customHeight="1">
      <c r="A240" s="32" t="s">
        <v>741</v>
      </c>
      <c r="B240" s="36" t="s">
        <v>310</v>
      </c>
      <c r="C240" s="13">
        <v>20</v>
      </c>
      <c r="D240" s="5" t="s">
        <v>318</v>
      </c>
      <c r="E240" s="3" t="s">
        <v>460</v>
      </c>
      <c r="F240" s="14" t="s">
        <v>38</v>
      </c>
      <c r="G240" s="2" t="s">
        <v>316</v>
      </c>
      <c r="H240" s="2" t="s">
        <v>40</v>
      </c>
      <c r="I240" s="3">
        <v>192</v>
      </c>
      <c r="J240" s="47">
        <v>45809</v>
      </c>
      <c r="K240" s="53">
        <f t="shared" si="19"/>
        <v>16</v>
      </c>
      <c r="L240" s="53">
        <f t="shared" si="20"/>
        <v>16</v>
      </c>
      <c r="M240" s="54">
        <f t="shared" si="21"/>
        <v>16</v>
      </c>
      <c r="N240" s="54">
        <f t="shared" si="22"/>
        <v>16</v>
      </c>
    </row>
    <row r="241" spans="1:14" ht="34.35" customHeight="1">
      <c r="A241" s="32" t="s">
        <v>741</v>
      </c>
      <c r="B241" s="36" t="s">
        <v>310</v>
      </c>
      <c r="C241" s="13"/>
      <c r="D241" s="5" t="s">
        <v>318</v>
      </c>
      <c r="E241" s="3" t="s">
        <v>461</v>
      </c>
      <c r="F241" s="14" t="s">
        <v>136</v>
      </c>
      <c r="G241" s="2" t="s">
        <v>316</v>
      </c>
      <c r="H241" s="2" t="s">
        <v>40</v>
      </c>
      <c r="I241" s="3">
        <v>307</v>
      </c>
      <c r="J241" s="47">
        <v>45809</v>
      </c>
      <c r="K241" s="53">
        <f t="shared" si="19"/>
        <v>25.58</v>
      </c>
      <c r="L241" s="53">
        <f t="shared" si="20"/>
        <v>25.58</v>
      </c>
      <c r="M241" s="54">
        <f t="shared" si="21"/>
        <v>25.58</v>
      </c>
      <c r="N241" s="54">
        <f t="shared" si="22"/>
        <v>25.58</v>
      </c>
    </row>
    <row r="242" spans="1:14" ht="34.35" customHeight="1">
      <c r="A242" s="32" t="s">
        <v>741</v>
      </c>
      <c r="B242" s="9" t="s">
        <v>319</v>
      </c>
      <c r="C242" s="29">
        <v>21</v>
      </c>
      <c r="D242" s="5" t="s">
        <v>320</v>
      </c>
      <c r="E242" s="5"/>
      <c r="F242" s="14" t="s">
        <v>38</v>
      </c>
      <c r="G242" s="2" t="s">
        <v>321</v>
      </c>
      <c r="H242" s="2" t="s">
        <v>40</v>
      </c>
      <c r="I242" s="3">
        <v>0</v>
      </c>
      <c r="J242" s="47">
        <v>45809</v>
      </c>
      <c r="K242" s="53">
        <f t="shared" si="19"/>
        <v>0</v>
      </c>
      <c r="L242" s="53">
        <f t="shared" si="20"/>
        <v>0</v>
      </c>
      <c r="M242" s="54">
        <f t="shared" si="21"/>
        <v>0</v>
      </c>
      <c r="N242" s="54">
        <f t="shared" si="22"/>
        <v>0</v>
      </c>
    </row>
    <row r="243" spans="1:14" ht="34.35" customHeight="1">
      <c r="A243" s="32" t="s">
        <v>741</v>
      </c>
      <c r="B243" s="9" t="s">
        <v>319</v>
      </c>
      <c r="C243" s="29">
        <v>22</v>
      </c>
      <c r="D243" s="5" t="s">
        <v>322</v>
      </c>
      <c r="E243" s="5"/>
      <c r="F243" s="14" t="s">
        <v>38</v>
      </c>
      <c r="G243" s="2" t="s">
        <v>321</v>
      </c>
      <c r="H243" s="2" t="s">
        <v>40</v>
      </c>
      <c r="I243" s="3">
        <v>0</v>
      </c>
      <c r="J243" s="47">
        <v>45809</v>
      </c>
      <c r="K243" s="53">
        <f t="shared" si="19"/>
        <v>0</v>
      </c>
      <c r="L243" s="53">
        <f t="shared" si="20"/>
        <v>0</v>
      </c>
      <c r="M243" s="54">
        <f t="shared" si="21"/>
        <v>0</v>
      </c>
      <c r="N243" s="54">
        <f t="shared" si="22"/>
        <v>0</v>
      </c>
    </row>
    <row r="244" spans="1:14" ht="34.35" customHeight="1">
      <c r="A244" s="32" t="s">
        <v>741</v>
      </c>
      <c r="B244" s="9" t="s">
        <v>319</v>
      </c>
      <c r="C244" s="29">
        <v>23</v>
      </c>
      <c r="D244" s="5" t="s">
        <v>313</v>
      </c>
      <c r="E244" s="5"/>
      <c r="F244" s="14" t="s">
        <v>38</v>
      </c>
      <c r="G244" s="2" t="s">
        <v>321</v>
      </c>
      <c r="H244" s="2" t="s">
        <v>40</v>
      </c>
      <c r="I244" s="3">
        <v>0</v>
      </c>
      <c r="J244" s="47">
        <v>45809</v>
      </c>
      <c r="K244" s="53">
        <f t="shared" si="19"/>
        <v>0</v>
      </c>
      <c r="L244" s="53">
        <f t="shared" si="20"/>
        <v>0</v>
      </c>
      <c r="M244" s="54">
        <f t="shared" si="21"/>
        <v>0</v>
      </c>
      <c r="N244" s="54">
        <f t="shared" si="22"/>
        <v>0</v>
      </c>
    </row>
    <row r="245" spans="1:14" ht="34.35" customHeight="1">
      <c r="A245" s="32" t="s">
        <v>741</v>
      </c>
      <c r="B245" s="9" t="s">
        <v>319</v>
      </c>
      <c r="C245" s="29">
        <v>24</v>
      </c>
      <c r="D245" s="5" t="s">
        <v>323</v>
      </c>
      <c r="E245" s="5"/>
      <c r="F245" s="14" t="s">
        <v>38</v>
      </c>
      <c r="G245" s="2" t="s">
        <v>321</v>
      </c>
      <c r="H245" s="2" t="s">
        <v>40</v>
      </c>
      <c r="I245" s="3">
        <v>5</v>
      </c>
      <c r="J245" s="47">
        <v>45809</v>
      </c>
      <c r="K245" s="53">
        <f t="shared" si="19"/>
        <v>0.42</v>
      </c>
      <c r="L245" s="53">
        <f t="shared" si="20"/>
        <v>0.42</v>
      </c>
      <c r="M245" s="54">
        <f t="shared" si="21"/>
        <v>0.42</v>
      </c>
      <c r="N245" s="54">
        <f t="shared" si="22"/>
        <v>0.42</v>
      </c>
    </row>
    <row r="246" spans="1:14" ht="34.35" customHeight="1">
      <c r="A246" s="32" t="s">
        <v>741</v>
      </c>
      <c r="B246" s="30" t="s">
        <v>324</v>
      </c>
      <c r="C246" s="29">
        <v>25</v>
      </c>
      <c r="D246" s="5" t="s">
        <v>311</v>
      </c>
      <c r="E246" s="5"/>
      <c r="F246" s="14" t="s">
        <v>38</v>
      </c>
      <c r="G246" s="2" t="s">
        <v>312</v>
      </c>
      <c r="H246" s="2" t="s">
        <v>40</v>
      </c>
      <c r="I246" s="1">
        <v>0</v>
      </c>
      <c r="J246" s="47">
        <v>45809</v>
      </c>
      <c r="K246" s="53">
        <f t="shared" si="19"/>
        <v>0</v>
      </c>
      <c r="L246" s="53">
        <f t="shared" si="20"/>
        <v>0</v>
      </c>
      <c r="M246" s="54">
        <f t="shared" si="21"/>
        <v>0</v>
      </c>
      <c r="N246" s="54">
        <f t="shared" si="22"/>
        <v>0</v>
      </c>
    </row>
    <row r="247" spans="1:14" ht="34.35" customHeight="1">
      <c r="A247" s="32" t="s">
        <v>741</v>
      </c>
      <c r="B247" s="30" t="s">
        <v>324</v>
      </c>
      <c r="C247" s="29">
        <v>26</v>
      </c>
      <c r="D247" s="5" t="s">
        <v>313</v>
      </c>
      <c r="E247" s="5"/>
      <c r="F247" s="14" t="s">
        <v>38</v>
      </c>
      <c r="G247" s="2" t="s">
        <v>312</v>
      </c>
      <c r="H247" s="2"/>
      <c r="I247" s="1"/>
      <c r="J247" s="47">
        <v>45809</v>
      </c>
      <c r="K247" s="53">
        <f t="shared" si="19"/>
        <v>0</v>
      </c>
      <c r="L247" s="53">
        <f t="shared" si="20"/>
        <v>0</v>
      </c>
      <c r="M247" s="54">
        <f t="shared" si="21"/>
        <v>0</v>
      </c>
      <c r="N247" s="54">
        <f t="shared" si="22"/>
        <v>0</v>
      </c>
    </row>
    <row r="248" spans="1:14" ht="34.35" customHeight="1">
      <c r="A248" s="32" t="s">
        <v>741</v>
      </c>
      <c r="B248" s="30" t="s">
        <v>324</v>
      </c>
      <c r="C248" s="29">
        <v>27</v>
      </c>
      <c r="D248" s="6" t="s">
        <v>314</v>
      </c>
      <c r="E248" s="6"/>
      <c r="F248" s="14" t="s">
        <v>38</v>
      </c>
      <c r="G248" s="2" t="s">
        <v>312</v>
      </c>
      <c r="H248" s="2" t="s">
        <v>40</v>
      </c>
      <c r="I248" s="1">
        <v>0</v>
      </c>
      <c r="J248" s="47">
        <v>45809</v>
      </c>
      <c r="K248" s="53">
        <f t="shared" si="19"/>
        <v>0</v>
      </c>
      <c r="L248" s="53">
        <f t="shared" si="20"/>
        <v>0</v>
      </c>
      <c r="M248" s="54">
        <f t="shared" si="21"/>
        <v>0</v>
      </c>
      <c r="N248" s="54">
        <f t="shared" si="22"/>
        <v>0</v>
      </c>
    </row>
    <row r="249" spans="1:14" ht="34.35" customHeight="1">
      <c r="A249" s="32" t="s">
        <v>741</v>
      </c>
      <c r="B249" s="37" t="s">
        <v>325</v>
      </c>
      <c r="C249" s="13">
        <v>28</v>
      </c>
      <c r="D249" s="5" t="s">
        <v>326</v>
      </c>
      <c r="E249" s="5"/>
      <c r="F249" s="14" t="s">
        <v>38</v>
      </c>
      <c r="G249" s="2" t="s">
        <v>327</v>
      </c>
      <c r="H249" s="2" t="s">
        <v>40</v>
      </c>
      <c r="I249" s="1">
        <v>0</v>
      </c>
      <c r="J249" s="47">
        <v>45809</v>
      </c>
      <c r="K249" s="53">
        <f t="shared" si="19"/>
        <v>0</v>
      </c>
      <c r="L249" s="53">
        <f t="shared" si="20"/>
        <v>0</v>
      </c>
      <c r="M249" s="54">
        <f t="shared" si="21"/>
        <v>0</v>
      </c>
      <c r="N249" s="54">
        <f t="shared" si="22"/>
        <v>0</v>
      </c>
    </row>
    <row r="250" spans="1:14" ht="34.35" customHeight="1">
      <c r="A250" s="32" t="s">
        <v>741</v>
      </c>
      <c r="B250" s="37" t="s">
        <v>325</v>
      </c>
      <c r="C250" s="13"/>
      <c r="D250" s="5" t="s">
        <v>326</v>
      </c>
      <c r="E250" s="5"/>
      <c r="F250" s="14" t="s">
        <v>136</v>
      </c>
      <c r="G250" s="2" t="s">
        <v>327</v>
      </c>
      <c r="H250" s="2" t="s">
        <v>40</v>
      </c>
      <c r="I250" s="1">
        <v>0</v>
      </c>
      <c r="J250" s="47">
        <v>45809</v>
      </c>
      <c r="K250" s="53">
        <f t="shared" si="19"/>
        <v>0</v>
      </c>
      <c r="L250" s="53">
        <f t="shared" si="20"/>
        <v>0</v>
      </c>
      <c r="M250" s="54">
        <f t="shared" si="21"/>
        <v>0</v>
      </c>
      <c r="N250" s="54">
        <f t="shared" si="22"/>
        <v>0</v>
      </c>
    </row>
    <row r="251" spans="1:14" ht="34.35" customHeight="1">
      <c r="A251" s="32" t="s">
        <v>741</v>
      </c>
      <c r="B251" s="37" t="s">
        <v>325</v>
      </c>
      <c r="C251" s="13">
        <v>29</v>
      </c>
      <c r="D251" s="6" t="s">
        <v>328</v>
      </c>
      <c r="E251" s="6"/>
      <c r="F251" s="14" t="s">
        <v>38</v>
      </c>
      <c r="G251" s="2" t="s">
        <v>327</v>
      </c>
      <c r="H251" s="2" t="s">
        <v>40</v>
      </c>
      <c r="I251" s="1" t="s">
        <v>41</v>
      </c>
      <c r="J251" s="47">
        <v>45809</v>
      </c>
      <c r="K251" s="53" t="str">
        <f t="shared" si="19"/>
        <v>-</v>
      </c>
      <c r="L251" s="53" t="str">
        <f t="shared" si="20"/>
        <v>-</v>
      </c>
      <c r="M251" s="54" t="str">
        <f t="shared" si="21"/>
        <v>-</v>
      </c>
      <c r="N251" s="54" t="str">
        <f t="shared" si="22"/>
        <v>-</v>
      </c>
    </row>
    <row r="252" spans="1:14" ht="34.35" customHeight="1">
      <c r="A252" s="32" t="s">
        <v>741</v>
      </c>
      <c r="B252" s="37" t="s">
        <v>325</v>
      </c>
      <c r="C252" s="13"/>
      <c r="D252" s="6" t="s">
        <v>328</v>
      </c>
      <c r="E252" s="6"/>
      <c r="F252" s="14" t="s">
        <v>136</v>
      </c>
      <c r="G252" s="2" t="s">
        <v>327</v>
      </c>
      <c r="H252" s="2" t="s">
        <v>40</v>
      </c>
      <c r="I252" s="1" t="s">
        <v>41</v>
      </c>
      <c r="J252" s="47">
        <v>45809</v>
      </c>
      <c r="K252" s="53" t="str">
        <f t="shared" si="19"/>
        <v>-</v>
      </c>
      <c r="L252" s="53" t="str">
        <f t="shared" si="20"/>
        <v>-</v>
      </c>
      <c r="M252" s="54" t="str">
        <f t="shared" si="21"/>
        <v>-</v>
      </c>
      <c r="N252" s="54" t="str">
        <f t="shared" si="22"/>
        <v>-</v>
      </c>
    </row>
    <row r="253" spans="1:14" ht="34.35" customHeight="1">
      <c r="A253" s="32" t="s">
        <v>741</v>
      </c>
      <c r="B253" s="37" t="s">
        <v>325</v>
      </c>
      <c r="C253" s="13">
        <v>30</v>
      </c>
      <c r="D253" s="6" t="s">
        <v>329</v>
      </c>
      <c r="E253" s="6"/>
      <c r="F253" s="14" t="s">
        <v>38</v>
      </c>
      <c r="G253" s="2" t="s">
        <v>327</v>
      </c>
      <c r="H253" s="2" t="s">
        <v>40</v>
      </c>
      <c r="I253" s="1" t="s">
        <v>41</v>
      </c>
      <c r="J253" s="47">
        <v>45809</v>
      </c>
      <c r="K253" s="53" t="str">
        <f t="shared" si="19"/>
        <v>-</v>
      </c>
      <c r="L253" s="53" t="str">
        <f t="shared" si="20"/>
        <v>-</v>
      </c>
      <c r="M253" s="54" t="str">
        <f t="shared" si="21"/>
        <v>-</v>
      </c>
      <c r="N253" s="54" t="str">
        <f t="shared" si="22"/>
        <v>-</v>
      </c>
    </row>
    <row r="254" spans="1:14" ht="34.35" customHeight="1">
      <c r="A254" s="32" t="s">
        <v>741</v>
      </c>
      <c r="B254" s="37" t="s">
        <v>325</v>
      </c>
      <c r="C254" s="13"/>
      <c r="D254" s="6" t="s">
        <v>329</v>
      </c>
      <c r="E254" s="6"/>
      <c r="F254" s="14" t="s">
        <v>136</v>
      </c>
      <c r="G254" s="2" t="s">
        <v>327</v>
      </c>
      <c r="H254" s="2" t="s">
        <v>40</v>
      </c>
      <c r="I254" s="1" t="s">
        <v>41</v>
      </c>
      <c r="J254" s="47">
        <v>45809</v>
      </c>
      <c r="K254" s="53" t="str">
        <f t="shared" si="19"/>
        <v>-</v>
      </c>
      <c r="L254" s="53" t="str">
        <f t="shared" si="20"/>
        <v>-</v>
      </c>
      <c r="M254" s="54" t="str">
        <f t="shared" si="21"/>
        <v>-</v>
      </c>
      <c r="N254" s="54" t="str">
        <f t="shared" si="22"/>
        <v>-</v>
      </c>
    </row>
    <row r="255" spans="1:14" ht="34.35" customHeight="1">
      <c r="A255" s="32" t="s">
        <v>741</v>
      </c>
      <c r="B255" s="37" t="s">
        <v>325</v>
      </c>
      <c r="C255" s="13">
        <v>31</v>
      </c>
      <c r="D255" s="6" t="s">
        <v>462</v>
      </c>
      <c r="E255" s="6"/>
      <c r="F255" s="14" t="s">
        <v>38</v>
      </c>
      <c r="G255" s="2" t="s">
        <v>327</v>
      </c>
      <c r="H255" s="2" t="s">
        <v>40</v>
      </c>
      <c r="I255" s="1" t="s">
        <v>41</v>
      </c>
      <c r="J255" s="47">
        <v>45809</v>
      </c>
      <c r="K255" s="53" t="str">
        <f t="shared" si="19"/>
        <v>-</v>
      </c>
      <c r="L255" s="53" t="str">
        <f t="shared" si="20"/>
        <v>-</v>
      </c>
      <c r="M255" s="54" t="str">
        <f t="shared" si="21"/>
        <v>-</v>
      </c>
      <c r="N255" s="54" t="str">
        <f t="shared" si="22"/>
        <v>-</v>
      </c>
    </row>
    <row r="256" spans="1:14" ht="34.35" customHeight="1">
      <c r="A256" s="32" t="s">
        <v>741</v>
      </c>
      <c r="B256" s="37" t="s">
        <v>325</v>
      </c>
      <c r="C256" s="13"/>
      <c r="D256" s="6" t="s">
        <v>462</v>
      </c>
      <c r="E256" s="6"/>
      <c r="F256" s="14" t="s">
        <v>136</v>
      </c>
      <c r="G256" s="2" t="s">
        <v>327</v>
      </c>
      <c r="H256" s="2" t="s">
        <v>40</v>
      </c>
      <c r="I256" s="1" t="s">
        <v>41</v>
      </c>
      <c r="J256" s="47">
        <v>45809</v>
      </c>
      <c r="K256" s="53" t="str">
        <f t="shared" si="19"/>
        <v>-</v>
      </c>
      <c r="L256" s="53" t="str">
        <f t="shared" si="20"/>
        <v>-</v>
      </c>
      <c r="M256" s="54" t="str">
        <f t="shared" si="21"/>
        <v>-</v>
      </c>
      <c r="N256" s="54" t="str">
        <f t="shared" si="22"/>
        <v>-</v>
      </c>
    </row>
    <row r="257" spans="1:14" ht="34.35" customHeight="1">
      <c r="A257" s="32" t="s">
        <v>741</v>
      </c>
      <c r="B257" s="37" t="s">
        <v>325</v>
      </c>
      <c r="C257" s="13">
        <v>32</v>
      </c>
      <c r="D257" s="5" t="s">
        <v>331</v>
      </c>
      <c r="E257" s="5"/>
      <c r="F257" s="14" t="s">
        <v>38</v>
      </c>
      <c r="G257" s="2" t="s">
        <v>327</v>
      </c>
      <c r="H257" s="2" t="s">
        <v>332</v>
      </c>
      <c r="I257" s="1">
        <v>0</v>
      </c>
      <c r="J257" s="47">
        <v>45809</v>
      </c>
      <c r="K257" s="53">
        <f t="shared" si="19"/>
        <v>0</v>
      </c>
      <c r="L257" s="53">
        <f t="shared" si="20"/>
        <v>0</v>
      </c>
      <c r="M257" s="54">
        <f t="shared" si="21"/>
        <v>0</v>
      </c>
      <c r="N257" s="54">
        <f t="shared" si="22"/>
        <v>0</v>
      </c>
    </row>
    <row r="258" spans="1:14" ht="34.35" customHeight="1">
      <c r="A258" s="32" t="s">
        <v>741</v>
      </c>
      <c r="B258" s="37" t="s">
        <v>325</v>
      </c>
      <c r="C258" s="13"/>
      <c r="D258" s="5" t="s">
        <v>463</v>
      </c>
      <c r="E258" s="5"/>
      <c r="F258" s="14" t="s">
        <v>136</v>
      </c>
      <c r="G258" s="2" t="s">
        <v>327</v>
      </c>
      <c r="H258" s="2" t="s">
        <v>332</v>
      </c>
      <c r="I258" s="1">
        <v>0</v>
      </c>
      <c r="J258" s="47">
        <v>45809</v>
      </c>
      <c r="K258" s="53">
        <f t="shared" si="19"/>
        <v>0</v>
      </c>
      <c r="L258" s="53">
        <f t="shared" si="20"/>
        <v>0</v>
      </c>
      <c r="M258" s="54">
        <f t="shared" si="21"/>
        <v>0</v>
      </c>
      <c r="N258" s="54">
        <f t="shared" si="22"/>
        <v>0</v>
      </c>
    </row>
    <row r="259" spans="1:14" ht="34.35" customHeight="1">
      <c r="A259" s="32" t="s">
        <v>741</v>
      </c>
      <c r="B259" s="37" t="s">
        <v>325</v>
      </c>
      <c r="C259" s="13">
        <v>33</v>
      </c>
      <c r="D259" s="5" t="s">
        <v>464</v>
      </c>
      <c r="E259" s="5"/>
      <c r="F259" s="14" t="s">
        <v>38</v>
      </c>
      <c r="G259" s="2" t="s">
        <v>327</v>
      </c>
      <c r="H259" s="2" t="s">
        <v>332</v>
      </c>
      <c r="I259" s="1">
        <v>0</v>
      </c>
      <c r="J259" s="47">
        <v>45809</v>
      </c>
      <c r="K259" s="53">
        <f t="shared" si="19"/>
        <v>0</v>
      </c>
      <c r="L259" s="53">
        <f t="shared" si="20"/>
        <v>0</v>
      </c>
      <c r="M259" s="54">
        <f t="shared" si="21"/>
        <v>0</v>
      </c>
      <c r="N259" s="54">
        <f t="shared" si="22"/>
        <v>0</v>
      </c>
    </row>
    <row r="260" spans="1:14" ht="34.35" customHeight="1">
      <c r="A260" s="32" t="s">
        <v>741</v>
      </c>
      <c r="B260" s="37" t="s">
        <v>325</v>
      </c>
      <c r="C260" s="13"/>
      <c r="D260" s="5" t="s">
        <v>464</v>
      </c>
      <c r="E260" s="5"/>
      <c r="F260" s="14" t="s">
        <v>136</v>
      </c>
      <c r="G260" s="2" t="s">
        <v>327</v>
      </c>
      <c r="H260" s="2" t="s">
        <v>332</v>
      </c>
      <c r="I260" s="1">
        <v>0</v>
      </c>
      <c r="J260" s="47">
        <v>45809</v>
      </c>
      <c r="K260" s="53">
        <f t="shared" si="19"/>
        <v>0</v>
      </c>
      <c r="L260" s="53">
        <f t="shared" si="20"/>
        <v>0</v>
      </c>
      <c r="M260" s="54">
        <f t="shared" si="21"/>
        <v>0</v>
      </c>
      <c r="N260" s="54">
        <f t="shared" si="22"/>
        <v>0</v>
      </c>
    </row>
    <row r="261" spans="1:14" ht="34.35" customHeight="1">
      <c r="A261" s="32" t="s">
        <v>741</v>
      </c>
      <c r="B261" s="37" t="s">
        <v>325</v>
      </c>
      <c r="C261" s="13">
        <v>34</v>
      </c>
      <c r="D261" s="5" t="s">
        <v>336</v>
      </c>
      <c r="E261" s="5"/>
      <c r="F261" s="14" t="s">
        <v>38</v>
      </c>
      <c r="G261" s="2" t="s">
        <v>316</v>
      </c>
      <c r="H261" s="2" t="s">
        <v>40</v>
      </c>
      <c r="I261" s="1">
        <v>0</v>
      </c>
      <c r="J261" s="47">
        <v>45809</v>
      </c>
      <c r="K261" s="53">
        <f t="shared" si="19"/>
        <v>0</v>
      </c>
      <c r="L261" s="53">
        <f t="shared" si="20"/>
        <v>0</v>
      </c>
      <c r="M261" s="54">
        <f t="shared" si="21"/>
        <v>0</v>
      </c>
      <c r="N261" s="54">
        <f t="shared" si="22"/>
        <v>0</v>
      </c>
    </row>
    <row r="262" spans="1:14" ht="34.35" customHeight="1">
      <c r="A262" s="32" t="s">
        <v>741</v>
      </c>
      <c r="B262" s="37" t="s">
        <v>325</v>
      </c>
      <c r="C262" s="13"/>
      <c r="D262" s="5" t="s">
        <v>336</v>
      </c>
      <c r="E262" s="5"/>
      <c r="F262" s="14" t="s">
        <v>136</v>
      </c>
      <c r="G262" s="2" t="s">
        <v>316</v>
      </c>
      <c r="H262" s="2" t="s">
        <v>40</v>
      </c>
      <c r="I262" s="1">
        <v>0</v>
      </c>
      <c r="J262" s="47">
        <v>45809</v>
      </c>
      <c r="K262" s="53">
        <f t="shared" si="19"/>
        <v>0</v>
      </c>
      <c r="L262" s="53">
        <f t="shared" si="20"/>
        <v>0</v>
      </c>
      <c r="M262" s="54">
        <f t="shared" si="21"/>
        <v>0</v>
      </c>
      <c r="N262" s="54">
        <f t="shared" si="22"/>
        <v>0</v>
      </c>
    </row>
    <row r="263" spans="1:14" ht="34.35" customHeight="1">
      <c r="A263" s="32" t="s">
        <v>741</v>
      </c>
      <c r="B263" s="37" t="s">
        <v>325</v>
      </c>
      <c r="C263" s="13">
        <v>35</v>
      </c>
      <c r="D263" s="5" t="s">
        <v>338</v>
      </c>
      <c r="E263" s="5"/>
      <c r="F263" s="14" t="s">
        <v>38</v>
      </c>
      <c r="G263" s="2" t="s">
        <v>316</v>
      </c>
      <c r="H263" s="2" t="s">
        <v>40</v>
      </c>
      <c r="I263" s="1">
        <v>0</v>
      </c>
      <c r="J263" s="47">
        <v>45809</v>
      </c>
      <c r="K263" s="53">
        <f t="shared" si="19"/>
        <v>0</v>
      </c>
      <c r="L263" s="53">
        <f t="shared" si="20"/>
        <v>0</v>
      </c>
      <c r="M263" s="54">
        <f t="shared" si="21"/>
        <v>0</v>
      </c>
      <c r="N263" s="54">
        <f t="shared" si="22"/>
        <v>0</v>
      </c>
    </row>
    <row r="264" spans="1:14" ht="34.35" customHeight="1">
      <c r="A264" s="32" t="s">
        <v>741</v>
      </c>
      <c r="B264" s="37" t="s">
        <v>325</v>
      </c>
      <c r="C264" s="13"/>
      <c r="D264" s="5" t="s">
        <v>338</v>
      </c>
      <c r="E264" s="5"/>
      <c r="F264" s="14" t="s">
        <v>136</v>
      </c>
      <c r="G264" s="2" t="s">
        <v>316</v>
      </c>
      <c r="H264" s="2" t="s">
        <v>40</v>
      </c>
      <c r="I264" s="1">
        <v>0</v>
      </c>
      <c r="J264" s="47">
        <v>45809</v>
      </c>
      <c r="K264" s="53">
        <f t="shared" si="19"/>
        <v>0</v>
      </c>
      <c r="L264" s="53">
        <f t="shared" si="20"/>
        <v>0</v>
      </c>
      <c r="M264" s="54">
        <f t="shared" si="21"/>
        <v>0</v>
      </c>
      <c r="N264" s="54">
        <f t="shared" si="22"/>
        <v>0</v>
      </c>
    </row>
    <row r="265" spans="1:14" ht="34.35" customHeight="1">
      <c r="A265" s="32" t="s">
        <v>741</v>
      </c>
      <c r="B265" s="37" t="s">
        <v>325</v>
      </c>
      <c r="C265" s="13">
        <v>36</v>
      </c>
      <c r="D265" s="5" t="s">
        <v>339</v>
      </c>
      <c r="E265" s="1" t="s">
        <v>465</v>
      </c>
      <c r="F265" s="14" t="s">
        <v>133</v>
      </c>
      <c r="G265" s="2" t="s">
        <v>340</v>
      </c>
      <c r="H265" s="2" t="s">
        <v>341</v>
      </c>
      <c r="I265" s="19">
        <v>5.0000000000000001E-3</v>
      </c>
      <c r="J265" s="47">
        <v>45809</v>
      </c>
      <c r="K265" s="53">
        <f t="shared" si="19"/>
        <v>0</v>
      </c>
      <c r="L265" s="53">
        <f t="shared" si="20"/>
        <v>0</v>
      </c>
      <c r="M265" s="54">
        <f t="shared" si="21"/>
        <v>0</v>
      </c>
      <c r="N265" s="54">
        <f t="shared" si="22"/>
        <v>0</v>
      </c>
    </row>
    <row r="266" spans="1:14" ht="34.35" customHeight="1">
      <c r="A266" s="32" t="s">
        <v>741</v>
      </c>
      <c r="B266" s="37" t="s">
        <v>325</v>
      </c>
      <c r="C266" s="13"/>
      <c r="D266" s="5" t="s">
        <v>339</v>
      </c>
      <c r="E266" s="5"/>
      <c r="F266" s="14" t="s">
        <v>136</v>
      </c>
      <c r="G266" s="2" t="s">
        <v>340</v>
      </c>
      <c r="H266" s="2" t="s">
        <v>341</v>
      </c>
      <c r="I266" s="18" t="s">
        <v>41</v>
      </c>
      <c r="J266" s="47">
        <v>45809</v>
      </c>
      <c r="K266" s="53" t="str">
        <f t="shared" si="19"/>
        <v>-</v>
      </c>
      <c r="L266" s="53" t="str">
        <f t="shared" si="20"/>
        <v>-</v>
      </c>
      <c r="M266" s="54" t="str">
        <f t="shared" si="21"/>
        <v>-</v>
      </c>
      <c r="N266" s="54" t="str">
        <f t="shared" si="22"/>
        <v>-</v>
      </c>
    </row>
    <row r="267" spans="1:14" ht="34.35" customHeight="1">
      <c r="A267" s="32" t="s">
        <v>741</v>
      </c>
      <c r="B267" s="37" t="s">
        <v>325</v>
      </c>
      <c r="C267" s="13">
        <v>37</v>
      </c>
      <c r="D267" s="5" t="s">
        <v>342</v>
      </c>
      <c r="E267" s="5"/>
      <c r="F267" s="14" t="s">
        <v>133</v>
      </c>
      <c r="G267" s="2" t="s">
        <v>106</v>
      </c>
      <c r="H267" s="2" t="s">
        <v>285</v>
      </c>
      <c r="I267" s="55">
        <v>0.12</v>
      </c>
      <c r="J267" s="47">
        <v>45809</v>
      </c>
      <c r="K267" s="53">
        <f t="shared" si="19"/>
        <v>0.01</v>
      </c>
      <c r="L267" s="53">
        <f t="shared" si="20"/>
        <v>0.01</v>
      </c>
      <c r="M267" s="54">
        <f t="shared" si="21"/>
        <v>0.01</v>
      </c>
      <c r="N267" s="54">
        <f t="shared" si="22"/>
        <v>0.01</v>
      </c>
    </row>
    <row r="268" spans="1:14" ht="34.35" customHeight="1">
      <c r="A268" s="32" t="s">
        <v>741</v>
      </c>
      <c r="B268" s="37" t="s">
        <v>325</v>
      </c>
      <c r="C268" s="13"/>
      <c r="D268" s="5" t="s">
        <v>342</v>
      </c>
      <c r="E268" s="5"/>
      <c r="F268" s="14" t="s">
        <v>136</v>
      </c>
      <c r="G268" s="2" t="s">
        <v>106</v>
      </c>
      <c r="H268" s="2" t="s">
        <v>285</v>
      </c>
      <c r="I268" s="44">
        <v>30</v>
      </c>
      <c r="J268" s="47">
        <v>45809</v>
      </c>
      <c r="K268" s="53">
        <f t="shared" si="19"/>
        <v>2.5</v>
      </c>
      <c r="L268" s="53">
        <f t="shared" si="20"/>
        <v>2.5</v>
      </c>
      <c r="M268" s="54">
        <f t="shared" si="21"/>
        <v>2.5</v>
      </c>
      <c r="N268" s="54">
        <f t="shared" si="22"/>
        <v>2.5</v>
      </c>
    </row>
    <row r="269" spans="1:14" ht="34.35" customHeight="1">
      <c r="A269" s="32" t="s">
        <v>741</v>
      </c>
      <c r="B269" s="37" t="s">
        <v>325</v>
      </c>
      <c r="C269" s="13">
        <v>38</v>
      </c>
      <c r="D269" s="6" t="s">
        <v>343</v>
      </c>
      <c r="E269" s="6"/>
      <c r="F269" s="14" t="s">
        <v>38</v>
      </c>
      <c r="G269" s="2" t="s">
        <v>105</v>
      </c>
      <c r="H269" s="2"/>
      <c r="I269" s="3"/>
      <c r="J269" s="47">
        <v>45809</v>
      </c>
      <c r="K269" s="53">
        <f t="shared" si="19"/>
        <v>0</v>
      </c>
      <c r="L269" s="53">
        <f t="shared" si="20"/>
        <v>0</v>
      </c>
      <c r="M269" s="54">
        <f t="shared" si="21"/>
        <v>0</v>
      </c>
      <c r="N269" s="54">
        <f t="shared" si="22"/>
        <v>0</v>
      </c>
    </row>
    <row r="270" spans="1:14" ht="34.35" customHeight="1">
      <c r="A270" s="32" t="s">
        <v>741</v>
      </c>
      <c r="B270" s="37" t="s">
        <v>325</v>
      </c>
      <c r="C270" s="13"/>
      <c r="D270" s="6" t="s">
        <v>343</v>
      </c>
      <c r="E270" s="6"/>
      <c r="F270" s="14" t="s">
        <v>136</v>
      </c>
      <c r="G270" s="2" t="s">
        <v>105</v>
      </c>
      <c r="H270" s="2"/>
      <c r="I270" s="3"/>
      <c r="J270" s="47">
        <v>45809</v>
      </c>
      <c r="K270" s="53">
        <f t="shared" si="19"/>
        <v>0</v>
      </c>
      <c r="L270" s="53">
        <f t="shared" si="20"/>
        <v>0</v>
      </c>
      <c r="M270" s="54">
        <f t="shared" si="21"/>
        <v>0</v>
      </c>
      <c r="N270" s="54">
        <f t="shared" si="22"/>
        <v>0</v>
      </c>
    </row>
    <row r="271" spans="1:14" ht="34.35" customHeight="1">
      <c r="A271" s="32" t="s">
        <v>741</v>
      </c>
      <c r="B271" s="37" t="s">
        <v>325</v>
      </c>
      <c r="C271" s="29">
        <v>39</v>
      </c>
      <c r="D271" s="5" t="s">
        <v>344</v>
      </c>
      <c r="E271" s="5"/>
      <c r="F271" s="14" t="s">
        <v>136</v>
      </c>
      <c r="G271" s="2" t="s">
        <v>110</v>
      </c>
      <c r="H271" s="2" t="s">
        <v>345</v>
      </c>
      <c r="I271" s="3">
        <v>3.17</v>
      </c>
      <c r="J271" s="47">
        <v>45809</v>
      </c>
      <c r="K271" s="53">
        <f t="shared" si="19"/>
        <v>0.26</v>
      </c>
      <c r="L271" s="53">
        <f t="shared" si="20"/>
        <v>0.26</v>
      </c>
      <c r="M271" s="54">
        <f t="shared" si="21"/>
        <v>0.26</v>
      </c>
      <c r="N271" s="54">
        <f t="shared" si="22"/>
        <v>0.26</v>
      </c>
    </row>
    <row r="272" spans="1:14" ht="34.35" customHeight="1">
      <c r="A272" s="32" t="s">
        <v>741</v>
      </c>
      <c r="B272" s="37" t="s">
        <v>325</v>
      </c>
      <c r="C272" s="29">
        <v>40</v>
      </c>
      <c r="D272" s="5" t="s">
        <v>346</v>
      </c>
      <c r="E272" s="5"/>
      <c r="F272" s="14" t="s">
        <v>136</v>
      </c>
      <c r="G272" s="2" t="s">
        <v>110</v>
      </c>
      <c r="H272" s="2" t="s">
        <v>345</v>
      </c>
      <c r="I272" s="3">
        <v>5.84</v>
      </c>
      <c r="J272" s="47">
        <v>45809</v>
      </c>
      <c r="K272" s="53">
        <f t="shared" si="19"/>
        <v>0.49</v>
      </c>
      <c r="L272" s="53">
        <f t="shared" si="20"/>
        <v>0.49</v>
      </c>
      <c r="M272" s="54">
        <f t="shared" si="21"/>
        <v>0.49</v>
      </c>
      <c r="N272" s="54">
        <f t="shared" si="22"/>
        <v>0.49</v>
      </c>
    </row>
    <row r="273" spans="1:14" ht="34.35" customHeight="1">
      <c r="A273" s="32" t="s">
        <v>741</v>
      </c>
      <c r="B273" s="37" t="s">
        <v>325</v>
      </c>
      <c r="C273" s="13">
        <v>41</v>
      </c>
      <c r="D273" s="5" t="s">
        <v>347</v>
      </c>
      <c r="E273" s="5"/>
      <c r="F273" s="14" t="s">
        <v>38</v>
      </c>
      <c r="G273" s="2" t="s">
        <v>106</v>
      </c>
      <c r="H273" s="2" t="s">
        <v>285</v>
      </c>
      <c r="I273" s="44">
        <v>60</v>
      </c>
      <c r="J273" s="47">
        <v>45809</v>
      </c>
      <c r="K273" s="53">
        <f t="shared" si="19"/>
        <v>5</v>
      </c>
      <c r="L273" s="53">
        <f t="shared" si="20"/>
        <v>5</v>
      </c>
      <c r="M273" s="54">
        <f t="shared" si="21"/>
        <v>5</v>
      </c>
      <c r="N273" s="54">
        <f t="shared" si="22"/>
        <v>5</v>
      </c>
    </row>
    <row r="274" spans="1:14" ht="34.35" customHeight="1">
      <c r="A274" s="32" t="s">
        <v>741</v>
      </c>
      <c r="B274" s="37" t="s">
        <v>325</v>
      </c>
      <c r="C274" s="13"/>
      <c r="D274" s="5" t="s">
        <v>347</v>
      </c>
      <c r="E274" s="5"/>
      <c r="F274" s="14" t="s">
        <v>136</v>
      </c>
      <c r="G274" s="2" t="s">
        <v>106</v>
      </c>
      <c r="H274" s="2" t="s">
        <v>285</v>
      </c>
      <c r="I274" s="44">
        <v>500</v>
      </c>
      <c r="J274" s="47">
        <v>45809</v>
      </c>
      <c r="K274" s="53">
        <f t="shared" si="19"/>
        <v>41.67</v>
      </c>
      <c r="L274" s="53">
        <f t="shared" si="20"/>
        <v>41.67</v>
      </c>
      <c r="M274" s="54">
        <f t="shared" si="21"/>
        <v>41.67</v>
      </c>
      <c r="N274" s="54">
        <f t="shared" si="22"/>
        <v>41.67</v>
      </c>
    </row>
    <row r="275" spans="1:14" ht="34.35" customHeight="1">
      <c r="A275" s="32" t="s">
        <v>741</v>
      </c>
      <c r="B275" s="37" t="s">
        <v>325</v>
      </c>
      <c r="C275" s="29">
        <v>42</v>
      </c>
      <c r="D275" s="5" t="s">
        <v>349</v>
      </c>
      <c r="E275" s="5"/>
      <c r="F275" s="14" t="s">
        <v>136</v>
      </c>
      <c r="G275" s="2" t="s">
        <v>340</v>
      </c>
      <c r="H275" s="2" t="s">
        <v>134</v>
      </c>
      <c r="I275" s="3">
        <v>5.4</v>
      </c>
      <c r="J275" s="47">
        <v>45809</v>
      </c>
      <c r="K275" s="53">
        <f t="shared" ref="K275:K289" si="23">IF(I275=0,0,IF(I275="-","-",ROUND(I275/12,2)))</f>
        <v>0.45</v>
      </c>
      <c r="L275" s="53">
        <f t="shared" ref="L275:L313" si="24">K275</f>
        <v>0.45</v>
      </c>
      <c r="M275" s="54">
        <f t="shared" ref="M275:M313" si="25">K275</f>
        <v>0.45</v>
      </c>
      <c r="N275" s="54">
        <f t="shared" ref="N275:N313" si="26">L275</f>
        <v>0.45</v>
      </c>
    </row>
    <row r="276" spans="1:14" ht="34.35" customHeight="1">
      <c r="A276" s="32" t="s">
        <v>741</v>
      </c>
      <c r="B276" s="37" t="s">
        <v>325</v>
      </c>
      <c r="C276" s="13">
        <v>43</v>
      </c>
      <c r="D276" s="5" t="s">
        <v>350</v>
      </c>
      <c r="E276" s="5"/>
      <c r="F276" s="14" t="s">
        <v>38</v>
      </c>
      <c r="G276" s="2" t="s">
        <v>106</v>
      </c>
      <c r="H276" s="2" t="s">
        <v>134</v>
      </c>
      <c r="I276" s="44">
        <v>200</v>
      </c>
      <c r="J276" s="47">
        <v>45809</v>
      </c>
      <c r="K276" s="53">
        <f t="shared" si="23"/>
        <v>16.670000000000002</v>
      </c>
      <c r="L276" s="53">
        <f t="shared" si="24"/>
        <v>16.670000000000002</v>
      </c>
      <c r="M276" s="54">
        <f t="shared" si="25"/>
        <v>16.670000000000002</v>
      </c>
      <c r="N276" s="54">
        <f t="shared" si="26"/>
        <v>16.670000000000002</v>
      </c>
    </row>
    <row r="277" spans="1:14" ht="34.35" customHeight="1">
      <c r="A277" s="32" t="s">
        <v>741</v>
      </c>
      <c r="B277" s="37" t="s">
        <v>325</v>
      </c>
      <c r="C277" s="13"/>
      <c r="D277" s="5" t="s">
        <v>350</v>
      </c>
      <c r="E277" s="5"/>
      <c r="F277" s="14" t="s">
        <v>136</v>
      </c>
      <c r="G277" s="2" t="s">
        <v>106</v>
      </c>
      <c r="H277" s="2" t="s">
        <v>134</v>
      </c>
      <c r="I277" s="44">
        <v>90</v>
      </c>
      <c r="J277" s="47">
        <v>45809</v>
      </c>
      <c r="K277" s="53">
        <f t="shared" si="23"/>
        <v>7.5</v>
      </c>
      <c r="L277" s="53">
        <f t="shared" si="24"/>
        <v>7.5</v>
      </c>
      <c r="M277" s="54">
        <f t="shared" si="25"/>
        <v>7.5</v>
      </c>
      <c r="N277" s="54">
        <f t="shared" si="26"/>
        <v>7.5</v>
      </c>
    </row>
    <row r="278" spans="1:14" ht="34.35" customHeight="1">
      <c r="A278" s="32" t="s">
        <v>741</v>
      </c>
      <c r="B278" s="15" t="s">
        <v>351</v>
      </c>
      <c r="C278" s="29">
        <v>44</v>
      </c>
      <c r="D278" s="7" t="s">
        <v>41</v>
      </c>
      <c r="E278" s="3" t="s">
        <v>352</v>
      </c>
      <c r="F278" s="14" t="s">
        <v>353</v>
      </c>
      <c r="G278" s="2" t="s">
        <v>489</v>
      </c>
      <c r="H278" s="28" t="s">
        <v>40</v>
      </c>
      <c r="I278" s="41">
        <v>1.2</v>
      </c>
      <c r="J278" s="47">
        <v>45809</v>
      </c>
      <c r="K278" s="53">
        <f t="shared" si="23"/>
        <v>0.1</v>
      </c>
      <c r="L278" s="53">
        <f t="shared" si="24"/>
        <v>0.1</v>
      </c>
      <c r="M278" s="54">
        <f t="shared" si="25"/>
        <v>0.1</v>
      </c>
      <c r="N278" s="54">
        <f t="shared" si="26"/>
        <v>0.1</v>
      </c>
    </row>
    <row r="279" spans="1:14" ht="34.35" customHeight="1">
      <c r="A279" s="32" t="s">
        <v>741</v>
      </c>
      <c r="B279" s="10" t="s">
        <v>354</v>
      </c>
      <c r="C279" s="29">
        <v>45</v>
      </c>
      <c r="D279" s="7" t="s">
        <v>41</v>
      </c>
      <c r="E279" s="1" t="s">
        <v>466</v>
      </c>
      <c r="F279" s="14" t="s">
        <v>353</v>
      </c>
      <c r="G279" s="2" t="s">
        <v>327</v>
      </c>
      <c r="H279" s="28" t="s">
        <v>40</v>
      </c>
      <c r="I279" s="1">
        <v>0</v>
      </c>
      <c r="J279" s="47">
        <v>45809</v>
      </c>
      <c r="K279" s="53">
        <f t="shared" si="23"/>
        <v>0</v>
      </c>
      <c r="L279" s="53">
        <f t="shared" si="24"/>
        <v>0</v>
      </c>
      <c r="M279" s="54">
        <f t="shared" si="25"/>
        <v>0</v>
      </c>
      <c r="N279" s="54">
        <f t="shared" si="26"/>
        <v>0</v>
      </c>
    </row>
    <row r="280" spans="1:14" ht="34.35" customHeight="1">
      <c r="A280" s="32" t="s">
        <v>741</v>
      </c>
      <c r="B280" s="10" t="s">
        <v>356</v>
      </c>
      <c r="C280" s="29">
        <v>46</v>
      </c>
      <c r="D280" s="7" t="s">
        <v>41</v>
      </c>
      <c r="E280" s="1" t="s">
        <v>466</v>
      </c>
      <c r="F280" s="14" t="s">
        <v>353</v>
      </c>
      <c r="G280" s="2" t="s">
        <v>321</v>
      </c>
      <c r="H280" s="28" t="s">
        <v>40</v>
      </c>
      <c r="I280" s="1">
        <v>0</v>
      </c>
      <c r="J280" s="47">
        <v>45809</v>
      </c>
      <c r="K280" s="53">
        <f t="shared" si="23"/>
        <v>0</v>
      </c>
      <c r="L280" s="53">
        <f t="shared" si="24"/>
        <v>0</v>
      </c>
      <c r="M280" s="54">
        <f t="shared" si="25"/>
        <v>0</v>
      </c>
      <c r="N280" s="54">
        <f t="shared" si="26"/>
        <v>0</v>
      </c>
    </row>
    <row r="281" spans="1:14" ht="34.35" customHeight="1">
      <c r="A281" s="32" t="s">
        <v>742</v>
      </c>
      <c r="B281" s="11" t="s">
        <v>357</v>
      </c>
      <c r="C281" s="29">
        <v>62</v>
      </c>
      <c r="D281" s="7" t="s">
        <v>41</v>
      </c>
      <c r="E281" s="7"/>
      <c r="F281" s="14" t="s">
        <v>38</v>
      </c>
      <c r="G281" s="2" t="s">
        <v>489</v>
      </c>
      <c r="H281" s="4"/>
      <c r="I281" s="1"/>
      <c r="J281" s="47">
        <v>45809</v>
      </c>
      <c r="K281" s="53">
        <f t="shared" si="23"/>
        <v>0</v>
      </c>
      <c r="L281" s="53">
        <f t="shared" si="24"/>
        <v>0</v>
      </c>
      <c r="M281" s="54">
        <f t="shared" si="25"/>
        <v>0</v>
      </c>
      <c r="N281" s="54">
        <f t="shared" si="26"/>
        <v>0</v>
      </c>
    </row>
    <row r="282" spans="1:14" ht="34.35" customHeight="1">
      <c r="A282" s="32" t="s">
        <v>742</v>
      </c>
      <c r="B282" s="30" t="s">
        <v>467</v>
      </c>
      <c r="C282" s="29">
        <v>63</v>
      </c>
      <c r="D282" s="6" t="s">
        <v>468</v>
      </c>
      <c r="E282" s="6"/>
      <c r="F282" s="14" t="s">
        <v>469</v>
      </c>
      <c r="G282" s="2" t="s">
        <v>470</v>
      </c>
      <c r="H282" s="2" t="s">
        <v>40</v>
      </c>
      <c r="I282" s="17"/>
      <c r="J282" s="47">
        <v>45809</v>
      </c>
      <c r="K282" s="53">
        <f t="shared" si="23"/>
        <v>0</v>
      </c>
      <c r="L282" s="53">
        <f t="shared" si="24"/>
        <v>0</v>
      </c>
      <c r="M282" s="54">
        <f t="shared" si="25"/>
        <v>0</v>
      </c>
      <c r="N282" s="54">
        <f t="shared" si="26"/>
        <v>0</v>
      </c>
    </row>
    <row r="283" spans="1:14" ht="34.35" customHeight="1">
      <c r="A283" s="32" t="s">
        <v>742</v>
      </c>
      <c r="B283" s="30" t="s">
        <v>467</v>
      </c>
      <c r="C283" s="29">
        <v>64</v>
      </c>
      <c r="D283" s="6" t="s">
        <v>472</v>
      </c>
      <c r="E283" s="6"/>
      <c r="F283" s="14" t="s">
        <v>473</v>
      </c>
      <c r="G283" s="2" t="s">
        <v>470</v>
      </c>
      <c r="H283" s="2" t="s">
        <v>40</v>
      </c>
      <c r="I283" s="1"/>
      <c r="J283" s="47">
        <v>45809</v>
      </c>
      <c r="K283" s="53">
        <f t="shared" si="23"/>
        <v>0</v>
      </c>
      <c r="L283" s="53">
        <f t="shared" si="24"/>
        <v>0</v>
      </c>
      <c r="M283" s="54">
        <f t="shared" si="25"/>
        <v>0</v>
      </c>
      <c r="N283" s="54">
        <f t="shared" si="26"/>
        <v>0</v>
      </c>
    </row>
    <row r="284" spans="1:14" ht="34.35" customHeight="1">
      <c r="A284" s="32" t="s">
        <v>742</v>
      </c>
      <c r="B284" s="30" t="s">
        <v>467</v>
      </c>
      <c r="C284" s="29">
        <v>65</v>
      </c>
      <c r="D284" s="6" t="s">
        <v>475</v>
      </c>
      <c r="E284" s="6"/>
      <c r="F284" s="22" t="s">
        <v>133</v>
      </c>
      <c r="G284" s="2" t="s">
        <v>470</v>
      </c>
      <c r="H284" s="2" t="s">
        <v>477</v>
      </c>
      <c r="I284" s="17">
        <v>1</v>
      </c>
      <c r="J284" s="47">
        <v>45809</v>
      </c>
      <c r="K284" s="53">
        <f t="shared" si="23"/>
        <v>0.08</v>
      </c>
      <c r="L284" s="53">
        <f t="shared" si="24"/>
        <v>0.08</v>
      </c>
      <c r="M284" s="54">
        <f t="shared" si="25"/>
        <v>0.08</v>
      </c>
      <c r="N284" s="54">
        <f t="shared" si="26"/>
        <v>0.08</v>
      </c>
    </row>
    <row r="285" spans="1:14" ht="34.35" customHeight="1">
      <c r="A285" s="32" t="s">
        <v>742</v>
      </c>
      <c r="B285" s="30" t="s">
        <v>467</v>
      </c>
      <c r="C285" s="29">
        <v>66</v>
      </c>
      <c r="D285" s="6" t="s">
        <v>481</v>
      </c>
      <c r="E285" s="6"/>
      <c r="F285" s="14" t="s">
        <v>38</v>
      </c>
      <c r="G285" s="2" t="s">
        <v>470</v>
      </c>
      <c r="H285" s="2" t="s">
        <v>40</v>
      </c>
      <c r="I285" s="1"/>
      <c r="J285" s="47">
        <v>45809</v>
      </c>
      <c r="K285" s="53">
        <f t="shared" si="23"/>
        <v>0</v>
      </c>
      <c r="L285" s="53">
        <f t="shared" si="24"/>
        <v>0</v>
      </c>
      <c r="M285" s="54">
        <f t="shared" si="25"/>
        <v>0</v>
      </c>
      <c r="N285" s="54">
        <f t="shared" si="26"/>
        <v>0</v>
      </c>
    </row>
    <row r="286" spans="1:14" ht="34.35" customHeight="1">
      <c r="A286" s="32" t="s">
        <v>742</v>
      </c>
      <c r="B286" s="30" t="s">
        <v>467</v>
      </c>
      <c r="C286" s="29">
        <v>67</v>
      </c>
      <c r="D286" s="6" t="s">
        <v>484</v>
      </c>
      <c r="E286" s="6"/>
      <c r="F286" s="14" t="s">
        <v>38</v>
      </c>
      <c r="G286" s="2" t="s">
        <v>470</v>
      </c>
      <c r="H286" s="2" t="s">
        <v>40</v>
      </c>
      <c r="I286" s="17"/>
      <c r="J286" s="47">
        <v>45809</v>
      </c>
      <c r="K286" s="53">
        <f t="shared" si="23"/>
        <v>0</v>
      </c>
      <c r="L286" s="53">
        <f t="shared" si="24"/>
        <v>0</v>
      </c>
      <c r="M286" s="54">
        <f t="shared" si="25"/>
        <v>0</v>
      </c>
      <c r="N286" s="54">
        <f t="shared" si="26"/>
        <v>0</v>
      </c>
    </row>
    <row r="287" spans="1:14" ht="34.35" customHeight="1">
      <c r="A287" s="32" t="s">
        <v>742</v>
      </c>
      <c r="B287" s="12" t="s">
        <v>487</v>
      </c>
      <c r="C287" s="29">
        <v>68</v>
      </c>
      <c r="D287" s="6" t="s">
        <v>41</v>
      </c>
      <c r="E287" s="6"/>
      <c r="F287" s="14" t="s">
        <v>38</v>
      </c>
      <c r="G287" s="2" t="s">
        <v>134</v>
      </c>
      <c r="H287" s="2" t="s">
        <v>40</v>
      </c>
      <c r="I287" s="17"/>
      <c r="J287" s="47">
        <v>45809</v>
      </c>
      <c r="K287" s="53">
        <f t="shared" si="23"/>
        <v>0</v>
      </c>
      <c r="L287" s="53">
        <f t="shared" si="24"/>
        <v>0</v>
      </c>
      <c r="M287" s="54">
        <f t="shared" si="25"/>
        <v>0</v>
      </c>
      <c r="N287" s="54">
        <f t="shared" si="26"/>
        <v>0</v>
      </c>
    </row>
    <row r="288" spans="1:14" ht="34.35" customHeight="1">
      <c r="A288" s="32" t="s">
        <v>742</v>
      </c>
      <c r="B288" s="11" t="s">
        <v>488</v>
      </c>
      <c r="C288" s="29">
        <v>69</v>
      </c>
      <c r="D288" s="6" t="s">
        <v>41</v>
      </c>
      <c r="E288" s="17" t="s">
        <v>743</v>
      </c>
      <c r="F288" s="14" t="s">
        <v>38</v>
      </c>
      <c r="G288" s="2" t="s">
        <v>489</v>
      </c>
      <c r="H288" s="2" t="s">
        <v>40</v>
      </c>
      <c r="I288" s="45">
        <v>3.2</v>
      </c>
      <c r="J288" s="47">
        <v>45809</v>
      </c>
      <c r="K288" s="53">
        <f t="shared" si="23"/>
        <v>0.27</v>
      </c>
      <c r="L288" s="53">
        <f t="shared" si="24"/>
        <v>0.27</v>
      </c>
      <c r="M288" s="54">
        <f t="shared" si="25"/>
        <v>0.27</v>
      </c>
      <c r="N288" s="54">
        <f t="shared" si="26"/>
        <v>0.27</v>
      </c>
    </row>
    <row r="289" spans="1:14" ht="34.35" customHeight="1">
      <c r="A289" s="32" t="s">
        <v>744</v>
      </c>
      <c r="B289" s="11" t="s">
        <v>745</v>
      </c>
      <c r="C289" s="29">
        <v>70</v>
      </c>
      <c r="D289" s="6" t="s">
        <v>504</v>
      </c>
      <c r="E289" s="21" t="s">
        <v>746</v>
      </c>
      <c r="F289" s="14" t="s">
        <v>38</v>
      </c>
      <c r="G289" s="2" t="s">
        <v>109</v>
      </c>
      <c r="H289" s="2" t="s">
        <v>40</v>
      </c>
      <c r="I289" s="21">
        <v>0.33</v>
      </c>
      <c r="J289" s="47">
        <v>45809</v>
      </c>
      <c r="K289" s="53">
        <f t="shared" si="23"/>
        <v>0.03</v>
      </c>
      <c r="L289" s="53">
        <f t="shared" si="24"/>
        <v>0.03</v>
      </c>
      <c r="M289" s="54">
        <f t="shared" si="25"/>
        <v>0.03</v>
      </c>
      <c r="N289" s="54">
        <f t="shared" si="26"/>
        <v>0.03</v>
      </c>
    </row>
    <row r="290" spans="1:14" ht="34.35" customHeight="1">
      <c r="A290" s="32" t="s">
        <v>744</v>
      </c>
      <c r="B290" s="11" t="s">
        <v>745</v>
      </c>
      <c r="C290" s="29"/>
      <c r="D290" s="6" t="s">
        <v>508</v>
      </c>
      <c r="E290" s="21" t="s">
        <v>585</v>
      </c>
      <c r="F290" s="14"/>
      <c r="G290" s="2"/>
      <c r="H290" s="2" t="s">
        <v>40</v>
      </c>
      <c r="I290" s="21">
        <v>0.1</v>
      </c>
      <c r="J290" s="47">
        <v>45809</v>
      </c>
      <c r="K290" s="53">
        <f>IF(I290=0,0,IF(I290="-","-",ROUND(I290/12,2)))</f>
        <v>0.01</v>
      </c>
      <c r="L290" s="53">
        <f t="shared" si="24"/>
        <v>0.01</v>
      </c>
      <c r="M290" s="54">
        <f t="shared" si="25"/>
        <v>0.01</v>
      </c>
      <c r="N290" s="54">
        <f t="shared" si="26"/>
        <v>0.01</v>
      </c>
    </row>
    <row r="291" spans="1:14" ht="34.35" customHeight="1">
      <c r="A291" s="32" t="s">
        <v>744</v>
      </c>
      <c r="B291" s="11" t="s">
        <v>516</v>
      </c>
      <c r="C291" s="29">
        <v>71</v>
      </c>
      <c r="D291" s="6" t="s">
        <v>41</v>
      </c>
      <c r="E291" s="1" t="s">
        <v>519</v>
      </c>
      <c r="F291" s="14" t="s">
        <v>38</v>
      </c>
      <c r="G291" s="2" t="s">
        <v>510</v>
      </c>
      <c r="H291" s="2"/>
      <c r="I291" s="1">
        <v>70</v>
      </c>
      <c r="J291" s="47">
        <v>45809</v>
      </c>
      <c r="K291" s="53">
        <f t="shared" ref="K291:K313" si="27">IF(I291=0,0,IF(I291="-","-",ROUND(I291/12,2)))</f>
        <v>5.83</v>
      </c>
      <c r="L291" s="53">
        <f t="shared" si="24"/>
        <v>5.83</v>
      </c>
      <c r="M291" s="54">
        <f t="shared" si="25"/>
        <v>5.83</v>
      </c>
      <c r="N291" s="54">
        <f t="shared" si="26"/>
        <v>5.83</v>
      </c>
    </row>
    <row r="292" spans="1:14" ht="34.35" customHeight="1">
      <c r="A292" s="38" t="s">
        <v>747</v>
      </c>
      <c r="B292" s="37" t="s">
        <v>586</v>
      </c>
      <c r="C292" s="13">
        <v>54</v>
      </c>
      <c r="D292" s="5" t="s">
        <v>587</v>
      </c>
      <c r="E292" s="3" t="s">
        <v>588</v>
      </c>
      <c r="F292" s="14" t="s">
        <v>589</v>
      </c>
      <c r="G292" s="2" t="s">
        <v>106</v>
      </c>
      <c r="H292" s="2" t="s">
        <v>40</v>
      </c>
      <c r="I292" s="42">
        <v>40244</v>
      </c>
      <c r="J292" s="47">
        <v>45809</v>
      </c>
      <c r="K292" s="53">
        <f t="shared" si="27"/>
        <v>3353.67</v>
      </c>
      <c r="L292" s="53">
        <f t="shared" si="24"/>
        <v>3353.67</v>
      </c>
      <c r="M292" s="54">
        <f t="shared" si="25"/>
        <v>3353.67</v>
      </c>
      <c r="N292" s="54">
        <f t="shared" si="26"/>
        <v>3353.67</v>
      </c>
    </row>
    <row r="293" spans="1:14" ht="34.35" customHeight="1">
      <c r="A293" s="38" t="s">
        <v>747</v>
      </c>
      <c r="B293" s="37" t="s">
        <v>586</v>
      </c>
      <c r="C293" s="13"/>
      <c r="D293" s="5" t="s">
        <v>593</v>
      </c>
      <c r="E293" s="5"/>
      <c r="F293" s="14" t="s">
        <v>714</v>
      </c>
      <c r="G293" s="2" t="s">
        <v>106</v>
      </c>
      <c r="H293" s="2" t="s">
        <v>40</v>
      </c>
      <c r="I293" s="21">
        <v>-0.02</v>
      </c>
      <c r="J293" s="47">
        <v>45809</v>
      </c>
      <c r="K293" s="53">
        <f t="shared" si="27"/>
        <v>0</v>
      </c>
      <c r="L293" s="53">
        <f t="shared" si="24"/>
        <v>0</v>
      </c>
      <c r="M293" s="54">
        <f t="shared" si="25"/>
        <v>0</v>
      </c>
      <c r="N293" s="54">
        <f t="shared" si="26"/>
        <v>0</v>
      </c>
    </row>
    <row r="294" spans="1:14" ht="34.35" customHeight="1">
      <c r="A294" s="38" t="s">
        <v>747</v>
      </c>
      <c r="B294" s="37" t="s">
        <v>586</v>
      </c>
      <c r="C294" s="13">
        <v>55</v>
      </c>
      <c r="D294" s="5" t="s">
        <v>595</v>
      </c>
      <c r="E294" s="5"/>
      <c r="F294" s="14" t="s">
        <v>133</v>
      </c>
      <c r="G294" s="2" t="s">
        <v>106</v>
      </c>
      <c r="H294" s="2" t="s">
        <v>597</v>
      </c>
      <c r="I294" s="17">
        <v>-7.0000000000000007E-2</v>
      </c>
      <c r="J294" s="47">
        <v>45809</v>
      </c>
      <c r="K294" s="53">
        <f t="shared" si="27"/>
        <v>-0.01</v>
      </c>
      <c r="L294" s="53">
        <f t="shared" si="24"/>
        <v>-0.01</v>
      </c>
      <c r="M294" s="54">
        <f t="shared" si="25"/>
        <v>-0.01</v>
      </c>
      <c r="N294" s="54">
        <f t="shared" si="26"/>
        <v>-0.01</v>
      </c>
    </row>
    <row r="295" spans="1:14" ht="34.35" customHeight="1">
      <c r="A295" s="38" t="s">
        <v>747</v>
      </c>
      <c r="B295" s="37" t="s">
        <v>586</v>
      </c>
      <c r="C295" s="13"/>
      <c r="D295" s="5" t="s">
        <v>595</v>
      </c>
      <c r="E295" s="5"/>
      <c r="F295" s="14" t="s">
        <v>589</v>
      </c>
      <c r="G295" s="2" t="s">
        <v>106</v>
      </c>
      <c r="H295" s="2" t="s">
        <v>597</v>
      </c>
      <c r="I295" s="26">
        <v>-3020</v>
      </c>
      <c r="J295" s="47">
        <v>45809</v>
      </c>
      <c r="K295" s="53">
        <f t="shared" si="27"/>
        <v>-251.67</v>
      </c>
      <c r="L295" s="53">
        <f t="shared" si="24"/>
        <v>-251.67</v>
      </c>
      <c r="M295" s="54">
        <f t="shared" si="25"/>
        <v>-251.67</v>
      </c>
      <c r="N295" s="54">
        <f t="shared" si="26"/>
        <v>-251.67</v>
      </c>
    </row>
    <row r="296" spans="1:14" ht="34.35" customHeight="1">
      <c r="A296" s="38" t="s">
        <v>747</v>
      </c>
      <c r="B296" s="37" t="s">
        <v>586</v>
      </c>
      <c r="C296" s="13">
        <v>56</v>
      </c>
      <c r="D296" s="25" t="s">
        <v>599</v>
      </c>
      <c r="E296" s="25"/>
      <c r="F296" s="14" t="s">
        <v>288</v>
      </c>
      <c r="G296" s="2" t="s">
        <v>106</v>
      </c>
      <c r="H296" s="2" t="s">
        <v>40</v>
      </c>
      <c r="I296" s="1">
        <v>39</v>
      </c>
      <c r="J296" s="47">
        <v>45809</v>
      </c>
      <c r="K296" s="53">
        <f t="shared" si="27"/>
        <v>3.25</v>
      </c>
      <c r="L296" s="53">
        <f t="shared" si="24"/>
        <v>3.25</v>
      </c>
      <c r="M296" s="54">
        <f t="shared" si="25"/>
        <v>3.25</v>
      </c>
      <c r="N296" s="54">
        <f t="shared" si="26"/>
        <v>3.25</v>
      </c>
    </row>
    <row r="297" spans="1:14" ht="34.35" customHeight="1">
      <c r="A297" s="38" t="s">
        <v>747</v>
      </c>
      <c r="B297" s="37" t="s">
        <v>586</v>
      </c>
      <c r="C297" s="13">
        <v>57</v>
      </c>
      <c r="D297" s="25" t="s">
        <v>601</v>
      </c>
      <c r="E297" s="1" t="s">
        <v>748</v>
      </c>
      <c r="F297" s="14" t="s">
        <v>136</v>
      </c>
      <c r="G297" s="2" t="s">
        <v>106</v>
      </c>
      <c r="H297" s="2" t="s">
        <v>40</v>
      </c>
      <c r="I297" s="1">
        <v>251.99</v>
      </c>
      <c r="J297" s="47">
        <v>45809</v>
      </c>
      <c r="K297" s="53">
        <f t="shared" si="27"/>
        <v>21</v>
      </c>
      <c r="L297" s="53">
        <f t="shared" si="24"/>
        <v>21</v>
      </c>
      <c r="M297" s="54">
        <f t="shared" si="25"/>
        <v>21</v>
      </c>
      <c r="N297" s="54">
        <f t="shared" si="26"/>
        <v>21</v>
      </c>
    </row>
    <row r="298" spans="1:14" ht="34.35" customHeight="1">
      <c r="A298" s="38" t="s">
        <v>747</v>
      </c>
      <c r="B298" s="37" t="s">
        <v>604</v>
      </c>
      <c r="C298" s="13">
        <v>58</v>
      </c>
      <c r="D298" s="25" t="s">
        <v>605</v>
      </c>
      <c r="E298" s="1" t="s">
        <v>749</v>
      </c>
      <c r="F298" s="14" t="s">
        <v>607</v>
      </c>
      <c r="G298" s="2" t="s">
        <v>106</v>
      </c>
      <c r="H298" s="2" t="s">
        <v>40</v>
      </c>
      <c r="I298" s="26">
        <v>292915</v>
      </c>
      <c r="J298" s="47">
        <v>45809</v>
      </c>
      <c r="K298" s="53">
        <f t="shared" si="27"/>
        <v>24409.58</v>
      </c>
      <c r="L298" s="53">
        <f t="shared" si="24"/>
        <v>24409.58</v>
      </c>
      <c r="M298" s="54">
        <f t="shared" si="25"/>
        <v>24409.58</v>
      </c>
      <c r="N298" s="54">
        <f t="shared" si="26"/>
        <v>24409.58</v>
      </c>
    </row>
    <row r="299" spans="1:14" ht="34.35" customHeight="1">
      <c r="A299" s="38" t="s">
        <v>747</v>
      </c>
      <c r="B299" s="37" t="s">
        <v>604</v>
      </c>
      <c r="C299" s="24">
        <v>59</v>
      </c>
      <c r="D299" s="5" t="s">
        <v>608</v>
      </c>
      <c r="E299" s="5"/>
      <c r="F299" s="14" t="s">
        <v>750</v>
      </c>
      <c r="G299" s="2" t="s">
        <v>106</v>
      </c>
      <c r="H299" s="2" t="s">
        <v>610</v>
      </c>
      <c r="I299" s="17">
        <v>-0.01</v>
      </c>
      <c r="J299" s="47">
        <v>45809</v>
      </c>
      <c r="K299" s="53">
        <f t="shared" si="27"/>
        <v>0</v>
      </c>
      <c r="L299" s="53">
        <f t="shared" si="24"/>
        <v>0</v>
      </c>
      <c r="M299" s="54">
        <f t="shared" si="25"/>
        <v>0</v>
      </c>
      <c r="N299" s="54">
        <f t="shared" si="26"/>
        <v>0</v>
      </c>
    </row>
    <row r="300" spans="1:14" ht="34.35" customHeight="1">
      <c r="A300" s="38" t="s">
        <v>747</v>
      </c>
      <c r="B300" s="37" t="s">
        <v>604</v>
      </c>
      <c r="C300" s="24">
        <v>60</v>
      </c>
      <c r="D300" s="25" t="s">
        <v>611</v>
      </c>
      <c r="E300" s="1" t="s">
        <v>751</v>
      </c>
      <c r="F300" s="14" t="s">
        <v>136</v>
      </c>
      <c r="G300" s="2" t="s">
        <v>106</v>
      </c>
      <c r="H300" s="2" t="s">
        <v>40</v>
      </c>
      <c r="I300" s="1">
        <v>8.84</v>
      </c>
      <c r="J300" s="47">
        <v>45809</v>
      </c>
      <c r="K300" s="53">
        <f t="shared" si="27"/>
        <v>0.74</v>
      </c>
      <c r="L300" s="53">
        <f t="shared" si="24"/>
        <v>0.74</v>
      </c>
      <c r="M300" s="54">
        <f t="shared" si="25"/>
        <v>0.74</v>
      </c>
      <c r="N300" s="54">
        <f t="shared" si="26"/>
        <v>0.74</v>
      </c>
    </row>
    <row r="301" spans="1:14" ht="34.35" customHeight="1">
      <c r="A301" s="38" t="s">
        <v>747</v>
      </c>
      <c r="B301" s="37" t="s">
        <v>613</v>
      </c>
      <c r="C301" s="13">
        <v>61</v>
      </c>
      <c r="D301" s="5" t="s">
        <v>614</v>
      </c>
      <c r="E301" s="23" t="s">
        <v>752</v>
      </c>
      <c r="F301" s="14" t="s">
        <v>616</v>
      </c>
      <c r="G301" s="8" t="s">
        <v>39</v>
      </c>
      <c r="H301" s="2" t="s">
        <v>285</v>
      </c>
      <c r="I301" s="23">
        <v>0.192</v>
      </c>
      <c r="J301" s="47">
        <v>45809</v>
      </c>
      <c r="K301" s="53">
        <f t="shared" si="27"/>
        <v>0.02</v>
      </c>
      <c r="L301" s="53">
        <f t="shared" si="24"/>
        <v>0.02</v>
      </c>
      <c r="M301" s="54">
        <f t="shared" si="25"/>
        <v>0.02</v>
      </c>
      <c r="N301" s="54">
        <f t="shared" si="26"/>
        <v>0.02</v>
      </c>
    </row>
    <row r="302" spans="1:14" ht="34.35" customHeight="1">
      <c r="A302" s="38" t="s">
        <v>747</v>
      </c>
      <c r="B302" s="37" t="s">
        <v>613</v>
      </c>
      <c r="C302" s="13"/>
      <c r="D302" s="5" t="s">
        <v>704</v>
      </c>
      <c r="E302" s="3" t="s">
        <v>705</v>
      </c>
      <c r="F302" s="14" t="s">
        <v>619</v>
      </c>
      <c r="G302" s="8" t="s">
        <v>39</v>
      </c>
      <c r="H302" s="2" t="s">
        <v>285</v>
      </c>
      <c r="I302" s="42">
        <v>17182</v>
      </c>
      <c r="J302" s="47">
        <v>45809</v>
      </c>
      <c r="K302" s="53">
        <f t="shared" si="27"/>
        <v>1431.83</v>
      </c>
      <c r="L302" s="53">
        <f t="shared" si="24"/>
        <v>1431.83</v>
      </c>
      <c r="M302" s="54">
        <f t="shared" si="25"/>
        <v>1431.83</v>
      </c>
      <c r="N302" s="54">
        <f t="shared" si="26"/>
        <v>1431.83</v>
      </c>
    </row>
    <row r="303" spans="1:14" ht="34.35" customHeight="1">
      <c r="A303" s="32" t="s">
        <v>753</v>
      </c>
      <c r="B303" s="30" t="s">
        <v>715</v>
      </c>
      <c r="C303" s="13">
        <v>47</v>
      </c>
      <c r="D303" s="5" t="s">
        <v>715</v>
      </c>
      <c r="E303" s="5"/>
      <c r="F303" s="14" t="s">
        <v>136</v>
      </c>
      <c r="G303" s="2" t="s">
        <v>327</v>
      </c>
      <c r="H303" s="2" t="s">
        <v>41</v>
      </c>
      <c r="I303" s="40">
        <v>31107.790052372686</v>
      </c>
      <c r="J303" s="47">
        <v>45809</v>
      </c>
      <c r="K303" s="53">
        <f t="shared" si="27"/>
        <v>2592.3200000000002</v>
      </c>
      <c r="L303" s="53">
        <f t="shared" si="24"/>
        <v>2592.3200000000002</v>
      </c>
      <c r="M303" s="54">
        <f t="shared" si="25"/>
        <v>2592.3200000000002</v>
      </c>
      <c r="N303" s="54">
        <f t="shared" si="26"/>
        <v>2592.3200000000002</v>
      </c>
    </row>
    <row r="304" spans="1:14" ht="34.35" customHeight="1">
      <c r="A304" s="32" t="s">
        <v>753</v>
      </c>
      <c r="B304" s="37" t="s">
        <v>716</v>
      </c>
      <c r="C304" s="13">
        <v>48</v>
      </c>
      <c r="D304" s="5" t="s">
        <v>717</v>
      </c>
      <c r="E304" s="5"/>
      <c r="F304" s="14" t="s">
        <v>136</v>
      </c>
      <c r="G304" s="2" t="s">
        <v>327</v>
      </c>
      <c r="H304" s="2" t="s">
        <v>718</v>
      </c>
      <c r="I304" s="46">
        <v>3713.109806620002</v>
      </c>
      <c r="J304" s="47">
        <v>45809</v>
      </c>
      <c r="K304" s="53">
        <f t="shared" si="27"/>
        <v>309.43</v>
      </c>
      <c r="L304" s="53">
        <f t="shared" si="24"/>
        <v>309.43</v>
      </c>
      <c r="M304" s="54">
        <f t="shared" si="25"/>
        <v>309.43</v>
      </c>
      <c r="N304" s="54">
        <f t="shared" si="26"/>
        <v>309.43</v>
      </c>
    </row>
    <row r="305" spans="1:14" ht="34.35" customHeight="1">
      <c r="A305" s="32" t="s">
        <v>753</v>
      </c>
      <c r="B305" s="37" t="s">
        <v>716</v>
      </c>
      <c r="C305" s="13"/>
      <c r="D305" s="6" t="s">
        <v>719</v>
      </c>
      <c r="E305" s="6"/>
      <c r="F305" s="14" t="s">
        <v>133</v>
      </c>
      <c r="G305" s="2"/>
      <c r="H305" s="2"/>
      <c r="I305" s="39">
        <v>0.11899999999999999</v>
      </c>
      <c r="J305" s="47">
        <v>45809</v>
      </c>
      <c r="K305" s="53">
        <f t="shared" si="27"/>
        <v>0.01</v>
      </c>
      <c r="L305" s="53">
        <f t="shared" si="24"/>
        <v>0.01</v>
      </c>
      <c r="M305" s="54">
        <f t="shared" si="25"/>
        <v>0.01</v>
      </c>
      <c r="N305" s="54">
        <f t="shared" si="26"/>
        <v>0.01</v>
      </c>
    </row>
    <row r="306" spans="1:14" ht="34.35" customHeight="1">
      <c r="A306" s="32" t="s">
        <v>753</v>
      </c>
      <c r="B306" s="5" t="s">
        <v>720</v>
      </c>
      <c r="C306" s="13">
        <v>49</v>
      </c>
      <c r="D306" s="5" t="s">
        <v>41</v>
      </c>
      <c r="E306" s="5"/>
      <c r="F306" s="14" t="s">
        <v>133</v>
      </c>
      <c r="G306" s="2" t="s">
        <v>327</v>
      </c>
      <c r="H306" s="2" t="s">
        <v>41</v>
      </c>
      <c r="I306" s="19">
        <v>0.45454176016007819</v>
      </c>
      <c r="J306" s="47">
        <v>45809</v>
      </c>
      <c r="K306" s="53">
        <f t="shared" si="27"/>
        <v>0.04</v>
      </c>
      <c r="L306" s="53">
        <f t="shared" si="24"/>
        <v>0.04</v>
      </c>
      <c r="M306" s="54">
        <f t="shared" si="25"/>
        <v>0.04</v>
      </c>
      <c r="N306" s="54">
        <f t="shared" si="26"/>
        <v>0.04</v>
      </c>
    </row>
    <row r="307" spans="1:14" ht="34.35" customHeight="1">
      <c r="A307" s="32" t="s">
        <v>753</v>
      </c>
      <c r="B307" s="5" t="s">
        <v>721</v>
      </c>
      <c r="C307" s="13">
        <v>50</v>
      </c>
      <c r="D307" s="5" t="s">
        <v>41</v>
      </c>
      <c r="E307" s="5"/>
      <c r="F307" s="14" t="s">
        <v>133</v>
      </c>
      <c r="G307" s="2" t="s">
        <v>722</v>
      </c>
      <c r="H307" s="2" t="s">
        <v>41</v>
      </c>
      <c r="I307" s="19">
        <v>9.9467434385779166E-2</v>
      </c>
      <c r="J307" s="47">
        <v>45809</v>
      </c>
      <c r="K307" s="53">
        <f t="shared" si="27"/>
        <v>0.01</v>
      </c>
      <c r="L307" s="53">
        <f t="shared" si="24"/>
        <v>0.01</v>
      </c>
      <c r="M307" s="54">
        <f t="shared" si="25"/>
        <v>0.01</v>
      </c>
      <c r="N307" s="54">
        <f t="shared" si="26"/>
        <v>0.01</v>
      </c>
    </row>
    <row r="308" spans="1:14" ht="34.35" customHeight="1">
      <c r="A308" s="32" t="s">
        <v>753</v>
      </c>
      <c r="B308" s="30" t="s">
        <v>723</v>
      </c>
      <c r="C308" s="13">
        <v>51</v>
      </c>
      <c r="D308" s="5" t="s">
        <v>724</v>
      </c>
      <c r="E308" s="5"/>
      <c r="F308" s="14" t="s">
        <v>133</v>
      </c>
      <c r="G308" s="2" t="s">
        <v>327</v>
      </c>
      <c r="H308" s="2" t="s">
        <v>725</v>
      </c>
      <c r="I308" s="17">
        <v>1</v>
      </c>
      <c r="J308" s="47">
        <v>45809</v>
      </c>
      <c r="K308" s="53">
        <f t="shared" si="27"/>
        <v>0.08</v>
      </c>
      <c r="L308" s="53">
        <f t="shared" si="24"/>
        <v>0.08</v>
      </c>
      <c r="M308" s="54">
        <f t="shared" si="25"/>
        <v>0.08</v>
      </c>
      <c r="N308" s="54">
        <f t="shared" si="26"/>
        <v>0.08</v>
      </c>
    </row>
    <row r="309" spans="1:14" ht="34.35" customHeight="1">
      <c r="A309" s="32" t="s">
        <v>753</v>
      </c>
      <c r="B309" s="30" t="s">
        <v>723</v>
      </c>
      <c r="C309" s="13"/>
      <c r="D309" s="5" t="s">
        <v>726</v>
      </c>
      <c r="E309" s="5"/>
      <c r="F309" s="14" t="s">
        <v>727</v>
      </c>
      <c r="G309" s="2" t="s">
        <v>327</v>
      </c>
      <c r="H309" s="2" t="s">
        <v>725</v>
      </c>
      <c r="I309" s="43">
        <v>1200</v>
      </c>
      <c r="J309" s="47">
        <v>45809</v>
      </c>
      <c r="K309" s="53">
        <f t="shared" si="27"/>
        <v>100</v>
      </c>
      <c r="L309" s="53">
        <f t="shared" si="24"/>
        <v>100</v>
      </c>
      <c r="M309" s="54">
        <f t="shared" si="25"/>
        <v>100</v>
      </c>
      <c r="N309" s="54">
        <f t="shared" si="26"/>
        <v>100</v>
      </c>
    </row>
    <row r="310" spans="1:14" ht="34.35" customHeight="1">
      <c r="A310" s="32" t="s">
        <v>753</v>
      </c>
      <c r="B310" s="30" t="s">
        <v>723</v>
      </c>
      <c r="C310" s="13">
        <v>52</v>
      </c>
      <c r="D310" s="5" t="s">
        <v>728</v>
      </c>
      <c r="E310" s="5"/>
      <c r="F310" s="14" t="s">
        <v>133</v>
      </c>
      <c r="G310" s="2" t="s">
        <v>327</v>
      </c>
      <c r="H310" s="2" t="s">
        <v>725</v>
      </c>
      <c r="I310" s="17">
        <v>1</v>
      </c>
      <c r="J310" s="47">
        <v>45809</v>
      </c>
      <c r="K310" s="53">
        <f t="shared" si="27"/>
        <v>0.08</v>
      </c>
      <c r="L310" s="53">
        <f t="shared" si="24"/>
        <v>0.08</v>
      </c>
      <c r="M310" s="54">
        <f t="shared" si="25"/>
        <v>0.08</v>
      </c>
      <c r="N310" s="54">
        <f t="shared" si="26"/>
        <v>0.08</v>
      </c>
    </row>
    <row r="311" spans="1:14" ht="34.35" customHeight="1">
      <c r="A311" s="32" t="s">
        <v>753</v>
      </c>
      <c r="B311" s="30" t="s">
        <v>723</v>
      </c>
      <c r="C311" s="13"/>
      <c r="D311" s="5" t="s">
        <v>729</v>
      </c>
      <c r="E311" s="5"/>
      <c r="F311" s="14" t="s">
        <v>727</v>
      </c>
      <c r="G311" s="2" t="s">
        <v>327</v>
      </c>
      <c r="H311" s="2" t="s">
        <v>725</v>
      </c>
      <c r="I311" s="43">
        <v>1200</v>
      </c>
      <c r="J311" s="47">
        <v>45809</v>
      </c>
      <c r="K311" s="53">
        <f t="shared" si="27"/>
        <v>100</v>
      </c>
      <c r="L311" s="53">
        <f t="shared" si="24"/>
        <v>100</v>
      </c>
      <c r="M311" s="54">
        <f t="shared" si="25"/>
        <v>100</v>
      </c>
      <c r="N311" s="54">
        <f t="shared" si="26"/>
        <v>100</v>
      </c>
    </row>
    <row r="312" spans="1:14" ht="34.35" customHeight="1">
      <c r="A312" s="32" t="s">
        <v>753</v>
      </c>
      <c r="B312" s="30" t="s">
        <v>730</v>
      </c>
      <c r="C312" s="13">
        <v>53</v>
      </c>
      <c r="D312" s="5" t="s">
        <v>504</v>
      </c>
      <c r="E312" s="5"/>
      <c r="F312" s="14" t="s">
        <v>136</v>
      </c>
      <c r="G312" s="2" t="s">
        <v>327</v>
      </c>
      <c r="H312" s="2" t="s">
        <v>40</v>
      </c>
      <c r="I312" s="20">
        <v>1174.3420820195504</v>
      </c>
      <c r="J312" s="47">
        <v>45809</v>
      </c>
      <c r="K312" s="53">
        <f t="shared" si="27"/>
        <v>97.86</v>
      </c>
      <c r="L312" s="53">
        <f t="shared" si="24"/>
        <v>97.86</v>
      </c>
      <c r="M312" s="54">
        <f t="shared" si="25"/>
        <v>97.86</v>
      </c>
      <c r="N312" s="54">
        <f t="shared" si="26"/>
        <v>97.86</v>
      </c>
    </row>
    <row r="313" spans="1:14" ht="34.35" customHeight="1">
      <c r="A313" s="32" t="s">
        <v>753</v>
      </c>
      <c r="B313" s="30" t="s">
        <v>730</v>
      </c>
      <c r="C313" s="13"/>
      <c r="D313" s="5" t="s">
        <v>508</v>
      </c>
      <c r="E313" s="5"/>
      <c r="F313" s="14" t="s">
        <v>136</v>
      </c>
      <c r="G313" s="2" t="s">
        <v>327</v>
      </c>
      <c r="H313" s="2" t="s">
        <v>40</v>
      </c>
      <c r="I313" s="20">
        <v>962.16729885251311</v>
      </c>
      <c r="J313" s="47">
        <v>45809</v>
      </c>
      <c r="K313" s="53">
        <f t="shared" si="27"/>
        <v>80.180000000000007</v>
      </c>
      <c r="L313" s="53">
        <f t="shared" si="24"/>
        <v>80.180000000000007</v>
      </c>
      <c r="M313" s="54">
        <f t="shared" si="25"/>
        <v>80.180000000000007</v>
      </c>
      <c r="N313" s="54">
        <f t="shared" si="26"/>
        <v>80.180000000000007</v>
      </c>
    </row>
    <row r="314" spans="1:14" ht="34.35" customHeight="1">
      <c r="A314" s="32" t="s">
        <v>733</v>
      </c>
      <c r="B314" s="31" t="s">
        <v>36</v>
      </c>
      <c r="C314" s="29">
        <v>1</v>
      </c>
      <c r="D314" s="5" t="s">
        <v>37</v>
      </c>
      <c r="E314" s="5"/>
      <c r="F314" s="14" t="s">
        <v>38</v>
      </c>
      <c r="G314" s="2" t="s">
        <v>39</v>
      </c>
      <c r="H314" s="2" t="s">
        <v>40</v>
      </c>
      <c r="I314" s="1">
        <v>0</v>
      </c>
      <c r="J314" s="47">
        <v>45839</v>
      </c>
      <c r="K314" s="53">
        <f>IF(I314=0,0,IF(I314="-","-",ROUND(I314/12,2)))</f>
        <v>0</v>
      </c>
      <c r="L314" s="53">
        <f>K314</f>
        <v>0</v>
      </c>
      <c r="M314" s="54">
        <f>K314</f>
        <v>0</v>
      </c>
      <c r="N314" s="54">
        <f>L314</f>
        <v>0</v>
      </c>
    </row>
    <row r="315" spans="1:14" ht="34.35" customHeight="1">
      <c r="A315" s="32" t="s">
        <v>733</v>
      </c>
      <c r="B315" s="31" t="s">
        <v>36</v>
      </c>
      <c r="C315" s="29">
        <v>2</v>
      </c>
      <c r="D315" s="6" t="s">
        <v>42</v>
      </c>
      <c r="E315" s="6"/>
      <c r="F315" s="14" t="s">
        <v>38</v>
      </c>
      <c r="G315" s="2" t="s">
        <v>39</v>
      </c>
      <c r="H315" s="2" t="s">
        <v>43</v>
      </c>
      <c r="I315" s="3">
        <v>0</v>
      </c>
      <c r="J315" s="47">
        <v>45840</v>
      </c>
      <c r="K315" s="53">
        <f t="shared" ref="K315:K378" si="28">IF(I315=0,0,IF(I315="-","-",ROUND(I315/12,2)))</f>
        <v>0</v>
      </c>
      <c r="L315" s="53">
        <f t="shared" ref="L315:L378" si="29">K315</f>
        <v>0</v>
      </c>
      <c r="M315" s="54">
        <f t="shared" ref="M315:M378" si="30">K315</f>
        <v>0</v>
      </c>
      <c r="N315" s="54">
        <f t="shared" ref="N315:N378" si="31">L315</f>
        <v>0</v>
      </c>
    </row>
    <row r="316" spans="1:14" ht="34.35" customHeight="1">
      <c r="A316" s="32" t="s">
        <v>733</v>
      </c>
      <c r="B316" s="31" t="s">
        <v>36</v>
      </c>
      <c r="C316" s="29">
        <v>3</v>
      </c>
      <c r="D316" s="5" t="s">
        <v>734</v>
      </c>
      <c r="E316" s="5" t="s">
        <v>735</v>
      </c>
      <c r="F316" s="14" t="s">
        <v>38</v>
      </c>
      <c r="G316" s="2" t="s">
        <v>39</v>
      </c>
      <c r="H316" s="2" t="s">
        <v>40</v>
      </c>
      <c r="I316" s="3">
        <v>4</v>
      </c>
      <c r="J316" s="47">
        <v>45841</v>
      </c>
      <c r="K316" s="53">
        <f t="shared" si="28"/>
        <v>0.33</v>
      </c>
      <c r="L316" s="53">
        <f t="shared" si="29"/>
        <v>0.33</v>
      </c>
      <c r="M316" s="54">
        <f t="shared" si="30"/>
        <v>0.33</v>
      </c>
      <c r="N316" s="54">
        <f t="shared" si="31"/>
        <v>0.33</v>
      </c>
    </row>
    <row r="317" spans="1:14" ht="34.35" customHeight="1">
      <c r="A317" s="32" t="s">
        <v>733</v>
      </c>
      <c r="B317" s="31" t="s">
        <v>36</v>
      </c>
      <c r="C317" s="29">
        <v>4</v>
      </c>
      <c r="D317" s="6" t="s">
        <v>112</v>
      </c>
      <c r="E317" s="5" t="s">
        <v>735</v>
      </c>
      <c r="F317" s="14" t="s">
        <v>38</v>
      </c>
      <c r="G317" s="2" t="s">
        <v>39</v>
      </c>
      <c r="H317" s="2" t="s">
        <v>40</v>
      </c>
      <c r="I317" s="3">
        <v>4</v>
      </c>
      <c r="J317" s="47">
        <v>45842</v>
      </c>
      <c r="K317" s="53">
        <f t="shared" si="28"/>
        <v>0.33</v>
      </c>
      <c r="L317" s="53">
        <f t="shared" si="29"/>
        <v>0.33</v>
      </c>
      <c r="M317" s="54">
        <f t="shared" si="30"/>
        <v>0.33</v>
      </c>
      <c r="N317" s="54">
        <f t="shared" si="31"/>
        <v>0.33</v>
      </c>
    </row>
    <row r="318" spans="1:14" ht="34.35" customHeight="1">
      <c r="A318" s="32" t="s">
        <v>733</v>
      </c>
      <c r="B318" s="31" t="s">
        <v>46</v>
      </c>
      <c r="C318" s="29">
        <v>5</v>
      </c>
      <c r="D318" s="5" t="s">
        <v>47</v>
      </c>
      <c r="E318" s="5"/>
      <c r="F318" s="14" t="s">
        <v>38</v>
      </c>
      <c r="G318" s="2" t="s">
        <v>48</v>
      </c>
      <c r="H318" s="2" t="s">
        <v>49</v>
      </c>
      <c r="I318" s="1">
        <v>0</v>
      </c>
      <c r="J318" s="47">
        <v>45843</v>
      </c>
      <c r="K318" s="53">
        <f t="shared" si="28"/>
        <v>0</v>
      </c>
      <c r="L318" s="53">
        <f t="shared" si="29"/>
        <v>0</v>
      </c>
      <c r="M318" s="54">
        <f t="shared" si="30"/>
        <v>0</v>
      </c>
      <c r="N318" s="54">
        <f t="shared" si="31"/>
        <v>0</v>
      </c>
    </row>
    <row r="319" spans="1:14" ht="34.35" customHeight="1">
      <c r="A319" s="32" t="s">
        <v>733</v>
      </c>
      <c r="B319" s="31" t="s">
        <v>46</v>
      </c>
      <c r="C319" s="29">
        <v>6</v>
      </c>
      <c r="D319" s="5" t="s">
        <v>50</v>
      </c>
      <c r="E319" s="5"/>
      <c r="F319" s="14" t="s">
        <v>38</v>
      </c>
      <c r="G319" s="2" t="s">
        <v>48</v>
      </c>
      <c r="H319" s="2" t="s">
        <v>49</v>
      </c>
      <c r="I319" s="1">
        <v>0</v>
      </c>
      <c r="J319" s="47">
        <v>45844</v>
      </c>
      <c r="K319" s="53">
        <f t="shared" si="28"/>
        <v>0</v>
      </c>
      <c r="L319" s="53">
        <f t="shared" si="29"/>
        <v>0</v>
      </c>
      <c r="M319" s="54">
        <f t="shared" si="30"/>
        <v>0</v>
      </c>
      <c r="N319" s="54">
        <f t="shared" si="31"/>
        <v>0</v>
      </c>
    </row>
    <row r="320" spans="1:14" ht="34.35" customHeight="1">
      <c r="A320" s="32" t="s">
        <v>733</v>
      </c>
      <c r="B320" s="31" t="s">
        <v>46</v>
      </c>
      <c r="C320" s="29">
        <v>7</v>
      </c>
      <c r="D320" s="6" t="s">
        <v>51</v>
      </c>
      <c r="E320" s="6"/>
      <c r="F320" s="14" t="s">
        <v>38</v>
      </c>
      <c r="G320" s="2" t="s">
        <v>48</v>
      </c>
      <c r="H320" s="2" t="s">
        <v>49</v>
      </c>
      <c r="I320" s="1">
        <v>0</v>
      </c>
      <c r="J320" s="47">
        <v>45845</v>
      </c>
      <c r="K320" s="53">
        <f t="shared" si="28"/>
        <v>0</v>
      </c>
      <c r="L320" s="53">
        <f t="shared" si="29"/>
        <v>0</v>
      </c>
      <c r="M320" s="54">
        <f t="shared" si="30"/>
        <v>0</v>
      </c>
      <c r="N320" s="54">
        <f t="shared" si="31"/>
        <v>0</v>
      </c>
    </row>
    <row r="321" spans="1:14" ht="34.35" customHeight="1">
      <c r="A321" s="32" t="s">
        <v>733</v>
      </c>
      <c r="B321" s="31" t="s">
        <v>46</v>
      </c>
      <c r="C321" s="29">
        <v>8</v>
      </c>
      <c r="D321" s="5" t="s">
        <v>52</v>
      </c>
      <c r="E321" s="5"/>
      <c r="F321" s="14" t="s">
        <v>38</v>
      </c>
      <c r="G321" s="2" t="s">
        <v>48</v>
      </c>
      <c r="H321" s="2" t="s">
        <v>49</v>
      </c>
      <c r="I321" s="1">
        <v>0</v>
      </c>
      <c r="J321" s="47">
        <v>45846</v>
      </c>
      <c r="K321" s="53">
        <f t="shared" si="28"/>
        <v>0</v>
      </c>
      <c r="L321" s="53">
        <f t="shared" si="29"/>
        <v>0</v>
      </c>
      <c r="M321" s="54">
        <f t="shared" si="30"/>
        <v>0</v>
      </c>
      <c r="N321" s="54">
        <f t="shared" si="31"/>
        <v>0</v>
      </c>
    </row>
    <row r="322" spans="1:14" ht="34.35" customHeight="1">
      <c r="A322" s="32" t="s">
        <v>733</v>
      </c>
      <c r="B322" s="31" t="s">
        <v>46</v>
      </c>
      <c r="C322" s="29">
        <v>9</v>
      </c>
      <c r="D322" s="6" t="s">
        <v>736</v>
      </c>
      <c r="E322" s="6"/>
      <c r="F322" s="14" t="s">
        <v>38</v>
      </c>
      <c r="G322" s="2" t="s">
        <v>48</v>
      </c>
      <c r="H322" s="2" t="s">
        <v>49</v>
      </c>
      <c r="I322" s="1"/>
      <c r="J322" s="47">
        <v>45847</v>
      </c>
      <c r="K322" s="53">
        <f t="shared" si="28"/>
        <v>0</v>
      </c>
      <c r="L322" s="53">
        <f t="shared" si="29"/>
        <v>0</v>
      </c>
      <c r="M322" s="54">
        <f t="shared" si="30"/>
        <v>0</v>
      </c>
      <c r="N322" s="54">
        <f t="shared" si="31"/>
        <v>0</v>
      </c>
    </row>
    <row r="323" spans="1:14" ht="34.35" customHeight="1">
      <c r="A323" s="32" t="s">
        <v>737</v>
      </c>
      <c r="B323" s="15" t="s">
        <v>113</v>
      </c>
      <c r="C323" s="29">
        <v>10</v>
      </c>
      <c r="D323" s="5" t="s">
        <v>114</v>
      </c>
      <c r="E323" s="5"/>
      <c r="F323" s="14" t="s">
        <v>38</v>
      </c>
      <c r="G323" s="2" t="s">
        <v>115</v>
      </c>
      <c r="H323" s="2" t="s">
        <v>116</v>
      </c>
      <c r="I323" s="1">
        <v>0</v>
      </c>
      <c r="J323" s="47">
        <v>45848</v>
      </c>
      <c r="K323" s="53">
        <f t="shared" si="28"/>
        <v>0</v>
      </c>
      <c r="L323" s="53">
        <f t="shared" si="29"/>
        <v>0</v>
      </c>
      <c r="M323" s="54">
        <f t="shared" si="30"/>
        <v>0</v>
      </c>
      <c r="N323" s="54">
        <f t="shared" si="31"/>
        <v>0</v>
      </c>
    </row>
    <row r="324" spans="1:14" ht="34.35" customHeight="1">
      <c r="A324" s="32" t="s">
        <v>737</v>
      </c>
      <c r="B324" s="15" t="s">
        <v>113</v>
      </c>
      <c r="C324" s="29">
        <v>11</v>
      </c>
      <c r="D324" s="5" t="s">
        <v>118</v>
      </c>
      <c r="E324" s="5"/>
      <c r="F324" s="14" t="s">
        <v>38</v>
      </c>
      <c r="G324" s="2" t="s">
        <v>115</v>
      </c>
      <c r="H324" s="2" t="s">
        <v>116</v>
      </c>
      <c r="I324" s="3">
        <v>4</v>
      </c>
      <c r="J324" s="47">
        <v>45849</v>
      </c>
      <c r="K324" s="53">
        <f t="shared" si="28"/>
        <v>0.33</v>
      </c>
      <c r="L324" s="53">
        <f t="shared" si="29"/>
        <v>0.33</v>
      </c>
      <c r="M324" s="54">
        <f t="shared" si="30"/>
        <v>0.33</v>
      </c>
      <c r="N324" s="54">
        <f t="shared" si="31"/>
        <v>0.33</v>
      </c>
    </row>
    <row r="325" spans="1:14" ht="34.35" customHeight="1">
      <c r="A325" s="32" t="s">
        <v>737</v>
      </c>
      <c r="B325" s="15" t="s">
        <v>113</v>
      </c>
      <c r="C325" s="29">
        <v>12</v>
      </c>
      <c r="D325" s="5" t="s">
        <v>119</v>
      </c>
      <c r="E325" s="5"/>
      <c r="F325" s="14" t="s">
        <v>38</v>
      </c>
      <c r="G325" s="2" t="s">
        <v>115</v>
      </c>
      <c r="H325" s="2" t="s">
        <v>116</v>
      </c>
      <c r="I325" s="3">
        <v>9</v>
      </c>
      <c r="J325" s="47">
        <v>45850</v>
      </c>
      <c r="K325" s="53">
        <f t="shared" si="28"/>
        <v>0.75</v>
      </c>
      <c r="L325" s="53">
        <f t="shared" si="29"/>
        <v>0.75</v>
      </c>
      <c r="M325" s="54">
        <f t="shared" si="30"/>
        <v>0.75</v>
      </c>
      <c r="N325" s="54">
        <f t="shared" si="31"/>
        <v>0.75</v>
      </c>
    </row>
    <row r="326" spans="1:14" ht="34.35" customHeight="1">
      <c r="A326" s="32" t="s">
        <v>737</v>
      </c>
      <c r="B326" s="15" t="s">
        <v>113</v>
      </c>
      <c r="C326" s="29">
        <v>13</v>
      </c>
      <c r="D326" s="6" t="s">
        <v>120</v>
      </c>
      <c r="E326" s="6"/>
      <c r="F326" s="14" t="s">
        <v>38</v>
      </c>
      <c r="G326" s="2" t="s">
        <v>115</v>
      </c>
      <c r="H326" s="2" t="s">
        <v>116</v>
      </c>
      <c r="I326" s="3">
        <v>6</v>
      </c>
      <c r="J326" s="47">
        <v>45851</v>
      </c>
      <c r="K326" s="53">
        <f t="shared" si="28"/>
        <v>0.5</v>
      </c>
      <c r="L326" s="53">
        <f t="shared" si="29"/>
        <v>0.5</v>
      </c>
      <c r="M326" s="54">
        <f t="shared" si="30"/>
        <v>0.5</v>
      </c>
      <c r="N326" s="54">
        <f t="shared" si="31"/>
        <v>0.5</v>
      </c>
    </row>
    <row r="327" spans="1:14" ht="34.35" customHeight="1">
      <c r="A327" s="32" t="s">
        <v>737</v>
      </c>
      <c r="B327" s="15" t="s">
        <v>113</v>
      </c>
      <c r="C327" s="29">
        <v>14</v>
      </c>
      <c r="D327" s="5" t="s">
        <v>125</v>
      </c>
      <c r="E327" s="5"/>
      <c r="F327" s="14" t="s">
        <v>38</v>
      </c>
      <c r="G327" s="2" t="s">
        <v>126</v>
      </c>
      <c r="H327" s="2" t="s">
        <v>127</v>
      </c>
      <c r="I327" s="1">
        <v>6</v>
      </c>
      <c r="J327" s="47">
        <v>45852</v>
      </c>
      <c r="K327" s="53">
        <f t="shared" si="28"/>
        <v>0.5</v>
      </c>
      <c r="L327" s="53">
        <f t="shared" si="29"/>
        <v>0.5</v>
      </c>
      <c r="M327" s="54">
        <f t="shared" si="30"/>
        <v>0.5</v>
      </c>
      <c r="N327" s="54">
        <f t="shared" si="31"/>
        <v>0.5</v>
      </c>
    </row>
    <row r="328" spans="1:14" ht="34.35" customHeight="1">
      <c r="A328" s="32" t="s">
        <v>737</v>
      </c>
      <c r="B328" s="15" t="s">
        <v>113</v>
      </c>
      <c r="C328" s="29">
        <v>15</v>
      </c>
      <c r="D328" s="6" t="s">
        <v>129</v>
      </c>
      <c r="E328" s="6"/>
      <c r="F328" s="14" t="s">
        <v>38</v>
      </c>
      <c r="G328" s="2" t="s">
        <v>126</v>
      </c>
      <c r="H328" s="2" t="s">
        <v>130</v>
      </c>
      <c r="I328" s="1">
        <v>5</v>
      </c>
      <c r="J328" s="47">
        <v>45853</v>
      </c>
      <c r="K328" s="53">
        <f t="shared" si="28"/>
        <v>0.42</v>
      </c>
      <c r="L328" s="53">
        <f t="shared" si="29"/>
        <v>0.42</v>
      </c>
      <c r="M328" s="54">
        <f t="shared" si="30"/>
        <v>0.42</v>
      </c>
      <c r="N328" s="54">
        <f t="shared" si="31"/>
        <v>0.42</v>
      </c>
    </row>
    <row r="329" spans="1:14" ht="34.35" customHeight="1">
      <c r="A329" s="32" t="s">
        <v>737</v>
      </c>
      <c r="B329" s="9" t="s">
        <v>131</v>
      </c>
      <c r="C329" s="13">
        <v>16</v>
      </c>
      <c r="D329" s="5" t="s">
        <v>132</v>
      </c>
      <c r="E329" s="5"/>
      <c r="F329" s="14" t="s">
        <v>133</v>
      </c>
      <c r="G329" s="2" t="s">
        <v>134</v>
      </c>
      <c r="H329" s="2" t="s">
        <v>135</v>
      </c>
      <c r="I329" s="16">
        <v>5.6228257045651073E-3</v>
      </c>
      <c r="J329" s="47">
        <v>45854</v>
      </c>
      <c r="K329" s="53">
        <f t="shared" si="28"/>
        <v>0</v>
      </c>
      <c r="L329" s="53">
        <f t="shared" si="29"/>
        <v>0</v>
      </c>
      <c r="M329" s="54">
        <f t="shared" si="30"/>
        <v>0</v>
      </c>
      <c r="N329" s="54">
        <f t="shared" si="31"/>
        <v>0</v>
      </c>
    </row>
    <row r="330" spans="1:14" ht="34.35" customHeight="1">
      <c r="A330" s="32" t="s">
        <v>737</v>
      </c>
      <c r="B330" s="9" t="s">
        <v>131</v>
      </c>
      <c r="C330" s="13"/>
      <c r="D330" s="5" t="s">
        <v>132</v>
      </c>
      <c r="E330" s="5"/>
      <c r="F330" s="14" t="s">
        <v>136</v>
      </c>
      <c r="G330" s="2" t="s">
        <v>134</v>
      </c>
      <c r="H330" s="2" t="s">
        <v>135</v>
      </c>
      <c r="I330" s="27">
        <v>162.9</v>
      </c>
      <c r="J330" s="47">
        <v>45855</v>
      </c>
      <c r="K330" s="53">
        <f t="shared" si="28"/>
        <v>13.58</v>
      </c>
      <c r="L330" s="53">
        <f t="shared" si="29"/>
        <v>13.58</v>
      </c>
      <c r="M330" s="54">
        <f t="shared" si="30"/>
        <v>13.58</v>
      </c>
      <c r="N330" s="54">
        <f t="shared" si="31"/>
        <v>13.58</v>
      </c>
    </row>
    <row r="331" spans="1:14" ht="34.35" customHeight="1">
      <c r="A331" s="32" t="s">
        <v>737</v>
      </c>
      <c r="B331" s="9" t="s">
        <v>131</v>
      </c>
      <c r="C331" s="29">
        <v>17</v>
      </c>
      <c r="D331" s="5" t="s">
        <v>137</v>
      </c>
      <c r="E331" s="5"/>
      <c r="F331" s="14" t="s">
        <v>136</v>
      </c>
      <c r="G331" s="2" t="s">
        <v>138</v>
      </c>
      <c r="H331" s="2" t="s">
        <v>135</v>
      </c>
      <c r="I331" s="3">
        <v>231.81399999999999</v>
      </c>
      <c r="J331" s="47">
        <v>45856</v>
      </c>
      <c r="K331" s="53">
        <f t="shared" si="28"/>
        <v>19.32</v>
      </c>
      <c r="L331" s="53">
        <f t="shared" si="29"/>
        <v>19.32</v>
      </c>
      <c r="M331" s="54">
        <f t="shared" si="30"/>
        <v>19.32</v>
      </c>
      <c r="N331" s="54">
        <f t="shared" si="31"/>
        <v>19.32</v>
      </c>
    </row>
    <row r="332" spans="1:14" ht="34.35" customHeight="1">
      <c r="A332" s="32" t="s">
        <v>738</v>
      </c>
      <c r="B332" s="9" t="s">
        <v>283</v>
      </c>
      <c r="C332" s="29">
        <v>10</v>
      </c>
      <c r="D332" s="5" t="s">
        <v>284</v>
      </c>
      <c r="E332" s="5" t="s">
        <v>739</v>
      </c>
      <c r="F332" s="14" t="s">
        <v>38</v>
      </c>
      <c r="G332" s="2" t="s">
        <v>106</v>
      </c>
      <c r="H332" s="2" t="s">
        <v>285</v>
      </c>
      <c r="I332" s="1">
        <v>130</v>
      </c>
      <c r="J332" s="47">
        <v>45857</v>
      </c>
      <c r="K332" s="53">
        <f t="shared" si="28"/>
        <v>10.83</v>
      </c>
      <c r="L332" s="53">
        <f t="shared" si="29"/>
        <v>10.83</v>
      </c>
      <c r="M332" s="54">
        <f t="shared" si="30"/>
        <v>10.83</v>
      </c>
      <c r="N332" s="54">
        <f t="shared" si="31"/>
        <v>10.83</v>
      </c>
    </row>
    <row r="333" spans="1:14" ht="34.35" customHeight="1">
      <c r="A333" s="32" t="s">
        <v>738</v>
      </c>
      <c r="B333" s="9" t="s">
        <v>286</v>
      </c>
      <c r="C333" s="29">
        <v>11</v>
      </c>
      <c r="D333" s="5" t="s">
        <v>287</v>
      </c>
      <c r="E333" s="5"/>
      <c r="F333" s="14" t="s">
        <v>288</v>
      </c>
      <c r="G333" s="2" t="s">
        <v>106</v>
      </c>
      <c r="H333" s="2" t="s">
        <v>289</v>
      </c>
      <c r="I333" s="1">
        <v>0</v>
      </c>
      <c r="J333" s="47">
        <v>45858</v>
      </c>
      <c r="K333" s="53">
        <f t="shared" si="28"/>
        <v>0</v>
      </c>
      <c r="L333" s="53">
        <f t="shared" si="29"/>
        <v>0</v>
      </c>
      <c r="M333" s="54">
        <f t="shared" si="30"/>
        <v>0</v>
      </c>
      <c r="N333" s="54">
        <f t="shared" si="31"/>
        <v>0</v>
      </c>
    </row>
    <row r="334" spans="1:14" ht="34.35" customHeight="1">
      <c r="A334" s="32" t="s">
        <v>738</v>
      </c>
      <c r="B334" s="9" t="s">
        <v>292</v>
      </c>
      <c r="C334" s="29">
        <v>12</v>
      </c>
      <c r="D334" s="5" t="s">
        <v>41</v>
      </c>
      <c r="E334" s="5"/>
      <c r="F334" s="14" t="s">
        <v>133</v>
      </c>
      <c r="G334" s="2" t="s">
        <v>105</v>
      </c>
      <c r="H334" s="2" t="s">
        <v>43</v>
      </c>
      <c r="I334" s="17">
        <v>1</v>
      </c>
      <c r="J334" s="47">
        <v>45859</v>
      </c>
      <c r="K334" s="53">
        <f t="shared" si="28"/>
        <v>0.08</v>
      </c>
      <c r="L334" s="53">
        <f t="shared" si="29"/>
        <v>0.08</v>
      </c>
      <c r="M334" s="54">
        <f t="shared" si="30"/>
        <v>0.08</v>
      </c>
      <c r="N334" s="54">
        <f t="shared" si="31"/>
        <v>0.08</v>
      </c>
    </row>
    <row r="335" spans="1:14" ht="34.35" customHeight="1">
      <c r="A335" s="32" t="s">
        <v>738</v>
      </c>
      <c r="B335" s="9" t="s">
        <v>293</v>
      </c>
      <c r="C335" s="29">
        <v>13</v>
      </c>
      <c r="D335" s="5" t="s">
        <v>41</v>
      </c>
      <c r="E335" s="5"/>
      <c r="F335" s="14" t="s">
        <v>38</v>
      </c>
      <c r="G335" s="2" t="s">
        <v>105</v>
      </c>
      <c r="H335" s="2" t="s">
        <v>43</v>
      </c>
      <c r="I335" s="1">
        <v>0</v>
      </c>
      <c r="J335" s="47">
        <v>45860</v>
      </c>
      <c r="K335" s="53">
        <f t="shared" si="28"/>
        <v>0</v>
      </c>
      <c r="L335" s="53">
        <f t="shared" si="29"/>
        <v>0</v>
      </c>
      <c r="M335" s="54">
        <f t="shared" si="30"/>
        <v>0</v>
      </c>
      <c r="N335" s="54">
        <f t="shared" si="31"/>
        <v>0</v>
      </c>
    </row>
    <row r="336" spans="1:14" ht="34.35" customHeight="1">
      <c r="A336" s="32" t="s">
        <v>738</v>
      </c>
      <c r="B336" s="9" t="s">
        <v>294</v>
      </c>
      <c r="C336" s="29">
        <v>14</v>
      </c>
      <c r="D336" s="5" t="s">
        <v>41</v>
      </c>
      <c r="E336" s="3" t="s">
        <v>740</v>
      </c>
      <c r="F336" s="14" t="s">
        <v>136</v>
      </c>
      <c r="G336" s="2" t="s">
        <v>110</v>
      </c>
      <c r="H336" s="2" t="s">
        <v>134</v>
      </c>
      <c r="I336" s="3">
        <v>7.65</v>
      </c>
      <c r="J336" s="47">
        <v>45861</v>
      </c>
      <c r="K336" s="53">
        <f t="shared" si="28"/>
        <v>0.64</v>
      </c>
      <c r="L336" s="53">
        <f t="shared" si="29"/>
        <v>0.64</v>
      </c>
      <c r="M336" s="54">
        <f t="shared" si="30"/>
        <v>0.64</v>
      </c>
      <c r="N336" s="54">
        <f t="shared" si="31"/>
        <v>0.64</v>
      </c>
    </row>
    <row r="337" spans="1:14" ht="34.35" customHeight="1">
      <c r="A337" s="32" t="s">
        <v>741</v>
      </c>
      <c r="B337" s="36" t="s">
        <v>310</v>
      </c>
      <c r="C337" s="29">
        <v>15</v>
      </c>
      <c r="D337" s="5" t="s">
        <v>311</v>
      </c>
      <c r="E337" s="5"/>
      <c r="F337" s="14" t="s">
        <v>38</v>
      </c>
      <c r="G337" s="2" t="s">
        <v>489</v>
      </c>
      <c r="H337" s="2" t="s">
        <v>40</v>
      </c>
      <c r="I337" s="3">
        <v>0</v>
      </c>
      <c r="J337" s="47">
        <v>45862</v>
      </c>
      <c r="K337" s="53">
        <f t="shared" si="28"/>
        <v>0</v>
      </c>
      <c r="L337" s="53">
        <f t="shared" si="29"/>
        <v>0</v>
      </c>
      <c r="M337" s="54">
        <f t="shared" si="30"/>
        <v>0</v>
      </c>
      <c r="N337" s="54">
        <f t="shared" si="31"/>
        <v>0</v>
      </c>
    </row>
    <row r="338" spans="1:14" ht="34.35" customHeight="1">
      <c r="A338" s="32" t="s">
        <v>741</v>
      </c>
      <c r="B338" s="36" t="s">
        <v>310</v>
      </c>
      <c r="C338" s="29">
        <v>16</v>
      </c>
      <c r="D338" s="5" t="s">
        <v>313</v>
      </c>
      <c r="E338" s="5"/>
      <c r="F338" s="14" t="s">
        <v>38</v>
      </c>
      <c r="G338" s="2" t="s">
        <v>489</v>
      </c>
      <c r="H338" s="2" t="s">
        <v>40</v>
      </c>
      <c r="I338" s="3">
        <v>0</v>
      </c>
      <c r="J338" s="47">
        <v>45863</v>
      </c>
      <c r="K338" s="53">
        <f t="shared" si="28"/>
        <v>0</v>
      </c>
      <c r="L338" s="53">
        <f t="shared" si="29"/>
        <v>0</v>
      </c>
      <c r="M338" s="54">
        <f t="shared" si="30"/>
        <v>0</v>
      </c>
      <c r="N338" s="54">
        <f t="shared" si="31"/>
        <v>0</v>
      </c>
    </row>
    <row r="339" spans="1:14" ht="34.35" customHeight="1">
      <c r="A339" s="32" t="s">
        <v>741</v>
      </c>
      <c r="B339" s="36" t="s">
        <v>310</v>
      </c>
      <c r="C339" s="29">
        <v>17</v>
      </c>
      <c r="D339" s="6" t="s">
        <v>314</v>
      </c>
      <c r="E339" s="6"/>
      <c r="F339" s="14" t="s">
        <v>38</v>
      </c>
      <c r="G339" s="2" t="s">
        <v>489</v>
      </c>
      <c r="H339" s="2" t="s">
        <v>40</v>
      </c>
      <c r="I339" s="3">
        <v>0</v>
      </c>
      <c r="J339" s="47">
        <v>45864</v>
      </c>
      <c r="K339" s="53">
        <f t="shared" si="28"/>
        <v>0</v>
      </c>
      <c r="L339" s="53">
        <f t="shared" si="29"/>
        <v>0</v>
      </c>
      <c r="M339" s="54">
        <f t="shared" si="30"/>
        <v>0</v>
      </c>
      <c r="N339" s="54">
        <f t="shared" si="31"/>
        <v>0</v>
      </c>
    </row>
    <row r="340" spans="1:14" ht="34.35" customHeight="1">
      <c r="A340" s="32" t="s">
        <v>741</v>
      </c>
      <c r="B340" s="36" t="s">
        <v>310</v>
      </c>
      <c r="C340" s="13">
        <v>18</v>
      </c>
      <c r="D340" s="5" t="s">
        <v>315</v>
      </c>
      <c r="E340" s="3" t="s">
        <v>458</v>
      </c>
      <c r="F340" s="14" t="s">
        <v>38</v>
      </c>
      <c r="G340" s="2" t="s">
        <v>316</v>
      </c>
      <c r="H340" s="2" t="s">
        <v>40</v>
      </c>
      <c r="I340" s="3">
        <v>280</v>
      </c>
      <c r="J340" s="47">
        <v>45865</v>
      </c>
      <c r="K340" s="53">
        <f t="shared" si="28"/>
        <v>23.33</v>
      </c>
      <c r="L340" s="53">
        <f t="shared" si="29"/>
        <v>23.33</v>
      </c>
      <c r="M340" s="54">
        <f t="shared" si="30"/>
        <v>23.33</v>
      </c>
      <c r="N340" s="54">
        <f t="shared" si="31"/>
        <v>23.33</v>
      </c>
    </row>
    <row r="341" spans="1:14" ht="34.35" customHeight="1">
      <c r="A341" s="32" t="s">
        <v>741</v>
      </c>
      <c r="B341" s="36" t="s">
        <v>310</v>
      </c>
      <c r="C341" s="13"/>
      <c r="D341" s="5" t="s">
        <v>315</v>
      </c>
      <c r="E341" s="3" t="s">
        <v>459</v>
      </c>
      <c r="F341" s="14" t="s">
        <v>136</v>
      </c>
      <c r="G341" s="2" t="s">
        <v>316</v>
      </c>
      <c r="H341" s="2" t="s">
        <v>40</v>
      </c>
      <c r="I341" s="3">
        <v>106</v>
      </c>
      <c r="J341" s="47">
        <v>45866</v>
      </c>
      <c r="K341" s="53">
        <f t="shared" si="28"/>
        <v>8.83</v>
      </c>
      <c r="L341" s="53">
        <f t="shared" si="29"/>
        <v>8.83</v>
      </c>
      <c r="M341" s="54">
        <f t="shared" si="30"/>
        <v>8.83</v>
      </c>
      <c r="N341" s="54">
        <f t="shared" si="31"/>
        <v>8.83</v>
      </c>
    </row>
    <row r="342" spans="1:14" ht="34.35" customHeight="1">
      <c r="A342" s="32" t="s">
        <v>741</v>
      </c>
      <c r="B342" s="36" t="s">
        <v>310</v>
      </c>
      <c r="C342" s="13">
        <v>19</v>
      </c>
      <c r="D342" s="5" t="s">
        <v>317</v>
      </c>
      <c r="E342" s="5"/>
      <c r="F342" s="14" t="s">
        <v>38</v>
      </c>
      <c r="G342" s="2" t="s">
        <v>316</v>
      </c>
      <c r="H342" s="2" t="s">
        <v>40</v>
      </c>
      <c r="I342" s="3">
        <v>0</v>
      </c>
      <c r="J342" s="47">
        <v>45867</v>
      </c>
      <c r="K342" s="53">
        <f t="shared" si="28"/>
        <v>0</v>
      </c>
      <c r="L342" s="53">
        <f t="shared" si="29"/>
        <v>0</v>
      </c>
      <c r="M342" s="54">
        <f t="shared" si="30"/>
        <v>0</v>
      </c>
      <c r="N342" s="54">
        <f t="shared" si="31"/>
        <v>0</v>
      </c>
    </row>
    <row r="343" spans="1:14" ht="34.35" customHeight="1">
      <c r="A343" s="32" t="s">
        <v>741</v>
      </c>
      <c r="B343" s="36" t="s">
        <v>310</v>
      </c>
      <c r="C343" s="13"/>
      <c r="D343" s="5" t="s">
        <v>317</v>
      </c>
      <c r="E343" s="5"/>
      <c r="F343" s="14" t="s">
        <v>136</v>
      </c>
      <c r="G343" s="2" t="s">
        <v>316</v>
      </c>
      <c r="H343" s="2" t="s">
        <v>40</v>
      </c>
      <c r="I343" s="3">
        <v>0</v>
      </c>
      <c r="J343" s="47">
        <v>45868</v>
      </c>
      <c r="K343" s="53">
        <f t="shared" si="28"/>
        <v>0</v>
      </c>
      <c r="L343" s="53">
        <f t="shared" si="29"/>
        <v>0</v>
      </c>
      <c r="M343" s="54">
        <f t="shared" si="30"/>
        <v>0</v>
      </c>
      <c r="N343" s="54">
        <f t="shared" si="31"/>
        <v>0</v>
      </c>
    </row>
    <row r="344" spans="1:14" ht="34.35" customHeight="1">
      <c r="A344" s="32" t="s">
        <v>741</v>
      </c>
      <c r="B344" s="36" t="s">
        <v>310</v>
      </c>
      <c r="C344" s="13">
        <v>20</v>
      </c>
      <c r="D344" s="5" t="s">
        <v>318</v>
      </c>
      <c r="E344" s="3" t="s">
        <v>460</v>
      </c>
      <c r="F344" s="14" t="s">
        <v>38</v>
      </c>
      <c r="G344" s="2" t="s">
        <v>316</v>
      </c>
      <c r="H344" s="2" t="s">
        <v>40</v>
      </c>
      <c r="I344" s="3">
        <v>192</v>
      </c>
      <c r="J344" s="47">
        <v>45867</v>
      </c>
      <c r="K344" s="53">
        <f t="shared" si="28"/>
        <v>16</v>
      </c>
      <c r="L344" s="53">
        <f t="shared" si="29"/>
        <v>16</v>
      </c>
      <c r="M344" s="54">
        <f t="shared" si="30"/>
        <v>16</v>
      </c>
      <c r="N344" s="54">
        <f t="shared" si="31"/>
        <v>16</v>
      </c>
    </row>
    <row r="345" spans="1:14" ht="34.35" customHeight="1">
      <c r="A345" s="32" t="s">
        <v>741</v>
      </c>
      <c r="B345" s="36" t="s">
        <v>310</v>
      </c>
      <c r="C345" s="13"/>
      <c r="D345" s="5" t="s">
        <v>318</v>
      </c>
      <c r="E345" s="3" t="s">
        <v>461</v>
      </c>
      <c r="F345" s="14" t="s">
        <v>136</v>
      </c>
      <c r="G345" s="2" t="s">
        <v>316</v>
      </c>
      <c r="H345" s="2" t="s">
        <v>40</v>
      </c>
      <c r="I345" s="3">
        <v>307</v>
      </c>
      <c r="J345" s="47">
        <v>45868</v>
      </c>
      <c r="K345" s="53">
        <f t="shared" si="28"/>
        <v>25.58</v>
      </c>
      <c r="L345" s="53">
        <f t="shared" si="29"/>
        <v>25.58</v>
      </c>
      <c r="M345" s="54">
        <f t="shared" si="30"/>
        <v>25.58</v>
      </c>
      <c r="N345" s="54">
        <f t="shared" si="31"/>
        <v>25.58</v>
      </c>
    </row>
    <row r="346" spans="1:14" ht="34.35" customHeight="1">
      <c r="A346" s="32" t="s">
        <v>741</v>
      </c>
      <c r="B346" s="9" t="s">
        <v>319</v>
      </c>
      <c r="C346" s="29">
        <v>21</v>
      </c>
      <c r="D346" s="5" t="s">
        <v>320</v>
      </c>
      <c r="E346" s="5"/>
      <c r="F346" s="14" t="s">
        <v>38</v>
      </c>
      <c r="G346" s="2" t="s">
        <v>321</v>
      </c>
      <c r="H346" s="2" t="s">
        <v>40</v>
      </c>
      <c r="I346" s="3">
        <v>0</v>
      </c>
      <c r="J346" s="47">
        <v>45867</v>
      </c>
      <c r="K346" s="53">
        <f t="shared" si="28"/>
        <v>0</v>
      </c>
      <c r="L346" s="53">
        <f t="shared" si="29"/>
        <v>0</v>
      </c>
      <c r="M346" s="54">
        <f t="shared" si="30"/>
        <v>0</v>
      </c>
      <c r="N346" s="54">
        <f t="shared" si="31"/>
        <v>0</v>
      </c>
    </row>
    <row r="347" spans="1:14" ht="34.35" customHeight="1">
      <c r="A347" s="32" t="s">
        <v>741</v>
      </c>
      <c r="B347" s="9" t="s">
        <v>319</v>
      </c>
      <c r="C347" s="29">
        <v>22</v>
      </c>
      <c r="D347" s="5" t="s">
        <v>322</v>
      </c>
      <c r="E347" s="5"/>
      <c r="F347" s="14" t="s">
        <v>38</v>
      </c>
      <c r="G347" s="2" t="s">
        <v>321</v>
      </c>
      <c r="H347" s="2" t="s">
        <v>40</v>
      </c>
      <c r="I347" s="3">
        <v>0</v>
      </c>
      <c r="J347" s="47">
        <v>45868</v>
      </c>
      <c r="K347" s="53">
        <f t="shared" si="28"/>
        <v>0</v>
      </c>
      <c r="L347" s="53">
        <f t="shared" si="29"/>
        <v>0</v>
      </c>
      <c r="M347" s="54">
        <f t="shared" si="30"/>
        <v>0</v>
      </c>
      <c r="N347" s="54">
        <f t="shared" si="31"/>
        <v>0</v>
      </c>
    </row>
    <row r="348" spans="1:14" ht="34.35" customHeight="1">
      <c r="A348" s="32" t="s">
        <v>741</v>
      </c>
      <c r="B348" s="9" t="s">
        <v>319</v>
      </c>
      <c r="C348" s="29">
        <v>23</v>
      </c>
      <c r="D348" s="5" t="s">
        <v>313</v>
      </c>
      <c r="E348" s="5"/>
      <c r="F348" s="14" t="s">
        <v>38</v>
      </c>
      <c r="G348" s="2" t="s">
        <v>321</v>
      </c>
      <c r="H348" s="2" t="s">
        <v>40</v>
      </c>
      <c r="I348" s="3">
        <v>0</v>
      </c>
      <c r="J348" s="47">
        <v>45867</v>
      </c>
      <c r="K348" s="53">
        <f t="shared" si="28"/>
        <v>0</v>
      </c>
      <c r="L348" s="53">
        <f t="shared" si="29"/>
        <v>0</v>
      </c>
      <c r="M348" s="54">
        <f t="shared" si="30"/>
        <v>0</v>
      </c>
      <c r="N348" s="54">
        <f t="shared" si="31"/>
        <v>0</v>
      </c>
    </row>
    <row r="349" spans="1:14" ht="34.35" customHeight="1">
      <c r="A349" s="32" t="s">
        <v>741</v>
      </c>
      <c r="B349" s="9" t="s">
        <v>319</v>
      </c>
      <c r="C349" s="29">
        <v>24</v>
      </c>
      <c r="D349" s="5" t="s">
        <v>323</v>
      </c>
      <c r="E349" s="5"/>
      <c r="F349" s="14" t="s">
        <v>38</v>
      </c>
      <c r="G349" s="2" t="s">
        <v>321</v>
      </c>
      <c r="H349" s="2" t="s">
        <v>40</v>
      </c>
      <c r="I349" s="3">
        <v>5</v>
      </c>
      <c r="J349" s="47">
        <v>45868</v>
      </c>
      <c r="K349" s="53">
        <f t="shared" si="28"/>
        <v>0.42</v>
      </c>
      <c r="L349" s="53">
        <f t="shared" si="29"/>
        <v>0.42</v>
      </c>
      <c r="M349" s="54">
        <f t="shared" si="30"/>
        <v>0.42</v>
      </c>
      <c r="N349" s="54">
        <f t="shared" si="31"/>
        <v>0.42</v>
      </c>
    </row>
    <row r="350" spans="1:14" ht="34.35" customHeight="1">
      <c r="A350" s="32" t="s">
        <v>741</v>
      </c>
      <c r="B350" s="30" t="s">
        <v>324</v>
      </c>
      <c r="C350" s="29">
        <v>25</v>
      </c>
      <c r="D350" s="5" t="s">
        <v>311</v>
      </c>
      <c r="E350" s="5"/>
      <c r="F350" s="14" t="s">
        <v>38</v>
      </c>
      <c r="G350" s="2" t="s">
        <v>312</v>
      </c>
      <c r="H350" s="2" t="s">
        <v>40</v>
      </c>
      <c r="I350" s="1">
        <v>0</v>
      </c>
      <c r="J350" s="47">
        <v>45867</v>
      </c>
      <c r="K350" s="53">
        <f t="shared" si="28"/>
        <v>0</v>
      </c>
      <c r="L350" s="53">
        <f t="shared" si="29"/>
        <v>0</v>
      </c>
      <c r="M350" s="54">
        <f t="shared" si="30"/>
        <v>0</v>
      </c>
      <c r="N350" s="54">
        <f t="shared" si="31"/>
        <v>0</v>
      </c>
    </row>
    <row r="351" spans="1:14" ht="34.35" customHeight="1">
      <c r="A351" s="32" t="s">
        <v>741</v>
      </c>
      <c r="B351" s="30" t="s">
        <v>324</v>
      </c>
      <c r="C351" s="29">
        <v>26</v>
      </c>
      <c r="D351" s="5" t="s">
        <v>313</v>
      </c>
      <c r="E351" s="5"/>
      <c r="F351" s="14" t="s">
        <v>38</v>
      </c>
      <c r="G351" s="2" t="s">
        <v>312</v>
      </c>
      <c r="H351" s="2"/>
      <c r="I351" s="1"/>
      <c r="J351" s="47">
        <v>45868</v>
      </c>
      <c r="K351" s="53">
        <f t="shared" si="28"/>
        <v>0</v>
      </c>
      <c r="L351" s="53">
        <f t="shared" si="29"/>
        <v>0</v>
      </c>
      <c r="M351" s="54">
        <f t="shared" si="30"/>
        <v>0</v>
      </c>
      <c r="N351" s="54">
        <f t="shared" si="31"/>
        <v>0</v>
      </c>
    </row>
    <row r="352" spans="1:14" ht="34.35" customHeight="1">
      <c r="A352" s="32" t="s">
        <v>741</v>
      </c>
      <c r="B352" s="30" t="s">
        <v>324</v>
      </c>
      <c r="C352" s="29">
        <v>27</v>
      </c>
      <c r="D352" s="6" t="s">
        <v>314</v>
      </c>
      <c r="E352" s="6"/>
      <c r="F352" s="14" t="s">
        <v>38</v>
      </c>
      <c r="G352" s="2" t="s">
        <v>312</v>
      </c>
      <c r="H352" s="2" t="s">
        <v>40</v>
      </c>
      <c r="I352" s="1">
        <v>0</v>
      </c>
      <c r="J352" s="47">
        <v>45867</v>
      </c>
      <c r="K352" s="53">
        <f t="shared" si="28"/>
        <v>0</v>
      </c>
      <c r="L352" s="53">
        <f t="shared" si="29"/>
        <v>0</v>
      </c>
      <c r="M352" s="54">
        <f t="shared" si="30"/>
        <v>0</v>
      </c>
      <c r="N352" s="54">
        <f t="shared" si="31"/>
        <v>0</v>
      </c>
    </row>
    <row r="353" spans="1:14" ht="34.35" customHeight="1">
      <c r="A353" s="32" t="s">
        <v>741</v>
      </c>
      <c r="B353" s="37" t="s">
        <v>325</v>
      </c>
      <c r="C353" s="13">
        <v>28</v>
      </c>
      <c r="D353" s="5" t="s">
        <v>326</v>
      </c>
      <c r="E353" s="5"/>
      <c r="F353" s="14" t="s">
        <v>38</v>
      </c>
      <c r="G353" s="2" t="s">
        <v>327</v>
      </c>
      <c r="H353" s="2" t="s">
        <v>40</v>
      </c>
      <c r="I353" s="1">
        <v>0</v>
      </c>
      <c r="J353" s="47">
        <v>45868</v>
      </c>
      <c r="K353" s="53">
        <f t="shared" si="28"/>
        <v>0</v>
      </c>
      <c r="L353" s="53">
        <f t="shared" si="29"/>
        <v>0</v>
      </c>
      <c r="M353" s="54">
        <f t="shared" si="30"/>
        <v>0</v>
      </c>
      <c r="N353" s="54">
        <f t="shared" si="31"/>
        <v>0</v>
      </c>
    </row>
    <row r="354" spans="1:14" ht="34.35" customHeight="1">
      <c r="A354" s="32" t="s">
        <v>741</v>
      </c>
      <c r="B354" s="37" t="s">
        <v>325</v>
      </c>
      <c r="C354" s="13"/>
      <c r="D354" s="5" t="s">
        <v>326</v>
      </c>
      <c r="E354" s="5"/>
      <c r="F354" s="14" t="s">
        <v>136</v>
      </c>
      <c r="G354" s="2" t="s">
        <v>327</v>
      </c>
      <c r="H354" s="2" t="s">
        <v>40</v>
      </c>
      <c r="I354" s="1">
        <v>0</v>
      </c>
      <c r="J354" s="47">
        <v>45867</v>
      </c>
      <c r="K354" s="53">
        <f t="shared" si="28"/>
        <v>0</v>
      </c>
      <c r="L354" s="53">
        <f t="shared" si="29"/>
        <v>0</v>
      </c>
      <c r="M354" s="54">
        <f t="shared" si="30"/>
        <v>0</v>
      </c>
      <c r="N354" s="54">
        <f t="shared" si="31"/>
        <v>0</v>
      </c>
    </row>
    <row r="355" spans="1:14" ht="34.35" customHeight="1">
      <c r="A355" s="32" t="s">
        <v>741</v>
      </c>
      <c r="B355" s="37" t="s">
        <v>325</v>
      </c>
      <c r="C355" s="13">
        <v>29</v>
      </c>
      <c r="D355" s="6" t="s">
        <v>328</v>
      </c>
      <c r="E355" s="6"/>
      <c r="F355" s="14" t="s">
        <v>38</v>
      </c>
      <c r="G355" s="2" t="s">
        <v>327</v>
      </c>
      <c r="H355" s="2" t="s">
        <v>40</v>
      </c>
      <c r="I355" s="1" t="s">
        <v>41</v>
      </c>
      <c r="J355" s="47">
        <v>45868</v>
      </c>
      <c r="K355" s="53" t="str">
        <f t="shared" si="28"/>
        <v>-</v>
      </c>
      <c r="L355" s="53" t="str">
        <f t="shared" si="29"/>
        <v>-</v>
      </c>
      <c r="M355" s="54" t="str">
        <f t="shared" si="30"/>
        <v>-</v>
      </c>
      <c r="N355" s="54" t="str">
        <f t="shared" si="31"/>
        <v>-</v>
      </c>
    </row>
    <row r="356" spans="1:14" ht="34.35" customHeight="1">
      <c r="A356" s="32" t="s">
        <v>741</v>
      </c>
      <c r="B356" s="37" t="s">
        <v>325</v>
      </c>
      <c r="C356" s="13"/>
      <c r="D356" s="6" t="s">
        <v>328</v>
      </c>
      <c r="E356" s="6"/>
      <c r="F356" s="14" t="s">
        <v>136</v>
      </c>
      <c r="G356" s="2" t="s">
        <v>327</v>
      </c>
      <c r="H356" s="2" t="s">
        <v>40</v>
      </c>
      <c r="I356" s="1" t="s">
        <v>41</v>
      </c>
      <c r="J356" s="47">
        <v>45867</v>
      </c>
      <c r="K356" s="53" t="str">
        <f t="shared" si="28"/>
        <v>-</v>
      </c>
      <c r="L356" s="53" t="str">
        <f t="shared" si="29"/>
        <v>-</v>
      </c>
      <c r="M356" s="54" t="str">
        <f t="shared" si="30"/>
        <v>-</v>
      </c>
      <c r="N356" s="54" t="str">
        <f t="shared" si="31"/>
        <v>-</v>
      </c>
    </row>
    <row r="357" spans="1:14" ht="34.35" customHeight="1">
      <c r="A357" s="32" t="s">
        <v>741</v>
      </c>
      <c r="B357" s="37" t="s">
        <v>325</v>
      </c>
      <c r="C357" s="13">
        <v>30</v>
      </c>
      <c r="D357" s="6" t="s">
        <v>329</v>
      </c>
      <c r="E357" s="6"/>
      <c r="F357" s="14" t="s">
        <v>38</v>
      </c>
      <c r="G357" s="2" t="s">
        <v>327</v>
      </c>
      <c r="H357" s="2" t="s">
        <v>40</v>
      </c>
      <c r="I357" s="1" t="s">
        <v>41</v>
      </c>
      <c r="J357" s="47">
        <v>45868</v>
      </c>
      <c r="K357" s="53" t="str">
        <f t="shared" si="28"/>
        <v>-</v>
      </c>
      <c r="L357" s="53" t="str">
        <f t="shared" si="29"/>
        <v>-</v>
      </c>
      <c r="M357" s="54" t="str">
        <f t="shared" si="30"/>
        <v>-</v>
      </c>
      <c r="N357" s="54" t="str">
        <f t="shared" si="31"/>
        <v>-</v>
      </c>
    </row>
    <row r="358" spans="1:14" ht="34.35" customHeight="1">
      <c r="A358" s="32" t="s">
        <v>741</v>
      </c>
      <c r="B358" s="37" t="s">
        <v>325</v>
      </c>
      <c r="C358" s="13"/>
      <c r="D358" s="6" t="s">
        <v>329</v>
      </c>
      <c r="E358" s="6"/>
      <c r="F358" s="14" t="s">
        <v>136</v>
      </c>
      <c r="G358" s="2" t="s">
        <v>327</v>
      </c>
      <c r="H358" s="2" t="s">
        <v>40</v>
      </c>
      <c r="I358" s="1" t="s">
        <v>41</v>
      </c>
      <c r="J358" s="47">
        <v>45867</v>
      </c>
      <c r="K358" s="53" t="str">
        <f t="shared" si="28"/>
        <v>-</v>
      </c>
      <c r="L358" s="53" t="str">
        <f t="shared" si="29"/>
        <v>-</v>
      </c>
      <c r="M358" s="54" t="str">
        <f t="shared" si="30"/>
        <v>-</v>
      </c>
      <c r="N358" s="54" t="str">
        <f t="shared" si="31"/>
        <v>-</v>
      </c>
    </row>
    <row r="359" spans="1:14" ht="34.35" customHeight="1">
      <c r="A359" s="32" t="s">
        <v>741</v>
      </c>
      <c r="B359" s="37" t="s">
        <v>325</v>
      </c>
      <c r="C359" s="13">
        <v>31</v>
      </c>
      <c r="D359" s="6" t="s">
        <v>462</v>
      </c>
      <c r="E359" s="6"/>
      <c r="F359" s="14" t="s">
        <v>38</v>
      </c>
      <c r="G359" s="2" t="s">
        <v>327</v>
      </c>
      <c r="H359" s="2" t="s">
        <v>40</v>
      </c>
      <c r="I359" s="1" t="s">
        <v>41</v>
      </c>
      <c r="J359" s="47">
        <v>45868</v>
      </c>
      <c r="K359" s="53" t="str">
        <f t="shared" si="28"/>
        <v>-</v>
      </c>
      <c r="L359" s="53" t="str">
        <f t="shared" si="29"/>
        <v>-</v>
      </c>
      <c r="M359" s="54" t="str">
        <f t="shared" si="30"/>
        <v>-</v>
      </c>
      <c r="N359" s="54" t="str">
        <f t="shared" si="31"/>
        <v>-</v>
      </c>
    </row>
    <row r="360" spans="1:14" ht="34.35" customHeight="1">
      <c r="A360" s="32" t="s">
        <v>741</v>
      </c>
      <c r="B360" s="37" t="s">
        <v>325</v>
      </c>
      <c r="C360" s="13"/>
      <c r="D360" s="6" t="s">
        <v>462</v>
      </c>
      <c r="E360" s="6"/>
      <c r="F360" s="14" t="s">
        <v>136</v>
      </c>
      <c r="G360" s="2" t="s">
        <v>327</v>
      </c>
      <c r="H360" s="2" t="s">
        <v>40</v>
      </c>
      <c r="I360" s="1" t="s">
        <v>41</v>
      </c>
      <c r="J360" s="47">
        <v>45867</v>
      </c>
      <c r="K360" s="53" t="str">
        <f t="shared" si="28"/>
        <v>-</v>
      </c>
      <c r="L360" s="53" t="str">
        <f t="shared" si="29"/>
        <v>-</v>
      </c>
      <c r="M360" s="54" t="str">
        <f t="shared" si="30"/>
        <v>-</v>
      </c>
      <c r="N360" s="54" t="str">
        <f t="shared" si="31"/>
        <v>-</v>
      </c>
    </row>
    <row r="361" spans="1:14" ht="34.35" customHeight="1">
      <c r="A361" s="32" t="s">
        <v>741</v>
      </c>
      <c r="B361" s="37" t="s">
        <v>325</v>
      </c>
      <c r="C361" s="13">
        <v>32</v>
      </c>
      <c r="D361" s="5" t="s">
        <v>331</v>
      </c>
      <c r="E361" s="5"/>
      <c r="F361" s="14" t="s">
        <v>38</v>
      </c>
      <c r="G361" s="2" t="s">
        <v>327</v>
      </c>
      <c r="H361" s="2" t="s">
        <v>332</v>
      </c>
      <c r="I361" s="1">
        <v>0</v>
      </c>
      <c r="J361" s="47">
        <v>45868</v>
      </c>
      <c r="K361" s="53">
        <f t="shared" si="28"/>
        <v>0</v>
      </c>
      <c r="L361" s="53">
        <f t="shared" si="29"/>
        <v>0</v>
      </c>
      <c r="M361" s="54">
        <f t="shared" si="30"/>
        <v>0</v>
      </c>
      <c r="N361" s="54">
        <f t="shared" si="31"/>
        <v>0</v>
      </c>
    </row>
    <row r="362" spans="1:14" ht="34.35" customHeight="1">
      <c r="A362" s="32" t="s">
        <v>741</v>
      </c>
      <c r="B362" s="37" t="s">
        <v>325</v>
      </c>
      <c r="C362" s="13"/>
      <c r="D362" s="5" t="s">
        <v>463</v>
      </c>
      <c r="E362" s="5"/>
      <c r="F362" s="14" t="s">
        <v>136</v>
      </c>
      <c r="G362" s="2" t="s">
        <v>327</v>
      </c>
      <c r="H362" s="2" t="s">
        <v>332</v>
      </c>
      <c r="I362" s="1">
        <v>0</v>
      </c>
      <c r="J362" s="47">
        <v>45867</v>
      </c>
      <c r="K362" s="53">
        <f t="shared" si="28"/>
        <v>0</v>
      </c>
      <c r="L362" s="53">
        <f t="shared" si="29"/>
        <v>0</v>
      </c>
      <c r="M362" s="54">
        <f t="shared" si="30"/>
        <v>0</v>
      </c>
      <c r="N362" s="54">
        <f t="shared" si="31"/>
        <v>0</v>
      </c>
    </row>
    <row r="363" spans="1:14" ht="34.35" customHeight="1">
      <c r="A363" s="32" t="s">
        <v>741</v>
      </c>
      <c r="B363" s="37" t="s">
        <v>325</v>
      </c>
      <c r="C363" s="13">
        <v>33</v>
      </c>
      <c r="D363" s="5" t="s">
        <v>464</v>
      </c>
      <c r="E363" s="5"/>
      <c r="F363" s="14" t="s">
        <v>38</v>
      </c>
      <c r="G363" s="2" t="s">
        <v>327</v>
      </c>
      <c r="H363" s="2" t="s">
        <v>332</v>
      </c>
      <c r="I363" s="1">
        <v>0</v>
      </c>
      <c r="J363" s="47">
        <v>45868</v>
      </c>
      <c r="K363" s="53">
        <f t="shared" si="28"/>
        <v>0</v>
      </c>
      <c r="L363" s="53">
        <f t="shared" si="29"/>
        <v>0</v>
      </c>
      <c r="M363" s="54">
        <f t="shared" si="30"/>
        <v>0</v>
      </c>
      <c r="N363" s="54">
        <f t="shared" si="31"/>
        <v>0</v>
      </c>
    </row>
    <row r="364" spans="1:14" ht="34.35" customHeight="1">
      <c r="A364" s="32" t="s">
        <v>741</v>
      </c>
      <c r="B364" s="37" t="s">
        <v>325</v>
      </c>
      <c r="C364" s="13"/>
      <c r="D364" s="5" t="s">
        <v>464</v>
      </c>
      <c r="E364" s="5"/>
      <c r="F364" s="14" t="s">
        <v>136</v>
      </c>
      <c r="G364" s="2" t="s">
        <v>327</v>
      </c>
      <c r="H364" s="2" t="s">
        <v>332</v>
      </c>
      <c r="I364" s="1">
        <v>0</v>
      </c>
      <c r="J364" s="47">
        <v>45867</v>
      </c>
      <c r="K364" s="53">
        <f t="shared" si="28"/>
        <v>0</v>
      </c>
      <c r="L364" s="53">
        <f t="shared" si="29"/>
        <v>0</v>
      </c>
      <c r="M364" s="54">
        <f t="shared" si="30"/>
        <v>0</v>
      </c>
      <c r="N364" s="54">
        <f t="shared" si="31"/>
        <v>0</v>
      </c>
    </row>
    <row r="365" spans="1:14" ht="34.35" customHeight="1">
      <c r="A365" s="32" t="s">
        <v>741</v>
      </c>
      <c r="B365" s="37" t="s">
        <v>325</v>
      </c>
      <c r="C365" s="13">
        <v>34</v>
      </c>
      <c r="D365" s="5" t="s">
        <v>336</v>
      </c>
      <c r="E365" s="5"/>
      <c r="F365" s="14" t="s">
        <v>38</v>
      </c>
      <c r="G365" s="2" t="s">
        <v>316</v>
      </c>
      <c r="H365" s="2" t="s">
        <v>40</v>
      </c>
      <c r="I365" s="1">
        <v>0</v>
      </c>
      <c r="J365" s="47">
        <v>45868</v>
      </c>
      <c r="K365" s="53">
        <f t="shared" si="28"/>
        <v>0</v>
      </c>
      <c r="L365" s="53">
        <f t="shared" si="29"/>
        <v>0</v>
      </c>
      <c r="M365" s="54">
        <f t="shared" si="30"/>
        <v>0</v>
      </c>
      <c r="N365" s="54">
        <f t="shared" si="31"/>
        <v>0</v>
      </c>
    </row>
    <row r="366" spans="1:14" ht="34.35" customHeight="1">
      <c r="A366" s="32" t="s">
        <v>741</v>
      </c>
      <c r="B366" s="37" t="s">
        <v>325</v>
      </c>
      <c r="C366" s="13"/>
      <c r="D366" s="5" t="s">
        <v>336</v>
      </c>
      <c r="E366" s="5"/>
      <c r="F366" s="14" t="s">
        <v>136</v>
      </c>
      <c r="G366" s="2" t="s">
        <v>316</v>
      </c>
      <c r="H366" s="2" t="s">
        <v>40</v>
      </c>
      <c r="I366" s="1">
        <v>0</v>
      </c>
      <c r="J366" s="47">
        <v>45867</v>
      </c>
      <c r="K366" s="53">
        <f t="shared" si="28"/>
        <v>0</v>
      </c>
      <c r="L366" s="53">
        <f t="shared" si="29"/>
        <v>0</v>
      </c>
      <c r="M366" s="54">
        <f t="shared" si="30"/>
        <v>0</v>
      </c>
      <c r="N366" s="54">
        <f t="shared" si="31"/>
        <v>0</v>
      </c>
    </row>
    <row r="367" spans="1:14" ht="34.35" customHeight="1">
      <c r="A367" s="32" t="s">
        <v>741</v>
      </c>
      <c r="B367" s="37" t="s">
        <v>325</v>
      </c>
      <c r="C367" s="13">
        <v>35</v>
      </c>
      <c r="D367" s="5" t="s">
        <v>338</v>
      </c>
      <c r="E367" s="5"/>
      <c r="F367" s="14" t="s">
        <v>38</v>
      </c>
      <c r="G367" s="2" t="s">
        <v>316</v>
      </c>
      <c r="H367" s="2" t="s">
        <v>40</v>
      </c>
      <c r="I367" s="1">
        <v>0</v>
      </c>
      <c r="J367" s="47">
        <v>45868</v>
      </c>
      <c r="K367" s="53">
        <f t="shared" si="28"/>
        <v>0</v>
      </c>
      <c r="L367" s="53">
        <f t="shared" si="29"/>
        <v>0</v>
      </c>
      <c r="M367" s="54">
        <f t="shared" si="30"/>
        <v>0</v>
      </c>
      <c r="N367" s="54">
        <f t="shared" si="31"/>
        <v>0</v>
      </c>
    </row>
    <row r="368" spans="1:14" ht="34.35" customHeight="1">
      <c r="A368" s="32" t="s">
        <v>741</v>
      </c>
      <c r="B368" s="37" t="s">
        <v>325</v>
      </c>
      <c r="C368" s="13"/>
      <c r="D368" s="5" t="s">
        <v>338</v>
      </c>
      <c r="E368" s="5"/>
      <c r="F368" s="14" t="s">
        <v>136</v>
      </c>
      <c r="G368" s="2" t="s">
        <v>316</v>
      </c>
      <c r="H368" s="2" t="s">
        <v>40</v>
      </c>
      <c r="I368" s="1">
        <v>0</v>
      </c>
      <c r="J368" s="47">
        <v>45867</v>
      </c>
      <c r="K368" s="53">
        <f t="shared" si="28"/>
        <v>0</v>
      </c>
      <c r="L368" s="53">
        <f t="shared" si="29"/>
        <v>0</v>
      </c>
      <c r="M368" s="54">
        <f t="shared" si="30"/>
        <v>0</v>
      </c>
      <c r="N368" s="54">
        <f t="shared" si="31"/>
        <v>0</v>
      </c>
    </row>
    <row r="369" spans="1:14" ht="34.35" customHeight="1">
      <c r="A369" s="32" t="s">
        <v>741</v>
      </c>
      <c r="B369" s="37" t="s">
        <v>325</v>
      </c>
      <c r="C369" s="13">
        <v>36</v>
      </c>
      <c r="D369" s="5" t="s">
        <v>339</v>
      </c>
      <c r="E369" s="1" t="s">
        <v>465</v>
      </c>
      <c r="F369" s="14" t="s">
        <v>133</v>
      </c>
      <c r="G369" s="2" t="s">
        <v>340</v>
      </c>
      <c r="H369" s="2" t="s">
        <v>341</v>
      </c>
      <c r="I369" s="19">
        <v>5.0000000000000001E-3</v>
      </c>
      <c r="J369" s="47">
        <v>45868</v>
      </c>
      <c r="K369" s="53">
        <f t="shared" si="28"/>
        <v>0</v>
      </c>
      <c r="L369" s="53">
        <f t="shared" si="29"/>
        <v>0</v>
      </c>
      <c r="M369" s="54">
        <f t="shared" si="30"/>
        <v>0</v>
      </c>
      <c r="N369" s="54">
        <f t="shared" si="31"/>
        <v>0</v>
      </c>
    </row>
    <row r="370" spans="1:14" ht="34.35" customHeight="1">
      <c r="A370" s="32" t="s">
        <v>741</v>
      </c>
      <c r="B370" s="37" t="s">
        <v>325</v>
      </c>
      <c r="C370" s="13"/>
      <c r="D370" s="5" t="s">
        <v>339</v>
      </c>
      <c r="E370" s="5"/>
      <c r="F370" s="14" t="s">
        <v>136</v>
      </c>
      <c r="G370" s="2" t="s">
        <v>340</v>
      </c>
      <c r="H370" s="2" t="s">
        <v>341</v>
      </c>
      <c r="I370" s="18" t="s">
        <v>41</v>
      </c>
      <c r="J370" s="47">
        <v>45867</v>
      </c>
      <c r="K370" s="53" t="str">
        <f t="shared" si="28"/>
        <v>-</v>
      </c>
      <c r="L370" s="53" t="str">
        <f t="shared" si="29"/>
        <v>-</v>
      </c>
      <c r="M370" s="54" t="str">
        <f t="shared" si="30"/>
        <v>-</v>
      </c>
      <c r="N370" s="54" t="str">
        <f t="shared" si="31"/>
        <v>-</v>
      </c>
    </row>
    <row r="371" spans="1:14" ht="34.35" customHeight="1">
      <c r="A371" s="32" t="s">
        <v>741</v>
      </c>
      <c r="B371" s="37" t="s">
        <v>325</v>
      </c>
      <c r="C371" s="13">
        <v>37</v>
      </c>
      <c r="D371" s="5" t="s">
        <v>342</v>
      </c>
      <c r="E371" s="5"/>
      <c r="F371" s="14" t="s">
        <v>133</v>
      </c>
      <c r="G371" s="2" t="s">
        <v>106</v>
      </c>
      <c r="H371" s="2" t="s">
        <v>285</v>
      </c>
      <c r="I371" s="55">
        <v>0.12</v>
      </c>
      <c r="J371" s="47">
        <v>45868</v>
      </c>
      <c r="K371" s="53">
        <f t="shared" si="28"/>
        <v>0.01</v>
      </c>
      <c r="L371" s="53">
        <f t="shared" si="29"/>
        <v>0.01</v>
      </c>
      <c r="M371" s="54">
        <f t="shared" si="30"/>
        <v>0.01</v>
      </c>
      <c r="N371" s="54">
        <f t="shared" si="31"/>
        <v>0.01</v>
      </c>
    </row>
    <row r="372" spans="1:14" ht="34.35" customHeight="1">
      <c r="A372" s="32" t="s">
        <v>741</v>
      </c>
      <c r="B372" s="37" t="s">
        <v>325</v>
      </c>
      <c r="C372" s="13"/>
      <c r="D372" s="5" t="s">
        <v>342</v>
      </c>
      <c r="E372" s="5"/>
      <c r="F372" s="14" t="s">
        <v>136</v>
      </c>
      <c r="G372" s="2" t="s">
        <v>106</v>
      </c>
      <c r="H372" s="2" t="s">
        <v>285</v>
      </c>
      <c r="I372" s="44">
        <v>30</v>
      </c>
      <c r="J372" s="47">
        <v>45867</v>
      </c>
      <c r="K372" s="53">
        <f t="shared" si="28"/>
        <v>2.5</v>
      </c>
      <c r="L372" s="53">
        <f t="shared" si="29"/>
        <v>2.5</v>
      </c>
      <c r="M372" s="54">
        <f t="shared" si="30"/>
        <v>2.5</v>
      </c>
      <c r="N372" s="54">
        <f t="shared" si="31"/>
        <v>2.5</v>
      </c>
    </row>
    <row r="373" spans="1:14" ht="34.35" customHeight="1">
      <c r="A373" s="32" t="s">
        <v>741</v>
      </c>
      <c r="B373" s="37" t="s">
        <v>325</v>
      </c>
      <c r="C373" s="13">
        <v>38</v>
      </c>
      <c r="D373" s="6" t="s">
        <v>343</v>
      </c>
      <c r="E373" s="6"/>
      <c r="F373" s="14" t="s">
        <v>38</v>
      </c>
      <c r="G373" s="2" t="s">
        <v>105</v>
      </c>
      <c r="H373" s="2"/>
      <c r="I373" s="3"/>
      <c r="J373" s="47">
        <v>45868</v>
      </c>
      <c r="K373" s="53">
        <f t="shared" si="28"/>
        <v>0</v>
      </c>
      <c r="L373" s="53">
        <f t="shared" si="29"/>
        <v>0</v>
      </c>
      <c r="M373" s="54">
        <f t="shared" si="30"/>
        <v>0</v>
      </c>
      <c r="N373" s="54">
        <f t="shared" si="31"/>
        <v>0</v>
      </c>
    </row>
    <row r="374" spans="1:14" ht="34.35" customHeight="1">
      <c r="A374" s="32" t="s">
        <v>741</v>
      </c>
      <c r="B374" s="37" t="s">
        <v>325</v>
      </c>
      <c r="C374" s="13"/>
      <c r="D374" s="6" t="s">
        <v>343</v>
      </c>
      <c r="E374" s="6"/>
      <c r="F374" s="14" t="s">
        <v>136</v>
      </c>
      <c r="G374" s="2" t="s">
        <v>105</v>
      </c>
      <c r="H374" s="2"/>
      <c r="I374" s="3"/>
      <c r="J374" s="47">
        <v>45867</v>
      </c>
      <c r="K374" s="53">
        <f t="shared" si="28"/>
        <v>0</v>
      </c>
      <c r="L374" s="53">
        <f t="shared" si="29"/>
        <v>0</v>
      </c>
      <c r="M374" s="54">
        <f t="shared" si="30"/>
        <v>0</v>
      </c>
      <c r="N374" s="54">
        <f t="shared" si="31"/>
        <v>0</v>
      </c>
    </row>
    <row r="375" spans="1:14" ht="34.35" customHeight="1">
      <c r="A375" s="32" t="s">
        <v>741</v>
      </c>
      <c r="B375" s="37" t="s">
        <v>325</v>
      </c>
      <c r="C375" s="29">
        <v>39</v>
      </c>
      <c r="D375" s="5" t="s">
        <v>344</v>
      </c>
      <c r="E375" s="5"/>
      <c r="F375" s="14" t="s">
        <v>136</v>
      </c>
      <c r="G375" s="2" t="s">
        <v>110</v>
      </c>
      <c r="H375" s="2" t="s">
        <v>345</v>
      </c>
      <c r="I375" s="3">
        <v>3.17</v>
      </c>
      <c r="J375" s="47">
        <v>45868</v>
      </c>
      <c r="K375" s="53">
        <f t="shared" si="28"/>
        <v>0.26</v>
      </c>
      <c r="L375" s="53">
        <f t="shared" si="29"/>
        <v>0.26</v>
      </c>
      <c r="M375" s="54">
        <f t="shared" si="30"/>
        <v>0.26</v>
      </c>
      <c r="N375" s="54">
        <f t="shared" si="31"/>
        <v>0.26</v>
      </c>
    </row>
    <row r="376" spans="1:14" ht="34.35" customHeight="1">
      <c r="A376" s="32" t="s">
        <v>741</v>
      </c>
      <c r="B376" s="37" t="s">
        <v>325</v>
      </c>
      <c r="C376" s="29">
        <v>40</v>
      </c>
      <c r="D376" s="5" t="s">
        <v>346</v>
      </c>
      <c r="E376" s="5"/>
      <c r="F376" s="14" t="s">
        <v>136</v>
      </c>
      <c r="G376" s="2" t="s">
        <v>110</v>
      </c>
      <c r="H376" s="2" t="s">
        <v>345</v>
      </c>
      <c r="I376" s="3">
        <v>5.84</v>
      </c>
      <c r="J376" s="47">
        <v>45867</v>
      </c>
      <c r="K376" s="53">
        <f t="shared" si="28"/>
        <v>0.49</v>
      </c>
      <c r="L376" s="53">
        <f t="shared" si="29"/>
        <v>0.49</v>
      </c>
      <c r="M376" s="54">
        <f t="shared" si="30"/>
        <v>0.49</v>
      </c>
      <c r="N376" s="54">
        <f t="shared" si="31"/>
        <v>0.49</v>
      </c>
    </row>
    <row r="377" spans="1:14" ht="34.35" customHeight="1">
      <c r="A377" s="32" t="s">
        <v>741</v>
      </c>
      <c r="B377" s="37" t="s">
        <v>325</v>
      </c>
      <c r="C377" s="13">
        <v>41</v>
      </c>
      <c r="D377" s="5" t="s">
        <v>347</v>
      </c>
      <c r="E377" s="5"/>
      <c r="F377" s="14" t="s">
        <v>38</v>
      </c>
      <c r="G377" s="2" t="s">
        <v>106</v>
      </c>
      <c r="H377" s="2" t="s">
        <v>285</v>
      </c>
      <c r="I377" s="44">
        <v>60</v>
      </c>
      <c r="J377" s="47">
        <v>45868</v>
      </c>
      <c r="K377" s="53">
        <f t="shared" si="28"/>
        <v>5</v>
      </c>
      <c r="L377" s="53">
        <f t="shared" si="29"/>
        <v>5</v>
      </c>
      <c r="M377" s="54">
        <f t="shared" si="30"/>
        <v>5</v>
      </c>
      <c r="N377" s="54">
        <f t="shared" si="31"/>
        <v>5</v>
      </c>
    </row>
    <row r="378" spans="1:14" ht="34.35" customHeight="1">
      <c r="A378" s="32" t="s">
        <v>741</v>
      </c>
      <c r="B378" s="37" t="s">
        <v>325</v>
      </c>
      <c r="C378" s="13"/>
      <c r="D378" s="5" t="s">
        <v>347</v>
      </c>
      <c r="E378" s="5"/>
      <c r="F378" s="14" t="s">
        <v>136</v>
      </c>
      <c r="G378" s="2" t="s">
        <v>106</v>
      </c>
      <c r="H378" s="2" t="s">
        <v>285</v>
      </c>
      <c r="I378" s="44">
        <v>500</v>
      </c>
      <c r="J378" s="47">
        <v>45867</v>
      </c>
      <c r="K378" s="53">
        <f t="shared" si="28"/>
        <v>41.67</v>
      </c>
      <c r="L378" s="53">
        <f t="shared" si="29"/>
        <v>41.67</v>
      </c>
      <c r="M378" s="54">
        <f t="shared" si="30"/>
        <v>41.67</v>
      </c>
      <c r="N378" s="54">
        <f t="shared" si="31"/>
        <v>41.67</v>
      </c>
    </row>
    <row r="379" spans="1:14" ht="34.35" customHeight="1">
      <c r="A379" s="32" t="s">
        <v>741</v>
      </c>
      <c r="B379" s="37" t="s">
        <v>325</v>
      </c>
      <c r="C379" s="29">
        <v>42</v>
      </c>
      <c r="D379" s="5" t="s">
        <v>349</v>
      </c>
      <c r="E379" s="5"/>
      <c r="F379" s="14" t="s">
        <v>136</v>
      </c>
      <c r="G379" s="2" t="s">
        <v>340</v>
      </c>
      <c r="H379" s="2" t="s">
        <v>134</v>
      </c>
      <c r="I379" s="3">
        <v>5.4</v>
      </c>
      <c r="J379" s="47">
        <v>45868</v>
      </c>
      <c r="K379" s="53">
        <f t="shared" ref="K379:K393" si="32">IF(I379=0,0,IF(I379="-","-",ROUND(I379/12,2)))</f>
        <v>0.45</v>
      </c>
      <c r="L379" s="53">
        <f t="shared" ref="L379:L417" si="33">K379</f>
        <v>0.45</v>
      </c>
      <c r="M379" s="54">
        <f t="shared" ref="M379:M417" si="34">K379</f>
        <v>0.45</v>
      </c>
      <c r="N379" s="54">
        <f t="shared" ref="N379:N417" si="35">L379</f>
        <v>0.45</v>
      </c>
    </row>
    <row r="380" spans="1:14" ht="34.35" customHeight="1">
      <c r="A380" s="32" t="s">
        <v>741</v>
      </c>
      <c r="B380" s="37" t="s">
        <v>325</v>
      </c>
      <c r="C380" s="13">
        <v>43</v>
      </c>
      <c r="D380" s="5" t="s">
        <v>350</v>
      </c>
      <c r="E380" s="5"/>
      <c r="F380" s="14" t="s">
        <v>38</v>
      </c>
      <c r="G380" s="2" t="s">
        <v>106</v>
      </c>
      <c r="H380" s="2" t="s">
        <v>134</v>
      </c>
      <c r="I380" s="44">
        <v>200</v>
      </c>
      <c r="J380" s="47">
        <v>45867</v>
      </c>
      <c r="K380" s="53">
        <f t="shared" si="32"/>
        <v>16.670000000000002</v>
      </c>
      <c r="L380" s="53">
        <f t="shared" si="33"/>
        <v>16.670000000000002</v>
      </c>
      <c r="M380" s="54">
        <f t="shared" si="34"/>
        <v>16.670000000000002</v>
      </c>
      <c r="N380" s="54">
        <f t="shared" si="35"/>
        <v>16.670000000000002</v>
      </c>
    </row>
    <row r="381" spans="1:14" ht="34.35" customHeight="1">
      <c r="A381" s="32" t="s">
        <v>741</v>
      </c>
      <c r="B381" s="37" t="s">
        <v>325</v>
      </c>
      <c r="C381" s="13"/>
      <c r="D381" s="5" t="s">
        <v>350</v>
      </c>
      <c r="E381" s="5"/>
      <c r="F381" s="14" t="s">
        <v>136</v>
      </c>
      <c r="G381" s="2" t="s">
        <v>106</v>
      </c>
      <c r="H381" s="2" t="s">
        <v>134</v>
      </c>
      <c r="I381" s="44">
        <v>90</v>
      </c>
      <c r="J381" s="47">
        <v>45868</v>
      </c>
      <c r="K381" s="53">
        <f t="shared" si="32"/>
        <v>7.5</v>
      </c>
      <c r="L381" s="53">
        <f t="shared" si="33"/>
        <v>7.5</v>
      </c>
      <c r="M381" s="54">
        <f t="shared" si="34"/>
        <v>7.5</v>
      </c>
      <c r="N381" s="54">
        <f t="shared" si="35"/>
        <v>7.5</v>
      </c>
    </row>
    <row r="382" spans="1:14" ht="34.35" customHeight="1">
      <c r="A382" s="32" t="s">
        <v>741</v>
      </c>
      <c r="B382" s="15" t="s">
        <v>351</v>
      </c>
      <c r="C382" s="29">
        <v>44</v>
      </c>
      <c r="D382" s="7" t="s">
        <v>41</v>
      </c>
      <c r="E382" s="3" t="s">
        <v>352</v>
      </c>
      <c r="F382" s="14" t="s">
        <v>353</v>
      </c>
      <c r="G382" s="2" t="s">
        <v>489</v>
      </c>
      <c r="H382" s="28" t="s">
        <v>40</v>
      </c>
      <c r="I382" s="41">
        <v>1.2</v>
      </c>
      <c r="J382" s="47">
        <v>45867</v>
      </c>
      <c r="K382" s="53">
        <f t="shared" si="32"/>
        <v>0.1</v>
      </c>
      <c r="L382" s="53">
        <f t="shared" si="33"/>
        <v>0.1</v>
      </c>
      <c r="M382" s="54">
        <f t="shared" si="34"/>
        <v>0.1</v>
      </c>
      <c r="N382" s="54">
        <f t="shared" si="35"/>
        <v>0.1</v>
      </c>
    </row>
    <row r="383" spans="1:14" ht="34.35" customHeight="1">
      <c r="A383" s="32" t="s">
        <v>741</v>
      </c>
      <c r="B383" s="10" t="s">
        <v>354</v>
      </c>
      <c r="C383" s="29">
        <v>45</v>
      </c>
      <c r="D383" s="7" t="s">
        <v>41</v>
      </c>
      <c r="E383" s="1" t="s">
        <v>466</v>
      </c>
      <c r="F383" s="14" t="s">
        <v>353</v>
      </c>
      <c r="G383" s="2" t="s">
        <v>327</v>
      </c>
      <c r="H383" s="28" t="s">
        <v>40</v>
      </c>
      <c r="I383" s="1">
        <v>0</v>
      </c>
      <c r="J383" s="47">
        <v>45868</v>
      </c>
      <c r="K383" s="53">
        <f t="shared" si="32"/>
        <v>0</v>
      </c>
      <c r="L383" s="53">
        <f t="shared" si="33"/>
        <v>0</v>
      </c>
      <c r="M383" s="54">
        <f t="shared" si="34"/>
        <v>0</v>
      </c>
      <c r="N383" s="54">
        <f t="shared" si="35"/>
        <v>0</v>
      </c>
    </row>
    <row r="384" spans="1:14" ht="34.35" customHeight="1">
      <c r="A384" s="32" t="s">
        <v>741</v>
      </c>
      <c r="B384" s="10" t="s">
        <v>356</v>
      </c>
      <c r="C384" s="29">
        <v>46</v>
      </c>
      <c r="D384" s="7" t="s">
        <v>41</v>
      </c>
      <c r="E384" s="1" t="s">
        <v>466</v>
      </c>
      <c r="F384" s="14" t="s">
        <v>353</v>
      </c>
      <c r="G384" s="2" t="s">
        <v>321</v>
      </c>
      <c r="H384" s="28" t="s">
        <v>40</v>
      </c>
      <c r="I384" s="1">
        <v>0</v>
      </c>
      <c r="J384" s="47">
        <v>45867</v>
      </c>
      <c r="K384" s="53">
        <f t="shared" si="32"/>
        <v>0</v>
      </c>
      <c r="L384" s="53">
        <f t="shared" si="33"/>
        <v>0</v>
      </c>
      <c r="M384" s="54">
        <f t="shared" si="34"/>
        <v>0</v>
      </c>
      <c r="N384" s="54">
        <f t="shared" si="35"/>
        <v>0</v>
      </c>
    </row>
    <row r="385" spans="1:14" ht="34.35" customHeight="1">
      <c r="A385" s="32" t="s">
        <v>742</v>
      </c>
      <c r="B385" s="11" t="s">
        <v>357</v>
      </c>
      <c r="C385" s="29">
        <v>62</v>
      </c>
      <c r="D385" s="7" t="s">
        <v>41</v>
      </c>
      <c r="E385" s="7"/>
      <c r="F385" s="14" t="s">
        <v>38</v>
      </c>
      <c r="G385" s="2" t="s">
        <v>489</v>
      </c>
      <c r="H385" s="4"/>
      <c r="I385" s="1"/>
      <c r="J385" s="47">
        <v>45868</v>
      </c>
      <c r="K385" s="53">
        <f t="shared" si="32"/>
        <v>0</v>
      </c>
      <c r="L385" s="53">
        <f t="shared" si="33"/>
        <v>0</v>
      </c>
      <c r="M385" s="54">
        <f t="shared" si="34"/>
        <v>0</v>
      </c>
      <c r="N385" s="54">
        <f t="shared" si="35"/>
        <v>0</v>
      </c>
    </row>
    <row r="386" spans="1:14" ht="34.35" customHeight="1">
      <c r="A386" s="32" t="s">
        <v>742</v>
      </c>
      <c r="B386" s="30" t="s">
        <v>467</v>
      </c>
      <c r="C386" s="29">
        <v>63</v>
      </c>
      <c r="D386" s="6" t="s">
        <v>468</v>
      </c>
      <c r="E386" s="6"/>
      <c r="F386" s="14" t="s">
        <v>469</v>
      </c>
      <c r="G386" s="2" t="s">
        <v>470</v>
      </c>
      <c r="H386" s="2" t="s">
        <v>40</v>
      </c>
      <c r="I386" s="17"/>
      <c r="J386" s="47">
        <v>45867</v>
      </c>
      <c r="K386" s="53">
        <f t="shared" si="32"/>
        <v>0</v>
      </c>
      <c r="L386" s="53">
        <f t="shared" si="33"/>
        <v>0</v>
      </c>
      <c r="M386" s="54">
        <f t="shared" si="34"/>
        <v>0</v>
      </c>
      <c r="N386" s="54">
        <f t="shared" si="35"/>
        <v>0</v>
      </c>
    </row>
    <row r="387" spans="1:14" ht="34.35" customHeight="1">
      <c r="A387" s="32" t="s">
        <v>742</v>
      </c>
      <c r="B387" s="30" t="s">
        <v>467</v>
      </c>
      <c r="C387" s="29">
        <v>64</v>
      </c>
      <c r="D387" s="6" t="s">
        <v>472</v>
      </c>
      <c r="E387" s="6"/>
      <c r="F387" s="14" t="s">
        <v>473</v>
      </c>
      <c r="G387" s="2" t="s">
        <v>470</v>
      </c>
      <c r="H387" s="2" t="s">
        <v>40</v>
      </c>
      <c r="I387" s="1"/>
      <c r="J387" s="47">
        <v>45868</v>
      </c>
      <c r="K387" s="53">
        <f t="shared" si="32"/>
        <v>0</v>
      </c>
      <c r="L387" s="53">
        <f t="shared" si="33"/>
        <v>0</v>
      </c>
      <c r="M387" s="54">
        <f t="shared" si="34"/>
        <v>0</v>
      </c>
      <c r="N387" s="54">
        <f t="shared" si="35"/>
        <v>0</v>
      </c>
    </row>
    <row r="388" spans="1:14" ht="34.35" customHeight="1">
      <c r="A388" s="32" t="s">
        <v>742</v>
      </c>
      <c r="B388" s="30" t="s">
        <v>467</v>
      </c>
      <c r="C388" s="29">
        <v>65</v>
      </c>
      <c r="D388" s="6" t="s">
        <v>475</v>
      </c>
      <c r="E388" s="6"/>
      <c r="F388" s="22" t="s">
        <v>133</v>
      </c>
      <c r="G388" s="2" t="s">
        <v>470</v>
      </c>
      <c r="H388" s="2" t="s">
        <v>477</v>
      </c>
      <c r="I388" s="17">
        <v>1</v>
      </c>
      <c r="J388" s="47">
        <v>45867</v>
      </c>
      <c r="K388" s="53">
        <f t="shared" si="32"/>
        <v>0.08</v>
      </c>
      <c r="L388" s="53">
        <f t="shared" si="33"/>
        <v>0.08</v>
      </c>
      <c r="M388" s="54">
        <f t="shared" si="34"/>
        <v>0.08</v>
      </c>
      <c r="N388" s="54">
        <f t="shared" si="35"/>
        <v>0.08</v>
      </c>
    </row>
    <row r="389" spans="1:14" ht="34.35" customHeight="1">
      <c r="A389" s="32" t="s">
        <v>742</v>
      </c>
      <c r="B389" s="30" t="s">
        <v>467</v>
      </c>
      <c r="C389" s="29">
        <v>66</v>
      </c>
      <c r="D389" s="6" t="s">
        <v>481</v>
      </c>
      <c r="E389" s="6"/>
      <c r="F389" s="14" t="s">
        <v>38</v>
      </c>
      <c r="G389" s="2" t="s">
        <v>470</v>
      </c>
      <c r="H389" s="2" t="s">
        <v>40</v>
      </c>
      <c r="I389" s="1"/>
      <c r="J389" s="47">
        <v>45868</v>
      </c>
      <c r="K389" s="53">
        <f t="shared" si="32"/>
        <v>0</v>
      </c>
      <c r="L389" s="53">
        <f t="shared" si="33"/>
        <v>0</v>
      </c>
      <c r="M389" s="54">
        <f t="shared" si="34"/>
        <v>0</v>
      </c>
      <c r="N389" s="54">
        <f t="shared" si="35"/>
        <v>0</v>
      </c>
    </row>
    <row r="390" spans="1:14" ht="34.35" customHeight="1">
      <c r="A390" s="32" t="s">
        <v>742</v>
      </c>
      <c r="B390" s="30" t="s">
        <v>467</v>
      </c>
      <c r="C390" s="29">
        <v>67</v>
      </c>
      <c r="D390" s="6" t="s">
        <v>484</v>
      </c>
      <c r="E390" s="6"/>
      <c r="F390" s="14" t="s">
        <v>38</v>
      </c>
      <c r="G390" s="2" t="s">
        <v>470</v>
      </c>
      <c r="H390" s="2" t="s">
        <v>40</v>
      </c>
      <c r="I390" s="17"/>
      <c r="J390" s="47">
        <v>45867</v>
      </c>
      <c r="K390" s="53">
        <f t="shared" si="32"/>
        <v>0</v>
      </c>
      <c r="L390" s="53">
        <f t="shared" si="33"/>
        <v>0</v>
      </c>
      <c r="M390" s="54">
        <f t="shared" si="34"/>
        <v>0</v>
      </c>
      <c r="N390" s="54">
        <f t="shared" si="35"/>
        <v>0</v>
      </c>
    </row>
    <row r="391" spans="1:14" ht="34.35" customHeight="1">
      <c r="A391" s="32" t="s">
        <v>742</v>
      </c>
      <c r="B391" s="12" t="s">
        <v>487</v>
      </c>
      <c r="C391" s="29">
        <v>68</v>
      </c>
      <c r="D391" s="6" t="s">
        <v>41</v>
      </c>
      <c r="E391" s="6"/>
      <c r="F391" s="14" t="s">
        <v>38</v>
      </c>
      <c r="G391" s="2" t="s">
        <v>134</v>
      </c>
      <c r="H391" s="2" t="s">
        <v>40</v>
      </c>
      <c r="I391" s="17"/>
      <c r="J391" s="47">
        <v>45868</v>
      </c>
      <c r="K391" s="53">
        <f t="shared" si="32"/>
        <v>0</v>
      </c>
      <c r="L391" s="53">
        <f t="shared" si="33"/>
        <v>0</v>
      </c>
      <c r="M391" s="54">
        <f t="shared" si="34"/>
        <v>0</v>
      </c>
      <c r="N391" s="54">
        <f t="shared" si="35"/>
        <v>0</v>
      </c>
    </row>
    <row r="392" spans="1:14" ht="34.35" customHeight="1">
      <c r="A392" s="32" t="s">
        <v>742</v>
      </c>
      <c r="B392" s="11" t="s">
        <v>488</v>
      </c>
      <c r="C392" s="29">
        <v>69</v>
      </c>
      <c r="D392" s="6" t="s">
        <v>41</v>
      </c>
      <c r="E392" s="17" t="s">
        <v>743</v>
      </c>
      <c r="F392" s="14" t="s">
        <v>38</v>
      </c>
      <c r="G392" s="2" t="s">
        <v>489</v>
      </c>
      <c r="H392" s="2" t="s">
        <v>40</v>
      </c>
      <c r="I392" s="45">
        <v>3.2</v>
      </c>
      <c r="J392" s="47">
        <v>45867</v>
      </c>
      <c r="K392" s="53">
        <f t="shared" si="32"/>
        <v>0.27</v>
      </c>
      <c r="L392" s="53">
        <f t="shared" si="33"/>
        <v>0.27</v>
      </c>
      <c r="M392" s="54">
        <f t="shared" si="34"/>
        <v>0.27</v>
      </c>
      <c r="N392" s="54">
        <f t="shared" si="35"/>
        <v>0.27</v>
      </c>
    </row>
    <row r="393" spans="1:14" ht="34.35" customHeight="1">
      <c r="A393" s="32" t="s">
        <v>744</v>
      </c>
      <c r="B393" s="11" t="s">
        <v>745</v>
      </c>
      <c r="C393" s="29">
        <v>70</v>
      </c>
      <c r="D393" s="6" t="s">
        <v>504</v>
      </c>
      <c r="E393" s="21" t="s">
        <v>746</v>
      </c>
      <c r="F393" s="14" t="s">
        <v>38</v>
      </c>
      <c r="G393" s="2" t="s">
        <v>109</v>
      </c>
      <c r="H393" s="2" t="s">
        <v>40</v>
      </c>
      <c r="I393" s="21">
        <v>0.33</v>
      </c>
      <c r="J393" s="47">
        <v>45868</v>
      </c>
      <c r="K393" s="53">
        <f t="shared" si="32"/>
        <v>0.03</v>
      </c>
      <c r="L393" s="53">
        <f t="shared" si="33"/>
        <v>0.03</v>
      </c>
      <c r="M393" s="54">
        <f t="shared" si="34"/>
        <v>0.03</v>
      </c>
      <c r="N393" s="54">
        <f t="shared" si="35"/>
        <v>0.03</v>
      </c>
    </row>
    <row r="394" spans="1:14" ht="34.35" customHeight="1">
      <c r="A394" s="32" t="s">
        <v>744</v>
      </c>
      <c r="B394" s="11" t="s">
        <v>745</v>
      </c>
      <c r="C394" s="29"/>
      <c r="D394" s="6" t="s">
        <v>508</v>
      </c>
      <c r="E394" s="21" t="s">
        <v>585</v>
      </c>
      <c r="F394" s="14"/>
      <c r="G394" s="2"/>
      <c r="H394" s="2" t="s">
        <v>40</v>
      </c>
      <c r="I394" s="21">
        <v>0.1</v>
      </c>
      <c r="J394" s="47">
        <v>45867</v>
      </c>
      <c r="K394" s="53">
        <f>IF(I394=0,0,IF(I394="-","-",ROUND(I394/12,2)))</f>
        <v>0.01</v>
      </c>
      <c r="L394" s="53">
        <f t="shared" si="33"/>
        <v>0.01</v>
      </c>
      <c r="M394" s="54">
        <f t="shared" si="34"/>
        <v>0.01</v>
      </c>
      <c r="N394" s="54">
        <f t="shared" si="35"/>
        <v>0.01</v>
      </c>
    </row>
    <row r="395" spans="1:14" ht="34.35" customHeight="1">
      <c r="A395" s="32" t="s">
        <v>744</v>
      </c>
      <c r="B395" s="11" t="s">
        <v>516</v>
      </c>
      <c r="C395" s="29">
        <v>71</v>
      </c>
      <c r="D395" s="6" t="s">
        <v>41</v>
      </c>
      <c r="E395" s="1" t="s">
        <v>519</v>
      </c>
      <c r="F395" s="14" t="s">
        <v>38</v>
      </c>
      <c r="G395" s="2" t="s">
        <v>510</v>
      </c>
      <c r="H395" s="2"/>
      <c r="I395" s="1">
        <v>70</v>
      </c>
      <c r="J395" s="47">
        <v>45868</v>
      </c>
      <c r="K395" s="53">
        <f t="shared" ref="K395:K417" si="36">IF(I395=0,0,IF(I395="-","-",ROUND(I395/12,2)))</f>
        <v>5.83</v>
      </c>
      <c r="L395" s="53">
        <f t="shared" si="33"/>
        <v>5.83</v>
      </c>
      <c r="M395" s="54">
        <f t="shared" si="34"/>
        <v>5.83</v>
      </c>
      <c r="N395" s="54">
        <f t="shared" si="35"/>
        <v>5.83</v>
      </c>
    </row>
    <row r="396" spans="1:14" ht="34.35" customHeight="1">
      <c r="A396" s="38" t="s">
        <v>747</v>
      </c>
      <c r="B396" s="37" t="s">
        <v>586</v>
      </c>
      <c r="C396" s="13">
        <v>54</v>
      </c>
      <c r="D396" s="5" t="s">
        <v>587</v>
      </c>
      <c r="E396" s="3" t="s">
        <v>588</v>
      </c>
      <c r="F396" s="14" t="s">
        <v>589</v>
      </c>
      <c r="G396" s="2" t="s">
        <v>106</v>
      </c>
      <c r="H396" s="2" t="s">
        <v>40</v>
      </c>
      <c r="I396" s="42">
        <v>40244</v>
      </c>
      <c r="J396" s="47">
        <v>45867</v>
      </c>
      <c r="K396" s="53">
        <f t="shared" si="36"/>
        <v>3353.67</v>
      </c>
      <c r="L396" s="53">
        <f t="shared" si="33"/>
        <v>3353.67</v>
      </c>
      <c r="M396" s="54">
        <f t="shared" si="34"/>
        <v>3353.67</v>
      </c>
      <c r="N396" s="54">
        <f t="shared" si="35"/>
        <v>3353.67</v>
      </c>
    </row>
    <row r="397" spans="1:14" ht="34.35" customHeight="1">
      <c r="A397" s="38" t="s">
        <v>747</v>
      </c>
      <c r="B397" s="37" t="s">
        <v>586</v>
      </c>
      <c r="C397" s="13"/>
      <c r="D397" s="5" t="s">
        <v>593</v>
      </c>
      <c r="E397" s="5"/>
      <c r="F397" s="14" t="s">
        <v>714</v>
      </c>
      <c r="G397" s="2" t="s">
        <v>106</v>
      </c>
      <c r="H397" s="2" t="s">
        <v>40</v>
      </c>
      <c r="I397" s="21">
        <v>-0.02</v>
      </c>
      <c r="J397" s="47">
        <v>45868</v>
      </c>
      <c r="K397" s="53">
        <f t="shared" si="36"/>
        <v>0</v>
      </c>
      <c r="L397" s="53">
        <f t="shared" si="33"/>
        <v>0</v>
      </c>
      <c r="M397" s="54">
        <f t="shared" si="34"/>
        <v>0</v>
      </c>
      <c r="N397" s="54">
        <f t="shared" si="35"/>
        <v>0</v>
      </c>
    </row>
    <row r="398" spans="1:14" ht="34.35" customHeight="1">
      <c r="A398" s="38" t="s">
        <v>747</v>
      </c>
      <c r="B398" s="37" t="s">
        <v>586</v>
      </c>
      <c r="C398" s="13">
        <v>55</v>
      </c>
      <c r="D398" s="5" t="s">
        <v>595</v>
      </c>
      <c r="E398" s="5"/>
      <c r="F398" s="14" t="s">
        <v>133</v>
      </c>
      <c r="G398" s="2" t="s">
        <v>106</v>
      </c>
      <c r="H398" s="2" t="s">
        <v>597</v>
      </c>
      <c r="I398" s="17">
        <v>-7.0000000000000007E-2</v>
      </c>
      <c r="J398" s="47">
        <v>45867</v>
      </c>
      <c r="K398" s="53">
        <f t="shared" si="36"/>
        <v>-0.01</v>
      </c>
      <c r="L398" s="53">
        <f t="shared" si="33"/>
        <v>-0.01</v>
      </c>
      <c r="M398" s="54">
        <f t="shared" si="34"/>
        <v>-0.01</v>
      </c>
      <c r="N398" s="54">
        <f t="shared" si="35"/>
        <v>-0.01</v>
      </c>
    </row>
    <row r="399" spans="1:14" ht="34.35" customHeight="1">
      <c r="A399" s="38" t="s">
        <v>747</v>
      </c>
      <c r="B399" s="37" t="s">
        <v>586</v>
      </c>
      <c r="C399" s="13"/>
      <c r="D399" s="5" t="s">
        <v>595</v>
      </c>
      <c r="E399" s="5"/>
      <c r="F399" s="14" t="s">
        <v>589</v>
      </c>
      <c r="G399" s="2" t="s">
        <v>106</v>
      </c>
      <c r="H399" s="2" t="s">
        <v>597</v>
      </c>
      <c r="I399" s="26">
        <v>-3020</v>
      </c>
      <c r="J399" s="47">
        <v>45868</v>
      </c>
      <c r="K399" s="53">
        <f t="shared" si="36"/>
        <v>-251.67</v>
      </c>
      <c r="L399" s="53">
        <f t="shared" si="33"/>
        <v>-251.67</v>
      </c>
      <c r="M399" s="54">
        <f t="shared" si="34"/>
        <v>-251.67</v>
      </c>
      <c r="N399" s="54">
        <f t="shared" si="35"/>
        <v>-251.67</v>
      </c>
    </row>
    <row r="400" spans="1:14" ht="34.35" customHeight="1">
      <c r="A400" s="38" t="s">
        <v>747</v>
      </c>
      <c r="B400" s="37" t="s">
        <v>586</v>
      </c>
      <c r="C400" s="13">
        <v>56</v>
      </c>
      <c r="D400" s="25" t="s">
        <v>599</v>
      </c>
      <c r="E400" s="25"/>
      <c r="F400" s="14" t="s">
        <v>288</v>
      </c>
      <c r="G400" s="2" t="s">
        <v>106</v>
      </c>
      <c r="H400" s="2" t="s">
        <v>40</v>
      </c>
      <c r="I400" s="1">
        <v>39</v>
      </c>
      <c r="J400" s="47">
        <v>45867</v>
      </c>
      <c r="K400" s="53">
        <f t="shared" si="36"/>
        <v>3.25</v>
      </c>
      <c r="L400" s="53">
        <f t="shared" si="33"/>
        <v>3.25</v>
      </c>
      <c r="M400" s="54">
        <f t="shared" si="34"/>
        <v>3.25</v>
      </c>
      <c r="N400" s="54">
        <f t="shared" si="35"/>
        <v>3.25</v>
      </c>
    </row>
    <row r="401" spans="1:14" ht="34.35" customHeight="1">
      <c r="A401" s="38" t="s">
        <v>747</v>
      </c>
      <c r="B401" s="37" t="s">
        <v>586</v>
      </c>
      <c r="C401" s="13">
        <v>57</v>
      </c>
      <c r="D401" s="25" t="s">
        <v>601</v>
      </c>
      <c r="E401" s="1" t="s">
        <v>748</v>
      </c>
      <c r="F401" s="14" t="s">
        <v>136</v>
      </c>
      <c r="G401" s="2" t="s">
        <v>106</v>
      </c>
      <c r="H401" s="2" t="s">
        <v>40</v>
      </c>
      <c r="I401" s="1">
        <v>251.99</v>
      </c>
      <c r="J401" s="47">
        <v>45868</v>
      </c>
      <c r="K401" s="53">
        <f t="shared" si="36"/>
        <v>21</v>
      </c>
      <c r="L401" s="53">
        <f t="shared" si="33"/>
        <v>21</v>
      </c>
      <c r="M401" s="54">
        <f t="shared" si="34"/>
        <v>21</v>
      </c>
      <c r="N401" s="54">
        <f t="shared" si="35"/>
        <v>21</v>
      </c>
    </row>
    <row r="402" spans="1:14" ht="34.35" customHeight="1">
      <c r="A402" s="38" t="s">
        <v>747</v>
      </c>
      <c r="B402" s="37" t="s">
        <v>604</v>
      </c>
      <c r="C402" s="13">
        <v>58</v>
      </c>
      <c r="D402" s="25" t="s">
        <v>605</v>
      </c>
      <c r="E402" s="1" t="s">
        <v>749</v>
      </c>
      <c r="F402" s="14" t="s">
        <v>607</v>
      </c>
      <c r="G402" s="2" t="s">
        <v>106</v>
      </c>
      <c r="H402" s="2" t="s">
        <v>40</v>
      </c>
      <c r="I402" s="26">
        <v>292915</v>
      </c>
      <c r="J402" s="47">
        <v>45867</v>
      </c>
      <c r="K402" s="53">
        <f t="shared" si="36"/>
        <v>24409.58</v>
      </c>
      <c r="L402" s="53">
        <f t="shared" si="33"/>
        <v>24409.58</v>
      </c>
      <c r="M402" s="54">
        <f t="shared" si="34"/>
        <v>24409.58</v>
      </c>
      <c r="N402" s="54">
        <f t="shared" si="35"/>
        <v>24409.58</v>
      </c>
    </row>
    <row r="403" spans="1:14" ht="34.35" customHeight="1">
      <c r="A403" s="38" t="s">
        <v>747</v>
      </c>
      <c r="B403" s="37" t="s">
        <v>604</v>
      </c>
      <c r="C403" s="24">
        <v>59</v>
      </c>
      <c r="D403" s="5" t="s">
        <v>608</v>
      </c>
      <c r="E403" s="5"/>
      <c r="F403" s="14" t="s">
        <v>750</v>
      </c>
      <c r="G403" s="2" t="s">
        <v>106</v>
      </c>
      <c r="H403" s="2" t="s">
        <v>610</v>
      </c>
      <c r="I403" s="17">
        <v>-0.01</v>
      </c>
      <c r="J403" s="47">
        <v>45868</v>
      </c>
      <c r="K403" s="53">
        <f t="shared" si="36"/>
        <v>0</v>
      </c>
      <c r="L403" s="53">
        <f t="shared" si="33"/>
        <v>0</v>
      </c>
      <c r="M403" s="54">
        <f t="shared" si="34"/>
        <v>0</v>
      </c>
      <c r="N403" s="54">
        <f t="shared" si="35"/>
        <v>0</v>
      </c>
    </row>
    <row r="404" spans="1:14" ht="34.35" customHeight="1">
      <c r="A404" s="38" t="s">
        <v>747</v>
      </c>
      <c r="B404" s="37" t="s">
        <v>604</v>
      </c>
      <c r="C404" s="24">
        <v>60</v>
      </c>
      <c r="D404" s="25" t="s">
        <v>611</v>
      </c>
      <c r="E404" s="1" t="s">
        <v>751</v>
      </c>
      <c r="F404" s="14" t="s">
        <v>136</v>
      </c>
      <c r="G404" s="2" t="s">
        <v>106</v>
      </c>
      <c r="H404" s="2" t="s">
        <v>40</v>
      </c>
      <c r="I404" s="1">
        <v>8.84</v>
      </c>
      <c r="J404" s="47">
        <v>45867</v>
      </c>
      <c r="K404" s="53">
        <f t="shared" si="36"/>
        <v>0.74</v>
      </c>
      <c r="L404" s="53">
        <f t="shared" si="33"/>
        <v>0.74</v>
      </c>
      <c r="M404" s="54">
        <f t="shared" si="34"/>
        <v>0.74</v>
      </c>
      <c r="N404" s="54">
        <f t="shared" si="35"/>
        <v>0.74</v>
      </c>
    </row>
    <row r="405" spans="1:14" ht="34.35" customHeight="1">
      <c r="A405" s="38" t="s">
        <v>747</v>
      </c>
      <c r="B405" s="37" t="s">
        <v>613</v>
      </c>
      <c r="C405" s="13">
        <v>61</v>
      </c>
      <c r="D405" s="5" t="s">
        <v>614</v>
      </c>
      <c r="E405" s="23" t="s">
        <v>752</v>
      </c>
      <c r="F405" s="14" t="s">
        <v>616</v>
      </c>
      <c r="G405" s="8" t="s">
        <v>39</v>
      </c>
      <c r="H405" s="2" t="s">
        <v>285</v>
      </c>
      <c r="I405" s="23">
        <v>0.192</v>
      </c>
      <c r="J405" s="47">
        <v>45868</v>
      </c>
      <c r="K405" s="53">
        <f t="shared" si="36"/>
        <v>0.02</v>
      </c>
      <c r="L405" s="53">
        <f t="shared" si="33"/>
        <v>0.02</v>
      </c>
      <c r="M405" s="54">
        <f t="shared" si="34"/>
        <v>0.02</v>
      </c>
      <c r="N405" s="54">
        <f t="shared" si="35"/>
        <v>0.02</v>
      </c>
    </row>
    <row r="406" spans="1:14" ht="34.35" customHeight="1">
      <c r="A406" s="38" t="s">
        <v>747</v>
      </c>
      <c r="B406" s="37" t="s">
        <v>613</v>
      </c>
      <c r="C406" s="13"/>
      <c r="D406" s="5" t="s">
        <v>704</v>
      </c>
      <c r="E406" s="3" t="s">
        <v>705</v>
      </c>
      <c r="F406" s="14" t="s">
        <v>619</v>
      </c>
      <c r="G406" s="8" t="s">
        <v>39</v>
      </c>
      <c r="H406" s="2" t="s">
        <v>285</v>
      </c>
      <c r="I406" s="42">
        <v>17182</v>
      </c>
      <c r="J406" s="47">
        <v>45867</v>
      </c>
      <c r="K406" s="53">
        <f t="shared" si="36"/>
        <v>1431.83</v>
      </c>
      <c r="L406" s="53">
        <f t="shared" si="33"/>
        <v>1431.83</v>
      </c>
      <c r="M406" s="54">
        <f t="shared" si="34"/>
        <v>1431.83</v>
      </c>
      <c r="N406" s="54">
        <f t="shared" si="35"/>
        <v>1431.83</v>
      </c>
    </row>
    <row r="407" spans="1:14" ht="34.35" customHeight="1">
      <c r="A407" s="32" t="s">
        <v>753</v>
      </c>
      <c r="B407" s="30" t="s">
        <v>715</v>
      </c>
      <c r="C407" s="13">
        <v>47</v>
      </c>
      <c r="D407" s="5" t="s">
        <v>715</v>
      </c>
      <c r="E407" s="5"/>
      <c r="F407" s="14" t="s">
        <v>136</v>
      </c>
      <c r="G407" s="2" t="s">
        <v>327</v>
      </c>
      <c r="H407" s="2" t="s">
        <v>41</v>
      </c>
      <c r="I407" s="40">
        <v>31107.790052372686</v>
      </c>
      <c r="J407" s="47">
        <v>45868</v>
      </c>
      <c r="K407" s="53">
        <f t="shared" si="36"/>
        <v>2592.3200000000002</v>
      </c>
      <c r="L407" s="53">
        <f t="shared" si="33"/>
        <v>2592.3200000000002</v>
      </c>
      <c r="M407" s="54">
        <f t="shared" si="34"/>
        <v>2592.3200000000002</v>
      </c>
      <c r="N407" s="54">
        <f t="shared" si="35"/>
        <v>2592.3200000000002</v>
      </c>
    </row>
    <row r="408" spans="1:14" ht="34.35" customHeight="1">
      <c r="A408" s="32" t="s">
        <v>753</v>
      </c>
      <c r="B408" s="37" t="s">
        <v>716</v>
      </c>
      <c r="C408" s="13">
        <v>48</v>
      </c>
      <c r="D408" s="5" t="s">
        <v>717</v>
      </c>
      <c r="E408" s="5"/>
      <c r="F408" s="14" t="s">
        <v>136</v>
      </c>
      <c r="G408" s="2" t="s">
        <v>327</v>
      </c>
      <c r="H408" s="2" t="s">
        <v>718</v>
      </c>
      <c r="I408" s="46">
        <v>3713.109806620002</v>
      </c>
      <c r="J408" s="47">
        <v>45867</v>
      </c>
      <c r="K408" s="53">
        <f t="shared" si="36"/>
        <v>309.43</v>
      </c>
      <c r="L408" s="53">
        <f t="shared" si="33"/>
        <v>309.43</v>
      </c>
      <c r="M408" s="54">
        <f t="shared" si="34"/>
        <v>309.43</v>
      </c>
      <c r="N408" s="54">
        <f t="shared" si="35"/>
        <v>309.43</v>
      </c>
    </row>
    <row r="409" spans="1:14" ht="34.35" customHeight="1">
      <c r="A409" s="32" t="s">
        <v>753</v>
      </c>
      <c r="B409" s="37" t="s">
        <v>716</v>
      </c>
      <c r="C409" s="13"/>
      <c r="D409" s="6" t="s">
        <v>719</v>
      </c>
      <c r="E409" s="6"/>
      <c r="F409" s="14" t="s">
        <v>133</v>
      </c>
      <c r="G409" s="2"/>
      <c r="H409" s="2"/>
      <c r="I409" s="39">
        <v>0.11899999999999999</v>
      </c>
      <c r="J409" s="47">
        <v>45868</v>
      </c>
      <c r="K409" s="53">
        <f t="shared" si="36"/>
        <v>0.01</v>
      </c>
      <c r="L409" s="53">
        <f t="shared" si="33"/>
        <v>0.01</v>
      </c>
      <c r="M409" s="54">
        <f t="shared" si="34"/>
        <v>0.01</v>
      </c>
      <c r="N409" s="54">
        <f t="shared" si="35"/>
        <v>0.01</v>
      </c>
    </row>
    <row r="410" spans="1:14" ht="34.35" customHeight="1">
      <c r="A410" s="32" t="s">
        <v>753</v>
      </c>
      <c r="B410" s="5" t="s">
        <v>720</v>
      </c>
      <c r="C410" s="13">
        <v>49</v>
      </c>
      <c r="D410" s="5" t="s">
        <v>41</v>
      </c>
      <c r="E410" s="5"/>
      <c r="F410" s="14" t="s">
        <v>133</v>
      </c>
      <c r="G410" s="2" t="s">
        <v>327</v>
      </c>
      <c r="H410" s="2" t="s">
        <v>41</v>
      </c>
      <c r="I410" s="19">
        <v>0.45454176016007819</v>
      </c>
      <c r="J410" s="47">
        <v>45867</v>
      </c>
      <c r="K410" s="53">
        <f t="shared" si="36"/>
        <v>0.04</v>
      </c>
      <c r="L410" s="53">
        <f t="shared" si="33"/>
        <v>0.04</v>
      </c>
      <c r="M410" s="54">
        <f t="shared" si="34"/>
        <v>0.04</v>
      </c>
      <c r="N410" s="54">
        <f t="shared" si="35"/>
        <v>0.04</v>
      </c>
    </row>
    <row r="411" spans="1:14" ht="34.35" customHeight="1">
      <c r="A411" s="32" t="s">
        <v>753</v>
      </c>
      <c r="B411" s="5" t="s">
        <v>721</v>
      </c>
      <c r="C411" s="13">
        <v>50</v>
      </c>
      <c r="D411" s="5" t="s">
        <v>41</v>
      </c>
      <c r="E411" s="5"/>
      <c r="F411" s="14" t="s">
        <v>133</v>
      </c>
      <c r="G411" s="2" t="s">
        <v>722</v>
      </c>
      <c r="H411" s="2" t="s">
        <v>41</v>
      </c>
      <c r="I411" s="19">
        <v>9.9467434385779166E-2</v>
      </c>
      <c r="J411" s="47">
        <v>45868</v>
      </c>
      <c r="K411" s="53">
        <f t="shared" si="36"/>
        <v>0.01</v>
      </c>
      <c r="L411" s="53">
        <f t="shared" si="33"/>
        <v>0.01</v>
      </c>
      <c r="M411" s="54">
        <f t="shared" si="34"/>
        <v>0.01</v>
      </c>
      <c r="N411" s="54">
        <f t="shared" si="35"/>
        <v>0.01</v>
      </c>
    </row>
    <row r="412" spans="1:14" ht="34.35" customHeight="1">
      <c r="A412" s="32" t="s">
        <v>753</v>
      </c>
      <c r="B412" s="30" t="s">
        <v>723</v>
      </c>
      <c r="C412" s="13">
        <v>51</v>
      </c>
      <c r="D412" s="5" t="s">
        <v>724</v>
      </c>
      <c r="E412" s="5"/>
      <c r="F412" s="14" t="s">
        <v>133</v>
      </c>
      <c r="G412" s="2" t="s">
        <v>327</v>
      </c>
      <c r="H412" s="2" t="s">
        <v>725</v>
      </c>
      <c r="I412" s="17">
        <v>1</v>
      </c>
      <c r="J412" s="47">
        <v>45867</v>
      </c>
      <c r="K412" s="53">
        <f t="shared" si="36"/>
        <v>0.08</v>
      </c>
      <c r="L412" s="53">
        <f t="shared" si="33"/>
        <v>0.08</v>
      </c>
      <c r="M412" s="54">
        <f t="shared" si="34"/>
        <v>0.08</v>
      </c>
      <c r="N412" s="54">
        <f t="shared" si="35"/>
        <v>0.08</v>
      </c>
    </row>
    <row r="413" spans="1:14" ht="34.35" customHeight="1">
      <c r="A413" s="32" t="s">
        <v>753</v>
      </c>
      <c r="B413" s="30" t="s">
        <v>723</v>
      </c>
      <c r="C413" s="13"/>
      <c r="D413" s="5" t="s">
        <v>726</v>
      </c>
      <c r="E413" s="5"/>
      <c r="F413" s="14" t="s">
        <v>727</v>
      </c>
      <c r="G413" s="2" t="s">
        <v>327</v>
      </c>
      <c r="H413" s="2" t="s">
        <v>725</v>
      </c>
      <c r="I413" s="43">
        <v>1200</v>
      </c>
      <c r="J413" s="47">
        <v>45868</v>
      </c>
      <c r="K413" s="53">
        <f t="shared" si="36"/>
        <v>100</v>
      </c>
      <c r="L413" s="53">
        <f t="shared" si="33"/>
        <v>100</v>
      </c>
      <c r="M413" s="54">
        <f t="shared" si="34"/>
        <v>100</v>
      </c>
      <c r="N413" s="54">
        <f t="shared" si="35"/>
        <v>100</v>
      </c>
    </row>
    <row r="414" spans="1:14" ht="34.35" customHeight="1">
      <c r="A414" s="32" t="s">
        <v>753</v>
      </c>
      <c r="B414" s="30" t="s">
        <v>723</v>
      </c>
      <c r="C414" s="13">
        <v>52</v>
      </c>
      <c r="D414" s="5" t="s">
        <v>728</v>
      </c>
      <c r="E414" s="5"/>
      <c r="F414" s="14" t="s">
        <v>133</v>
      </c>
      <c r="G414" s="2" t="s">
        <v>327</v>
      </c>
      <c r="H414" s="2" t="s">
        <v>725</v>
      </c>
      <c r="I414" s="17">
        <v>1</v>
      </c>
      <c r="J414" s="47">
        <v>45867</v>
      </c>
      <c r="K414" s="53">
        <f t="shared" si="36"/>
        <v>0.08</v>
      </c>
      <c r="L414" s="53">
        <f t="shared" si="33"/>
        <v>0.08</v>
      </c>
      <c r="M414" s="54">
        <f t="shared" si="34"/>
        <v>0.08</v>
      </c>
      <c r="N414" s="54">
        <f t="shared" si="35"/>
        <v>0.08</v>
      </c>
    </row>
    <row r="415" spans="1:14" ht="34.35" customHeight="1">
      <c r="A415" s="32" t="s">
        <v>753</v>
      </c>
      <c r="B415" s="30" t="s">
        <v>723</v>
      </c>
      <c r="C415" s="13"/>
      <c r="D415" s="5" t="s">
        <v>729</v>
      </c>
      <c r="E415" s="5"/>
      <c r="F415" s="14" t="s">
        <v>727</v>
      </c>
      <c r="G415" s="2" t="s">
        <v>327</v>
      </c>
      <c r="H415" s="2" t="s">
        <v>725</v>
      </c>
      <c r="I415" s="43">
        <v>1200</v>
      </c>
      <c r="J415" s="47">
        <v>45868</v>
      </c>
      <c r="K415" s="53">
        <f t="shared" si="36"/>
        <v>100</v>
      </c>
      <c r="L415" s="53">
        <f t="shared" si="33"/>
        <v>100</v>
      </c>
      <c r="M415" s="54">
        <f t="shared" si="34"/>
        <v>100</v>
      </c>
      <c r="N415" s="54">
        <f t="shared" si="35"/>
        <v>100</v>
      </c>
    </row>
    <row r="416" spans="1:14" ht="34.35" customHeight="1">
      <c r="A416" s="32" t="s">
        <v>753</v>
      </c>
      <c r="B416" s="30" t="s">
        <v>730</v>
      </c>
      <c r="C416" s="13">
        <v>53</v>
      </c>
      <c r="D416" s="5" t="s">
        <v>504</v>
      </c>
      <c r="E416" s="5"/>
      <c r="F416" s="14" t="s">
        <v>136</v>
      </c>
      <c r="G416" s="2" t="s">
        <v>327</v>
      </c>
      <c r="H416" s="2" t="s">
        <v>40</v>
      </c>
      <c r="I416" s="20">
        <v>1174.3420820195504</v>
      </c>
      <c r="J416" s="47">
        <v>45867</v>
      </c>
      <c r="K416" s="53">
        <f t="shared" si="36"/>
        <v>97.86</v>
      </c>
      <c r="L416" s="53">
        <f t="shared" si="33"/>
        <v>97.86</v>
      </c>
      <c r="M416" s="54">
        <f t="shared" si="34"/>
        <v>97.86</v>
      </c>
      <c r="N416" s="54">
        <f t="shared" si="35"/>
        <v>97.86</v>
      </c>
    </row>
    <row r="417" spans="1:14" ht="34.35" customHeight="1">
      <c r="A417" s="32" t="s">
        <v>753</v>
      </c>
      <c r="B417" s="30" t="s">
        <v>730</v>
      </c>
      <c r="C417" s="13"/>
      <c r="D417" s="5" t="s">
        <v>508</v>
      </c>
      <c r="E417" s="5"/>
      <c r="F417" s="14" t="s">
        <v>136</v>
      </c>
      <c r="G417" s="2" t="s">
        <v>327</v>
      </c>
      <c r="H417" s="2" t="s">
        <v>40</v>
      </c>
      <c r="I417" s="20">
        <v>962.16729885251311</v>
      </c>
      <c r="J417" s="47">
        <v>45868</v>
      </c>
      <c r="K417" s="53">
        <f t="shared" si="36"/>
        <v>80.180000000000007</v>
      </c>
      <c r="L417" s="53">
        <f t="shared" si="33"/>
        <v>80.180000000000007</v>
      </c>
      <c r="M417" s="54">
        <f t="shared" si="34"/>
        <v>80.180000000000007</v>
      </c>
      <c r="N417" s="54">
        <f t="shared" si="35"/>
        <v>80.180000000000007</v>
      </c>
    </row>
  </sheetData>
  <autoFilter ref="A1:N417" xr:uid="{C175ED8F-DA9F-46F6-9A5B-2EC514B6EAF7}"/>
  <phoneticPr fontId="10" type="noConversion"/>
  <pageMargins left="0.7" right="0.7" top="0.75" bottom="0.75" header="0.3" footer="0.3"/>
  <headerFooter>
    <oddHeader>&amp;C&amp;"Calibri"&amp;10&amp;KFF0000 CONFIDENTIAL&amp;1#_x000D_</oddHead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CFA96E8B24B44EA58552D9194CFD44" ma:contentTypeVersion="11" ma:contentTypeDescription="Create a new document." ma:contentTypeScope="" ma:versionID="9d5c1b01a88050737de7bf52c9c8ca00">
  <xsd:schema xmlns:xsd="http://www.w3.org/2001/XMLSchema" xmlns:xs="http://www.w3.org/2001/XMLSchema" xmlns:p="http://schemas.microsoft.com/office/2006/metadata/properties" xmlns:ns2="829810c2-d518-4db9-a9ac-d09c961fce65" xmlns:ns3="2d6d3396-ac93-4dd9-83b4-f99fd3c2b009" targetNamespace="http://schemas.microsoft.com/office/2006/metadata/properties" ma:root="true" ma:fieldsID="25c00ce84c2d8334e0e368e821876f7b" ns2:_="" ns3:_="">
    <xsd:import namespace="829810c2-d518-4db9-a9ac-d09c961fce65"/>
    <xsd:import namespace="2d6d3396-ac93-4dd9-83b4-f99fd3c2b00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SearchProperties"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9810c2-d518-4db9-a9ac-d09c961fc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3874608b-8892-48bc-be6a-3536a5ac448e" ma:termSetId="09814cd3-568e-fe90-9814-8d621ff8fb84" ma:anchorId="fba54fb3-c3e1-fe81-a776-ca4b69148c4d" ma:open="true" ma:isKeyword="false">
      <xsd:complexType>
        <xsd:sequence>
          <xsd:element ref="pc:Terms" minOccurs="0" maxOccurs="1"/>
        </xsd:sequence>
      </xsd:complex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6d3396-ac93-4dd9-83b4-f99fd3c2b00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7d18b21-53b6-4c7f-b225-455c494f4feb}" ma:internalName="TaxCatchAll" ma:showField="CatchAllData" ma:web="2d6d3396-ac93-4dd9-83b4-f99fd3c2b0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d6d3396-ac93-4dd9-83b4-f99fd3c2b009" xsi:nil="true"/>
    <lcf76f155ced4ddcb4097134ff3c332f xmlns="829810c2-d518-4db9-a9ac-d09c961fc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037F21-EF5C-44A6-8419-F11F737C79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9810c2-d518-4db9-a9ac-d09c961fce65"/>
    <ds:schemaRef ds:uri="2d6d3396-ac93-4dd9-83b4-f99fd3c2b0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6B2C18E-9F84-43C8-A74D-7D8A87B8331B}">
  <ds:schemaRefs>
    <ds:schemaRef ds:uri="http://schemas.microsoft.com/office/2006/metadata/properties"/>
    <ds:schemaRef ds:uri="http://schemas.microsoft.com/office/infopath/2007/PartnerControls"/>
    <ds:schemaRef ds:uri="2d6d3396-ac93-4dd9-83b4-f99fd3c2b009"/>
    <ds:schemaRef ds:uri="829810c2-d518-4db9-a9ac-d09c961fce65"/>
  </ds:schemaRefs>
</ds:datastoreItem>
</file>

<file path=customXml/itemProps3.xml><?xml version="1.0" encoding="utf-8"?>
<ds:datastoreItem xmlns:ds="http://schemas.openxmlformats.org/officeDocument/2006/customXml" ds:itemID="{514BAACC-106F-4ACF-A9EE-7327ED74E9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vt:i4>
      </vt:variant>
    </vt:vector>
  </HeadingPairs>
  <TitlesOfParts>
    <vt:vector size="21" baseType="lpstr">
      <vt:lpstr>Menu</vt:lpstr>
      <vt:lpstr>Safety</vt:lpstr>
      <vt:lpstr>Safety (by Dept)</vt:lpstr>
      <vt:lpstr>Quality</vt:lpstr>
      <vt:lpstr>Quality (By Product)</vt:lpstr>
      <vt:lpstr>Quality Loss by product</vt:lpstr>
      <vt:lpstr>Delivery</vt:lpstr>
      <vt:lpstr>Delivery (by Product)</vt:lpstr>
      <vt:lpstr>Compliance</vt:lpstr>
      <vt:lpstr>Compliance (by Dept)</vt:lpstr>
      <vt:lpstr>HR</vt:lpstr>
      <vt:lpstr>HR (By Dept)</vt:lpstr>
      <vt:lpstr>Attractive</vt:lpstr>
      <vt:lpstr>Attractive(by Dept)</vt:lpstr>
      <vt:lpstr>Environment</vt:lpstr>
      <vt:lpstr>Environment (By Dept)</vt:lpstr>
      <vt:lpstr>Environment (By Dept) -CN</vt:lpstr>
      <vt:lpstr>Cost</vt:lpstr>
      <vt:lpstr>Yearly Target</vt:lpstr>
      <vt:lpstr>'Quality Loss by product'!_FilterDatabase</vt:lpstr>
      <vt:lpstr>Quality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Sirirath Muangnongwa (SDM)</dc:creator>
  <cp:keywords/>
  <dc:description/>
  <cp:lastModifiedBy>Thammaphon Chittasuwanna (SDM)</cp:lastModifiedBy>
  <cp:revision/>
  <dcterms:created xsi:type="dcterms:W3CDTF">2025-03-19T02:09:59Z</dcterms:created>
  <dcterms:modified xsi:type="dcterms:W3CDTF">2026-04-07T02:07:00Z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2025-03-19T02:23:20Z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41d8fdd5-b3f6-4e52-93d5-ecf2c6ad63b9</vt:lpwstr>
  </property>
  <property fmtid="{D5CDD505-2E9C-101B-9397-08002B2CF9AE}" pid="8" name="MSIP_Label_7ed1414a-99f2-46f9-bbe5-740af8d1b502_ContentBits">
    <vt:lpwstr>1</vt:lpwstr>
  </property>
  <property fmtid="{D5CDD505-2E9C-101B-9397-08002B2CF9AE}" pid="9" name="ContentTypeId">
    <vt:lpwstr>0x01010069CFA96E8B24B44EA58552D9194CFD44</vt:lpwstr>
  </property>
  <property fmtid="{D5CDD505-2E9C-101B-9397-08002B2CF9AE}" pid="10" name="MediaServiceImageTags">
    <vt:lpwstr/>
  </property>
</Properties>
</file>