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0" windowHeight="11160" tabRatio="741" activeTab="1"/>
  </bookViews>
  <sheets>
    <sheet name="TOP SHEET" sheetId="23" r:id="rId1"/>
    <sheet name="Front Sheet" sheetId="1" r:id="rId2"/>
    <sheet name="1. IBT" sheetId="11" r:id="rId3"/>
    <sheet name="2. Qcash Shadow" sheetId="5" r:id="rId4"/>
    <sheet name="3. NPSB Shadow" sheetId="10" r:id="rId5"/>
    <sheet name="4. Income" sheetId="9" r:id="rId6"/>
    <sheet name="5. Expense" sheetId="7" r:id="rId7"/>
    <sheet name="6. Q-CASH Commission" sheetId="6" r:id="rId8"/>
    <sheet name="7. VAT" sheetId="8" r:id="rId9"/>
    <sheet name="VOUCHER" sheetId="29" r:id="rId10"/>
    <sheet name="SUMM REPORT" sheetId="35" r:id="rId11"/>
    <sheet name="Sheet1" sheetId="36" r:id="rId12"/>
  </sheets>
  <externalReferences>
    <externalReference r:id="rId13"/>
    <externalReference r:id="rId14"/>
  </externalReferences>
  <calcPr calcId="124519"/>
  <fileRecoveryPr autoRecover="0"/>
</workbook>
</file>

<file path=xl/calcChain.xml><?xml version="1.0" encoding="utf-8"?>
<calcChain xmlns="http://schemas.openxmlformats.org/spreadsheetml/2006/main">
  <c r="H6" i="1"/>
  <c r="N6"/>
  <c r="K18" i="23"/>
  <c r="D40" i="29"/>
  <c r="D42" s="1"/>
  <c r="D44" s="1"/>
  <c r="D46" s="1"/>
  <c r="D48" s="1"/>
  <c r="D50" s="1"/>
  <c r="D84"/>
  <c r="D82"/>
  <c r="D80"/>
  <c r="D78"/>
  <c r="D76"/>
  <c r="D52" l="1"/>
  <c r="D74"/>
  <c r="D86" s="1"/>
  <c r="G23" i="23" l="1"/>
  <c r="G22"/>
  <c r="D62" i="29"/>
  <c r="D66" s="1"/>
  <c r="C65"/>
  <c r="C67" s="1"/>
  <c r="D7" i="36"/>
  <c r="D19" s="1"/>
  <c r="D43"/>
  <c r="C43"/>
  <c r="D39"/>
  <c r="C27"/>
  <c r="C15" i="29"/>
  <c r="C25" i="36"/>
  <c r="C13" i="29"/>
  <c r="C13" i="36"/>
  <c r="C15" s="1"/>
  <c r="C131"/>
  <c r="C129"/>
  <c r="C127"/>
  <c r="C125"/>
  <c r="D123"/>
  <c r="D126" s="1"/>
  <c r="K29"/>
  <c r="G29"/>
  <c r="D25"/>
  <c r="D27" s="1"/>
  <c r="D21"/>
  <c r="D23" s="1"/>
  <c r="L20"/>
  <c r="K20"/>
  <c r="G20"/>
  <c r="B4"/>
  <c r="D64" i="29" l="1"/>
  <c r="D68"/>
  <c r="D10" i="36"/>
  <c r="D16" s="1"/>
  <c r="D113"/>
  <c r="D31"/>
  <c r="D132"/>
  <c r="D130"/>
  <c r="D128"/>
  <c r="D94"/>
  <c r="D96" s="1"/>
  <c r="D98" s="1"/>
  <c r="D115"/>
  <c r="D117" s="1"/>
  <c r="D102"/>
  <c r="D104" s="1"/>
  <c r="D106" s="1"/>
  <c r="D108" s="1"/>
  <c r="D14" l="1"/>
  <c r="D12"/>
  <c r="D33"/>
  <c r="D35" s="1"/>
  <c r="D38"/>
  <c r="D32" i="29"/>
  <c r="D34" s="1"/>
  <c r="D28"/>
  <c r="D30" s="1"/>
  <c r="H10" i="23" l="1"/>
  <c r="H17"/>
  <c r="C63" i="29" l="1"/>
  <c r="C9" i="36"/>
  <c r="C11" s="1"/>
  <c r="C61" i="29"/>
  <c r="G24" i="23"/>
  <c r="H14" i="10" l="1"/>
  <c r="H10" i="7" l="1"/>
  <c r="H11" i="10"/>
  <c r="H8" i="35" s="1"/>
  <c r="H10" i="5"/>
  <c r="D11" i="6"/>
  <c r="C9"/>
  <c r="B34" i="11"/>
  <c r="B18" i="6" s="1"/>
  <c r="D19" i="29" l="1"/>
  <c r="D26" s="1"/>
  <c r="D9"/>
  <c r="D13"/>
  <c r="D15" s="1"/>
  <c r="D31" l="1"/>
  <c r="D29"/>
  <c r="D33"/>
  <c r="D35" s="1"/>
  <c r="D21"/>
  <c r="D7" i="23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B7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I15" i="11" l="1"/>
  <c r="Q12" i="35" l="1"/>
  <c r="D12" l="1"/>
  <c r="Q11"/>
  <c r="D11" l="1"/>
  <c r="Q10"/>
  <c r="D10" l="1"/>
  <c r="Q9"/>
  <c r="D9" l="1"/>
  <c r="Q8" l="1"/>
  <c r="J8" l="1"/>
  <c r="D8"/>
  <c r="Q7"/>
  <c r="J7"/>
  <c r="I7"/>
  <c r="D7"/>
  <c r="Q6"/>
  <c r="D6"/>
  <c r="E3"/>
  <c r="E2"/>
  <c r="C161" i="29" l="1"/>
  <c r="C159"/>
  <c r="C157"/>
  <c r="C155" l="1"/>
  <c r="D153"/>
  <c r="D156" s="1"/>
  <c r="D162" l="1"/>
  <c r="D160"/>
  <c r="D158"/>
  <c r="K17"/>
  <c r="G17"/>
  <c r="D11" l="1"/>
  <c r="L8"/>
  <c r="K8"/>
  <c r="G8"/>
  <c r="D7"/>
  <c r="D145" l="1"/>
  <c r="D147" s="1"/>
  <c r="D143"/>
  <c r="D132"/>
  <c r="D124"/>
  <c r="D126" s="1"/>
  <c r="D128" l="1"/>
  <c r="D134"/>
  <c r="B4"/>
  <c r="B11" i="8" l="1"/>
  <c r="H10" l="1"/>
  <c r="N12" i="35" s="1"/>
  <c r="H9" i="8"/>
  <c r="J12" i="35" s="1"/>
  <c r="H8" i="8" l="1"/>
  <c r="M12" i="35" s="1"/>
  <c r="H7" i="8" l="1"/>
  <c r="L12" i="35" s="1"/>
  <c r="H6" i="8"/>
  <c r="K12" i="35" s="1"/>
  <c r="B2" i="8"/>
  <c r="H17" i="6"/>
  <c r="N11" i="35" s="1"/>
  <c r="H16" i="6"/>
  <c r="M11" i="35" s="1"/>
  <c r="H15" i="6"/>
  <c r="L11" i="35" s="1"/>
  <c r="H14" i="6"/>
  <c r="K11" i="35" s="1"/>
  <c r="C11" i="6" l="1"/>
  <c r="H11" s="1"/>
  <c r="D9"/>
  <c r="D8"/>
  <c r="G11" i="35" l="1"/>
  <c r="B2" i="6"/>
  <c r="C100" i="7"/>
  <c r="B25"/>
  <c r="H23"/>
  <c r="N10" i="35" s="1"/>
  <c r="H17" i="7" l="1"/>
  <c r="M10" i="35" s="1"/>
  <c r="H16" i="7"/>
  <c r="H15"/>
  <c r="H13"/>
  <c r="H12"/>
  <c r="H9"/>
  <c r="K10" i="35" l="1"/>
  <c r="L10"/>
  <c r="G10"/>
  <c r="B2" i="7"/>
  <c r="B17" i="9"/>
  <c r="H16"/>
  <c r="N9" i="35" s="1"/>
  <c r="H15" i="9"/>
  <c r="M9" i="35" s="1"/>
  <c r="H14" i="9"/>
  <c r="L9" i="35" s="1"/>
  <c r="H13" i="9"/>
  <c r="K9" i="35" s="1"/>
  <c r="D11" i="9"/>
  <c r="H11" s="1"/>
  <c r="H9" i="35" s="1"/>
  <c r="H10" i="9"/>
  <c r="G9" i="35" l="1"/>
  <c r="B2" i="9"/>
  <c r="B24" i="10" l="1"/>
  <c r="H23"/>
  <c r="H22"/>
  <c r="N8" i="35" l="1"/>
  <c r="H20" i="10"/>
  <c r="M8" i="35" s="1"/>
  <c r="H17" i="10"/>
  <c r="L8" i="35" s="1"/>
  <c r="B2" i="10"/>
  <c r="B25" i="5"/>
  <c r="H24"/>
  <c r="H21"/>
  <c r="M7" i="35" s="1"/>
  <c r="K8" l="1"/>
  <c r="H17" i="5"/>
  <c r="L7" i="35" s="1"/>
  <c r="H16" i="5"/>
  <c r="K7" i="35" s="1"/>
  <c r="B2" i="5" l="1"/>
  <c r="G32" i="11" l="1"/>
  <c r="N6" i="35" s="1"/>
  <c r="G31" i="11" l="1"/>
  <c r="L6" i="35" s="1"/>
  <c r="G21" i="11" l="1"/>
  <c r="K6" i="35" s="1"/>
  <c r="E58" i="1" l="1"/>
  <c r="D58"/>
  <c r="J56"/>
  <c r="I56" l="1"/>
  <c r="H56"/>
  <c r="G56"/>
  <c r="J55"/>
  <c r="I55"/>
  <c r="H55"/>
  <c r="G55"/>
  <c r="F55"/>
  <c r="J52"/>
  <c r="I52"/>
  <c r="H52"/>
  <c r="G52"/>
  <c r="F52"/>
  <c r="H51"/>
  <c r="J50"/>
  <c r="I50"/>
  <c r="H50"/>
  <c r="F49" l="1"/>
  <c r="G49" s="1"/>
  <c r="J48"/>
  <c r="I48"/>
  <c r="G58" l="1"/>
  <c r="F58" s="1"/>
  <c r="H49"/>
  <c r="I49" s="1"/>
  <c r="J49" s="1"/>
  <c r="H47"/>
  <c r="J47" s="1"/>
  <c r="J46"/>
  <c r="I46"/>
  <c r="H46"/>
  <c r="B45"/>
  <c r="A45"/>
  <c r="I47" l="1"/>
  <c r="H58"/>
  <c r="I58"/>
  <c r="J58"/>
  <c r="E14"/>
  <c r="N14" s="1"/>
  <c r="D14"/>
  <c r="D13"/>
  <c r="L13" s="1"/>
  <c r="D6" i="6" s="1"/>
  <c r="D12" i="1"/>
  <c r="I12" s="1"/>
  <c r="D5" i="9" s="1"/>
  <c r="N11" i="1"/>
  <c r="D11"/>
  <c r="E11" s="1"/>
  <c r="D7" i="10" s="1"/>
  <c r="N10" i="1"/>
  <c r="Q14" l="1"/>
  <c r="M14"/>
  <c r="D10" i="11" s="1"/>
  <c r="K12" i="1"/>
  <c r="E12"/>
  <c r="H12"/>
  <c r="C6" i="10" s="1"/>
  <c r="M11" i="1"/>
  <c r="D9" i="11" s="1"/>
  <c r="K13" i="1"/>
  <c r="C8" i="7" s="1"/>
  <c r="G11" i="1"/>
  <c r="F12"/>
  <c r="I13"/>
  <c r="H13" l="1"/>
  <c r="D6" i="9"/>
  <c r="D10" i="1"/>
  <c r="M10" s="1"/>
  <c r="D8" i="11" s="1"/>
  <c r="E9" i="1"/>
  <c r="D9"/>
  <c r="H9" l="1"/>
  <c r="C8" i="10" s="1"/>
  <c r="E10" i="1"/>
  <c r="G10" s="1"/>
  <c r="S9"/>
  <c r="E13"/>
  <c r="C7" i="10"/>
  <c r="F9" i="1"/>
  <c r="I9"/>
  <c r="D7" i="9" s="1"/>
  <c r="L9" i="1"/>
  <c r="D7" i="6" s="1"/>
  <c r="K9" i="1"/>
  <c r="C5" i="7" s="1"/>
  <c r="N9" i="1"/>
  <c r="E8"/>
  <c r="D8"/>
  <c r="E7"/>
  <c r="D7"/>
  <c r="L7" s="1"/>
  <c r="D4" i="6" s="1"/>
  <c r="Q7" i="1" l="1"/>
  <c r="D7" i="5" s="1"/>
  <c r="P7" i="1"/>
  <c r="C7" i="5" s="1"/>
  <c r="K7" i="1"/>
  <c r="C6" i="7" s="1"/>
  <c r="O7" i="1"/>
  <c r="N7" s="1"/>
  <c r="S8"/>
  <c r="I7"/>
  <c r="D4" i="9" s="1"/>
  <c r="S7" i="1"/>
  <c r="E6"/>
  <c r="D6"/>
  <c r="E5"/>
  <c r="D5"/>
  <c r="K5" s="1"/>
  <c r="E4"/>
  <c r="I4" s="1"/>
  <c r="D4"/>
  <c r="G5" l="1"/>
  <c r="N28"/>
  <c r="O4"/>
  <c r="P4"/>
  <c r="N27" s="1"/>
  <c r="L4"/>
  <c r="K4"/>
  <c r="C4" i="7"/>
  <c r="D10" i="10"/>
  <c r="F8" i="35" s="1"/>
  <c r="M4" i="1"/>
  <c r="M5"/>
  <c r="D6" i="11" s="1"/>
  <c r="L5" i="1"/>
  <c r="N5" s="1"/>
  <c r="D4" i="10"/>
  <c r="M6" i="1"/>
  <c r="D7" i="11" s="1"/>
  <c r="G6" i="1"/>
  <c r="F6"/>
  <c r="E3"/>
  <c r="D3"/>
  <c r="K3" s="1"/>
  <c r="E2"/>
  <c r="S2" s="1"/>
  <c r="D2"/>
  <c r="B2"/>
  <c r="A2"/>
  <c r="M2" l="1"/>
  <c r="D3" i="11" s="1"/>
  <c r="J3" i="1"/>
  <c r="M3" s="1"/>
  <c r="D3" i="5"/>
  <c r="Q3" i="1"/>
  <c r="N3"/>
  <c r="F15"/>
  <c r="E15" s="1"/>
  <c r="D15" s="1"/>
  <c r="D3" i="8"/>
  <c r="D3" i="6"/>
  <c r="C3" i="7"/>
  <c r="E3" s="1"/>
  <c r="E4" s="1"/>
  <c r="E5" s="1"/>
  <c r="D3" i="9"/>
  <c r="C12" i="5"/>
  <c r="H7" i="35" s="1"/>
  <c r="G7" s="1"/>
  <c r="D9" i="5"/>
  <c r="F7" i="35" s="1"/>
  <c r="P3" i="1"/>
  <c r="O3"/>
  <c r="D5" i="11"/>
  <c r="Q4" i="1"/>
  <c r="N4"/>
  <c r="I3"/>
  <c r="L3"/>
  <c r="E3" i="8" l="1"/>
  <c r="E6" s="1"/>
  <c r="E7" s="1"/>
  <c r="E8" s="1"/>
  <c r="E9" s="1"/>
  <c r="E10" s="1"/>
  <c r="H3"/>
  <c r="E12" i="35" s="1"/>
  <c r="O12" s="1"/>
  <c r="E3" i="5"/>
  <c r="E3" i="9"/>
  <c r="E4" s="1"/>
  <c r="E5" s="1"/>
  <c r="E6" s="1"/>
  <c r="E3" i="6"/>
  <c r="F28" i="23"/>
  <c r="H27"/>
  <c r="H26"/>
  <c r="J25"/>
  <c r="I25"/>
  <c r="H25"/>
  <c r="G25" l="1"/>
  <c r="C28" i="29" s="1"/>
  <c r="C30" s="1"/>
  <c r="J24" i="23"/>
  <c r="C32" i="29" s="1"/>
  <c r="C34" s="1"/>
  <c r="I24" i="23"/>
  <c r="H24"/>
  <c r="H23"/>
  <c r="H22"/>
  <c r="G28" l="1"/>
  <c r="H21"/>
  <c r="H20"/>
  <c r="J19"/>
  <c r="I19"/>
  <c r="H19"/>
  <c r="H18"/>
  <c r="C9" i="29" l="1"/>
  <c r="C21" i="36"/>
  <c r="C11" i="29"/>
  <c r="C23" i="36"/>
  <c r="J16" i="23"/>
  <c r="I16"/>
  <c r="H15"/>
  <c r="I13" l="1"/>
  <c r="H13"/>
  <c r="J12"/>
  <c r="I12"/>
  <c r="H12"/>
  <c r="H11"/>
  <c r="J9"/>
  <c r="I9"/>
  <c r="H8"/>
  <c r="H7"/>
  <c r="H6"/>
  <c r="I6" i="1"/>
  <c r="K6" s="1"/>
  <c r="L12"/>
  <c r="N12" s="1"/>
  <c r="M15"/>
  <c r="E4" i="6"/>
  <c r="I8" i="1"/>
  <c r="D8" i="9" s="1"/>
  <c r="E7"/>
  <c r="E3" i="11"/>
  <c r="D4"/>
  <c r="D5" i="5"/>
  <c r="D6"/>
  <c r="C7" i="7"/>
  <c r="H8" s="1"/>
  <c r="E10" i="35" s="1"/>
  <c r="O10" s="1"/>
  <c r="R10" s="1"/>
  <c r="E6" i="7"/>
  <c r="D3" i="10"/>
  <c r="E3" s="1"/>
  <c r="E4" s="1"/>
  <c r="D5"/>
  <c r="J15" i="1"/>
  <c r="S15"/>
  <c r="Q15"/>
  <c r="P15"/>
  <c r="H15"/>
  <c r="G15"/>
  <c r="N31"/>
  <c r="E11" i="8"/>
  <c r="F11" s="1"/>
  <c r="D136" i="29"/>
  <c r="D138" s="1"/>
  <c r="D23"/>
  <c r="N7" i="35"/>
  <c r="R12"/>
  <c r="H9" i="23" l="1"/>
  <c r="H28" s="1"/>
  <c r="E5" i="10"/>
  <c r="E6" s="1"/>
  <c r="E7" s="1"/>
  <c r="E8" s="1"/>
  <c r="E10" s="1"/>
  <c r="O8" i="1"/>
  <c r="C4" i="5" s="1"/>
  <c r="H7" s="1"/>
  <c r="E7" i="35" s="1"/>
  <c r="O7" s="1"/>
  <c r="R7" s="1"/>
  <c r="J28" i="23"/>
  <c r="E4" i="11"/>
  <c r="E5" s="1"/>
  <c r="E6" s="1"/>
  <c r="E7" s="1"/>
  <c r="E8" s="1"/>
  <c r="E9" s="1"/>
  <c r="E10" s="1"/>
  <c r="E14" s="1"/>
  <c r="E15" s="1"/>
  <c r="E16" s="1"/>
  <c r="E7" i="7"/>
  <c r="E8" s="1"/>
  <c r="E9" s="1"/>
  <c r="E10" s="1"/>
  <c r="E12" s="1"/>
  <c r="E13" s="1"/>
  <c r="E15" s="1"/>
  <c r="E16" s="1"/>
  <c r="E17" s="1"/>
  <c r="E19" s="1"/>
  <c r="E20" s="1"/>
  <c r="E21" s="1"/>
  <c r="E22" s="1"/>
  <c r="E23" s="1"/>
  <c r="E25" s="1"/>
  <c r="G25" s="1"/>
  <c r="D5" i="6"/>
  <c r="H8" i="10"/>
  <c r="E8" i="35" s="1"/>
  <c r="O8" s="1"/>
  <c r="R8" s="1"/>
  <c r="G10" i="11"/>
  <c r="E6" i="35" s="1"/>
  <c r="O6" s="1"/>
  <c r="R6" s="1"/>
  <c r="H8" i="9"/>
  <c r="E9" i="35" s="1"/>
  <c r="O9" s="1"/>
  <c r="R9" s="1"/>
  <c r="E8" i="9"/>
  <c r="E10" s="1"/>
  <c r="L6" i="1"/>
  <c r="L15" s="1"/>
  <c r="N20"/>
  <c r="N30"/>
  <c r="I15"/>
  <c r="P20"/>
  <c r="K15"/>
  <c r="I28" i="23"/>
  <c r="C21" i="29" l="1"/>
  <c r="C23" s="1"/>
  <c r="C33" i="36"/>
  <c r="C35" s="1"/>
  <c r="E17" i="11"/>
  <c r="E18" s="1"/>
  <c r="E19" s="1"/>
  <c r="E20" s="1"/>
  <c r="E21" s="1"/>
  <c r="E24" s="1"/>
  <c r="E25" s="1"/>
  <c r="E26" s="1"/>
  <c r="E27" s="1"/>
  <c r="E28" s="1"/>
  <c r="E29" s="1"/>
  <c r="E30" s="1"/>
  <c r="E31" s="1"/>
  <c r="E33" s="1"/>
  <c r="E34" s="1"/>
  <c r="F34" s="1"/>
  <c r="H7" i="6"/>
  <c r="E11" i="35" s="1"/>
  <c r="O11" s="1"/>
  <c r="R11" s="1"/>
  <c r="E11" i="9"/>
  <c r="E12" s="1"/>
  <c r="E13" s="1"/>
  <c r="E14" s="1"/>
  <c r="E15" s="1"/>
  <c r="E16" s="1"/>
  <c r="E17" s="1"/>
  <c r="G17" s="1"/>
  <c r="E11" i="10"/>
  <c r="N15" i="1"/>
  <c r="E4" i="5"/>
  <c r="E5" s="1"/>
  <c r="E6" s="1"/>
  <c r="E7" s="1"/>
  <c r="E9" s="1"/>
  <c r="E10" s="1"/>
  <c r="E12" s="1"/>
  <c r="E13" s="1"/>
  <c r="E16" s="1"/>
  <c r="E17" s="1"/>
  <c r="E18" s="1"/>
  <c r="E19" s="1"/>
  <c r="E20" s="1"/>
  <c r="E21" s="1"/>
  <c r="O15" i="1"/>
  <c r="F19"/>
  <c r="E5" i="6"/>
  <c r="E6" s="1"/>
  <c r="E7" s="1"/>
  <c r="E8" s="1"/>
  <c r="E9" s="1"/>
  <c r="P21" i="1"/>
  <c r="N21"/>
  <c r="N24"/>
  <c r="N23"/>
  <c r="E14" i="10" l="1"/>
  <c r="E15" s="1"/>
  <c r="E11" i="6"/>
  <c r="E14" s="1"/>
  <c r="E15" s="1"/>
  <c r="E16" s="1"/>
  <c r="E23" i="5"/>
  <c r="E24" s="1"/>
  <c r="E25" s="1"/>
  <c r="G25" s="1"/>
  <c r="E17" i="6" l="1"/>
  <c r="E18" s="1"/>
  <c r="G18" s="1"/>
  <c r="E16" i="10"/>
  <c r="E17" s="1"/>
  <c r="E18" s="1"/>
  <c r="E19" s="1"/>
  <c r="E20" s="1"/>
  <c r="E22" s="1"/>
  <c r="E23" s="1"/>
  <c r="E24" s="1"/>
  <c r="G24" s="1"/>
</calcChain>
</file>

<file path=xl/comments1.xml><?xml version="1.0" encoding="utf-8"?>
<comments xmlns="http://schemas.openxmlformats.org/spreadsheetml/2006/main">
  <authors>
    <author>user5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user5:</t>
        </r>
        <r>
          <rPr>
            <sz val="9"/>
            <color indexed="81"/>
            <rFont val="Tahoma"/>
            <family val="2"/>
          </rPr>
          <t xml:space="preserve">
comm reversal manual posting by branch</t>
        </r>
      </text>
    </comment>
  </commentList>
</comments>
</file>

<file path=xl/sharedStrings.xml><?xml version="1.0" encoding="utf-8"?>
<sst xmlns="http://schemas.openxmlformats.org/spreadsheetml/2006/main" count="755" uniqueCount="332">
  <si>
    <t>Transaction</t>
  </si>
  <si>
    <t>No</t>
  </si>
  <si>
    <t>ON us ATM</t>
  </si>
  <si>
    <t>Remote ON US NPSB POS</t>
  </si>
  <si>
    <t>Amount</t>
  </si>
  <si>
    <t>NPSB-CBS CR</t>
  </si>
  <si>
    <t>NPSB-CBS DR</t>
  </si>
  <si>
    <t>Income
Commision
CR</t>
  </si>
  <si>
    <t>Expense
Dr</t>
  </si>
  <si>
    <t>Q-Cash 
Commision</t>
  </si>
  <si>
    <t>IBT DR</t>
  </si>
  <si>
    <t>VAT</t>
  </si>
  <si>
    <t>NPSB
Commision</t>
  </si>
  <si>
    <t>Remote ON US NPSB ATM</t>
  </si>
  <si>
    <t>Remote ON US Q-Cash POS</t>
  </si>
  <si>
    <t xml:space="preserve">Remote On us - Q-Cash ATM </t>
  </si>
  <si>
    <t>BL Query NPSB REMOTE ON US</t>
  </si>
  <si>
    <t>MIN STAMT NPSB REMOTE ON US</t>
  </si>
  <si>
    <t>MOBILE</t>
  </si>
  <si>
    <t>Trust Bank
CR</t>
  </si>
  <si>
    <t>Dr</t>
  </si>
  <si>
    <t>Cr.</t>
  </si>
  <si>
    <t>Q-Cash Commision A/C</t>
  </si>
  <si>
    <t xml:space="preserve">Cr. </t>
  </si>
  <si>
    <t>Cr</t>
  </si>
  <si>
    <t>NPSB POS</t>
  </si>
  <si>
    <t>Trust Bank
DR</t>
  </si>
  <si>
    <t>Particulars</t>
  </si>
  <si>
    <t>Dr.</t>
  </si>
  <si>
    <t>Amt</t>
  </si>
  <si>
    <t>Last Balance in CBS</t>
  </si>
  <si>
    <t>ATM- Rem. Q-cash</t>
  </si>
  <si>
    <t>POS - Rem. Q-cash</t>
  </si>
  <si>
    <t>Bills Pay</t>
  </si>
  <si>
    <t>Acquiring Income Paid</t>
  </si>
  <si>
    <t>Issuer Income-ATM</t>
  </si>
  <si>
    <t>Others Adjustment</t>
  </si>
  <si>
    <t xml:space="preserve">ATM-Transaction Commision </t>
  </si>
  <si>
    <t>Previous Day- TRns. Comm To QCASH SETT</t>
  </si>
  <si>
    <t xml:space="preserve">ATM-Transaction Commision- QCASH </t>
  </si>
  <si>
    <t>ATM-Transaction Commision- NPSB</t>
  </si>
  <si>
    <t>Balance Query</t>
  </si>
  <si>
    <t>ATM Transaction</t>
  </si>
  <si>
    <t>POS - Transaction</t>
  </si>
  <si>
    <t>MiniStatement</t>
  </si>
  <si>
    <t>Acquring Commsion Paid</t>
  </si>
  <si>
    <t>Other Charges TBL</t>
  </si>
  <si>
    <t>Service Charge</t>
  </si>
  <si>
    <t>SMS Charge</t>
  </si>
  <si>
    <t>Clearing Charge</t>
  </si>
  <si>
    <t>DATE
Transaction</t>
  </si>
  <si>
    <t>DATE
Reconciliation</t>
  </si>
  <si>
    <t>TRUST 
SHADOW
DR</t>
  </si>
  <si>
    <t>TRUST 
SHADOW
CR</t>
  </si>
  <si>
    <t>CLOSING BALANCE IN CBS</t>
  </si>
  <si>
    <t>POS-Trans Commision Previous Day QCASH</t>
  </si>
  <si>
    <t xml:space="preserve">POS-Trans Commision Previous Day NPSB </t>
  </si>
  <si>
    <t>Q-CASH SETTLEMENT  A/C</t>
  </si>
  <si>
    <t>Expense -ATM POS ETC A/C</t>
  </si>
  <si>
    <t>Income-ATM POS ETC A/C</t>
  </si>
  <si>
    <t>NPSB SETTLEMENT A/C</t>
  </si>
  <si>
    <t xml:space="preserve">Commision Paid To ACQ By RBL </t>
  </si>
  <si>
    <t>PREVIOUS Day Transaction's Commision 
Paid To ACQ By RBL</t>
  </si>
  <si>
    <t>OFF US (Q-CASH)</t>
  </si>
  <si>
    <t xml:space="preserve">TERMAINAL GL CR </t>
  </si>
  <si>
    <t xml:space="preserve">TERMAINAL GL DR </t>
  </si>
  <si>
    <t>Off us-Q-cash</t>
  </si>
  <si>
    <t>Off Us-NPSB</t>
  </si>
  <si>
    <t>OFF US (NPSB)</t>
  </si>
  <si>
    <t>BL Query NPSB (OFF US)</t>
  </si>
  <si>
    <t>MINI STMT NPSB REMOTE ON US</t>
  </si>
  <si>
    <t>MINI STMT NPSB (OFF US)</t>
  </si>
  <si>
    <t>MOBILE BILL</t>
  </si>
  <si>
    <t>COMM. For OFF US (QCASH)</t>
  </si>
  <si>
    <t>COMM. For OFF US (NPSB)</t>
  </si>
  <si>
    <t>OFFUS QCASH ATM TRNX COMM.</t>
  </si>
  <si>
    <t>OFFUS NPSB ATM TRNX COMM.</t>
  </si>
  <si>
    <t xml:space="preserve">Off-us Q-cash </t>
  </si>
  <si>
    <t>Off-us NPSB</t>
  </si>
  <si>
    <t>OFF US (Q-CASH) VISA</t>
  </si>
  <si>
    <t>COMM.OFF US (Q-CASH) VISA</t>
  </si>
  <si>
    <t xml:space="preserve"> </t>
  </si>
  <si>
    <t>balance Query offus</t>
  </si>
  <si>
    <t>Day Closing purpose QCASH Settlement manual Adjustment</t>
  </si>
  <si>
    <t xml:space="preserve">TBL SMS Excise Duty </t>
  </si>
  <si>
    <t>TOTAL</t>
  </si>
  <si>
    <t xml:space="preserve">Previous Day Trans Hit </t>
  </si>
  <si>
    <t xml:space="preserve">OFF US (Q-CASH) VISA </t>
  </si>
  <si>
    <t>REPORT PRINTED ON</t>
  </si>
  <si>
    <t>SL 
NO.</t>
  </si>
  <si>
    <t>TRANSACTION
DATE</t>
  </si>
  <si>
    <t>TRANSACTION 
TYPE</t>
  </si>
  <si>
    <t>NO. OF 
TRANSACTION</t>
  </si>
  <si>
    <t>AMOUNT</t>
  </si>
  <si>
    <t>TOTAL 
COMMISSION</t>
  </si>
  <si>
    <t>BANK 
PROFIT/LOSS</t>
  </si>
  <si>
    <t>ITCL 
COMMISSION</t>
  </si>
  <si>
    <t xml:space="preserve">ON-US ATM-CW </t>
  </si>
  <si>
    <t>ON-US NORMAL POS</t>
  </si>
  <si>
    <t>ON-US PETROL POS</t>
  </si>
  <si>
    <t>Q-CASH REMOTE ON-US ATM CW</t>
  </si>
  <si>
    <t>Q-CASH REMOTE ON-US NORMAL POS</t>
  </si>
  <si>
    <t>Q-CASH REMOTE ON-US PETROL POS</t>
  </si>
  <si>
    <t>Q-CASH OFF-US NORMAL POS</t>
  </si>
  <si>
    <t>Q-CASH OFF-US PETROL POS</t>
  </si>
  <si>
    <t>NPSB REMOTE ON-US ATM CW</t>
  </si>
  <si>
    <t>NPSB REMOTE ON-US NORMAL POS</t>
  </si>
  <si>
    <t>NPSB REMOTE ON-US PETROL POS</t>
  </si>
  <si>
    <t>NPSB OFF-US ATM CW</t>
  </si>
  <si>
    <t>NPSB OFF-US POS</t>
  </si>
  <si>
    <t>NPSB OFF-US PETROL POS</t>
  </si>
  <si>
    <t xml:space="preserve">NPSB REMOTE ON-US BALANCE INQUIRY </t>
  </si>
  <si>
    <t xml:space="preserve">NPSB REMOTE ON-US MINI STATEMENT </t>
  </si>
  <si>
    <t xml:space="preserve">NPSB OFF-US BALANCE INQUIRY </t>
  </si>
  <si>
    <t>NPSB OFF-US MINI STATEMENT</t>
  </si>
  <si>
    <t xml:space="preserve">BILLS PAY- UTILITY/MOBILE </t>
  </si>
  <si>
    <t xml:space="preserve">AMOUNT TRANSFER </t>
  </si>
  <si>
    <t>…………………………………….</t>
  </si>
  <si>
    <t>………………………………          ……………………….</t>
  </si>
  <si>
    <t>……………………….</t>
  </si>
  <si>
    <t>……………………………</t>
  </si>
  <si>
    <t>………………………</t>
  </si>
  <si>
    <t xml:space="preserve">            Posted by</t>
  </si>
  <si>
    <t xml:space="preserve">         Checked by                      Checked by</t>
  </si>
  <si>
    <t xml:space="preserve"> Checked by</t>
  </si>
  <si>
    <t>Authorised by</t>
  </si>
  <si>
    <t xml:space="preserve"> DGM</t>
  </si>
  <si>
    <t xml:space="preserve">                     Rupali Bank Limited ICT Operations Division, Head Office, DhakaTransaction Report- "CONSOLIDATED" </t>
  </si>
  <si>
    <t>Dispute Trnx.</t>
  </si>
  <si>
    <t>GL Heads</t>
  </si>
  <si>
    <t>DR./CR.</t>
  </si>
  <si>
    <t>Particular</t>
  </si>
  <si>
    <t xml:space="preserve">NPSB Settlement A/C       </t>
  </si>
  <si>
    <t xml:space="preserve"> GL code-105101121</t>
  </si>
  <si>
    <t>Income –ATM &amp; POS A/C</t>
  </si>
  <si>
    <t>GL code-625101112</t>
  </si>
  <si>
    <t xml:space="preserve">Q-Cash Commission A/C
</t>
  </si>
  <si>
    <t>GL code-390137101</t>
  </si>
  <si>
    <t>Q-Cash Settlement A/C      
GL code-115120101</t>
  </si>
  <si>
    <t>Expense-ATM &amp; POS A/C</t>
  </si>
  <si>
    <t>GL code-545101134</t>
  </si>
  <si>
    <t>Q-Cash Commission A/C</t>
  </si>
  <si>
    <t>GL code-102106101</t>
  </si>
  <si>
    <t xml:space="preserve">Q-Cash Settlement A/C         </t>
  </si>
  <si>
    <t>GL code-115120101</t>
  </si>
  <si>
    <t>GL code-102106302</t>
  </si>
  <si>
    <t>ATM Terminal A/C [RBL RAJ-02]</t>
  </si>
  <si>
    <t>DHK01</t>
  </si>
  <si>
    <t>DHK02</t>
  </si>
  <si>
    <t>DHK03</t>
  </si>
  <si>
    <t>RAJ01</t>
  </si>
  <si>
    <t>RAJ02</t>
  </si>
  <si>
    <t>RAJ03</t>
  </si>
  <si>
    <t>RAJ04</t>
  </si>
  <si>
    <t>Manual Adjustment of ITCL Commission for NPSB POS transactions on date-</t>
  </si>
  <si>
    <t>Manual adjustment of ITCL commission on Date-</t>
  </si>
  <si>
    <t xml:space="preserve">Transaction no:01 </t>
  </si>
  <si>
    <t>Manual adjustment of Issuer commission &amp; ITCL commission for Remote On us NPSB POS on Date</t>
  </si>
  <si>
    <t>Transaction no:03</t>
  </si>
  <si>
    <t>Transaction no:04</t>
  </si>
  <si>
    <t>Manual adjustment of Mobile Bill Pay (On Us) on Date-</t>
  </si>
  <si>
    <t>Manual adjustment of OFF US Qcash VISA on Date -</t>
  </si>
  <si>
    <t>Transaction no:05</t>
  </si>
  <si>
    <t>Rupali Bank LTD.</t>
  </si>
  <si>
    <t>ICT Operations Division, Head Office,Dhaka.</t>
  </si>
  <si>
    <t>OWN BRANDED ATM &amp; POS MANUAL COMMISSION ADJUSTMENT LIST TO BE POSTED ON DATE-</t>
  </si>
  <si>
    <r>
      <t xml:space="preserve">Manual adjustment of </t>
    </r>
    <r>
      <rPr>
        <b/>
        <u/>
        <sz val="11"/>
        <color rgb="FFFF0000"/>
        <rFont val="Calibri"/>
        <family val="2"/>
        <scheme val="minor"/>
      </rPr>
      <t xml:space="preserve">Other Charges of TBL </t>
    </r>
    <r>
      <rPr>
        <b/>
        <sz val="11"/>
        <color theme="1"/>
        <rFont val="Calibri"/>
        <family val="2"/>
        <scheme val="minor"/>
      </rPr>
      <t>on Date -</t>
    </r>
  </si>
  <si>
    <t>Manual Adjustment of ISSUER Commission for NPSB POS transactions on date-</t>
  </si>
  <si>
    <r>
      <t xml:space="preserve">Manual adjustment of Issuer commission &amp; ITCL commission for Remote On-Us </t>
    </r>
    <r>
      <rPr>
        <b/>
        <u/>
        <sz val="11.5"/>
        <color rgb="FFFF0000"/>
        <rFont val="Calibri"/>
        <family val="2"/>
        <scheme val="minor"/>
      </rPr>
      <t xml:space="preserve">Q-CASH POS </t>
    </r>
    <r>
      <rPr>
        <b/>
        <sz val="11.5"/>
        <color theme="1"/>
        <rFont val="Calibri"/>
        <family val="2"/>
        <scheme val="minor"/>
      </rPr>
      <t>Transactions on Date</t>
    </r>
  </si>
  <si>
    <t xml:space="preserve">Q-Cash Settlement A/C          </t>
  </si>
  <si>
    <r>
      <t xml:space="preserve">Manual Adjustment of </t>
    </r>
    <r>
      <rPr>
        <u/>
        <sz val="10"/>
        <color theme="1"/>
        <rFont val="Calibri"/>
        <family val="2"/>
        <scheme val="minor"/>
      </rPr>
      <t>I</t>
    </r>
    <r>
      <rPr>
        <b/>
        <u/>
        <sz val="10"/>
        <color theme="1"/>
        <rFont val="Calibri"/>
        <family val="2"/>
        <scheme val="minor"/>
      </rPr>
      <t>SSUER</t>
    </r>
    <r>
      <rPr>
        <u/>
        <sz val="10"/>
        <color theme="1"/>
        <rFont val="Calibri"/>
        <family val="2"/>
        <scheme val="minor"/>
      </rPr>
      <t xml:space="preserve"> Commission</t>
    </r>
    <r>
      <rPr>
        <sz val="10"/>
        <color theme="1"/>
        <rFont val="Calibri"/>
        <family val="2"/>
        <scheme val="minor"/>
      </rPr>
      <t xml:space="preserve"> </t>
    </r>
    <r>
      <rPr>
        <b/>
        <u/>
        <sz val="10"/>
        <color rgb="FFFF0000"/>
        <rFont val="Calibri"/>
        <family val="2"/>
        <scheme val="minor"/>
      </rPr>
      <t xml:space="preserve">QCASH POS </t>
    </r>
    <r>
      <rPr>
        <sz val="10"/>
        <color theme="1"/>
        <rFont val="Calibri"/>
        <family val="2"/>
        <scheme val="minor"/>
      </rPr>
      <t>transactions on date-</t>
    </r>
  </si>
  <si>
    <t xml:space="preserve"> code-115120101</t>
  </si>
  <si>
    <r>
      <t xml:space="preserve">Manual Adjustment of </t>
    </r>
    <r>
      <rPr>
        <u/>
        <sz val="11"/>
        <color theme="1"/>
        <rFont val="Calibri"/>
        <family val="2"/>
        <scheme val="minor"/>
      </rPr>
      <t>I</t>
    </r>
    <r>
      <rPr>
        <b/>
        <u/>
        <sz val="11"/>
        <color theme="1"/>
        <rFont val="Calibri"/>
        <family val="2"/>
        <scheme val="minor"/>
      </rPr>
      <t>TCL</t>
    </r>
    <r>
      <rPr>
        <u/>
        <sz val="11"/>
        <color theme="1"/>
        <rFont val="Calibri"/>
        <family val="2"/>
        <scheme val="minor"/>
      </rPr>
      <t xml:space="preserve"> Commission</t>
    </r>
    <r>
      <rPr>
        <sz val="11"/>
        <color theme="1"/>
        <rFont val="Calibri"/>
        <family val="2"/>
        <scheme val="minor"/>
      </rPr>
      <t xml:space="preserve"> </t>
    </r>
    <r>
      <rPr>
        <b/>
        <u/>
        <sz val="10"/>
        <color rgb="FFFF0000"/>
        <rFont val="Calibri"/>
        <family val="2"/>
        <scheme val="minor"/>
      </rPr>
      <t xml:space="preserve">QCASH POS </t>
    </r>
    <r>
      <rPr>
        <sz val="10"/>
        <color theme="1"/>
        <rFont val="Calibri"/>
        <family val="2"/>
        <scheme val="minor"/>
      </rPr>
      <t>transactions on date-</t>
    </r>
  </si>
  <si>
    <t>ATM Terminal A/C [RBLDHK01]</t>
  </si>
  <si>
    <t>Previous Day- TRns. Comm For -NPSB -POS</t>
  </si>
  <si>
    <t>Previous Day- TRns. Comm For QCASH -POS</t>
  </si>
  <si>
    <t xml:space="preserve">Next Day Trans FOR : </t>
  </si>
  <si>
    <t>Transaction no:02</t>
  </si>
  <si>
    <t>issuer Income-POS-Previous day</t>
  </si>
  <si>
    <t>G.L. NAME</t>
  </si>
  <si>
    <t>G.L. CODE</t>
  </si>
  <si>
    <t>OPENINT BALANCE</t>
  </si>
  <si>
    <t>NEXT DAY TRNX.</t>
  </si>
  <si>
    <t>PRE. DAY TRNX.</t>
  </si>
  <si>
    <t>DISPUTE TRNX.</t>
  </si>
  <si>
    <t>CLOSING BALANCE</t>
  </si>
  <si>
    <t>IBT</t>
  </si>
  <si>
    <t>QCASH SETT.</t>
  </si>
  <si>
    <t>NPSB SETT.</t>
  </si>
  <si>
    <t>INCOME</t>
  </si>
  <si>
    <t>EXPENSE</t>
  </si>
  <si>
    <t>QCASH COMM.</t>
  </si>
  <si>
    <t>MANUAL ADJ.</t>
  </si>
  <si>
    <t>ACQUIRING INCOME</t>
  </si>
  <si>
    <t>ITCL COMM. PREV. DAY</t>
  </si>
  <si>
    <t>TRANX</t>
  </si>
  <si>
    <t>ISSUER COMM</t>
  </si>
  <si>
    <t>PRE. ISSUER COMM</t>
  </si>
  <si>
    <t>Posted by</t>
  </si>
  <si>
    <t>N/A</t>
  </si>
  <si>
    <t xml:space="preserve">      Checked by                    Checked by</t>
  </si>
  <si>
    <t xml:space="preserve">                   AGM</t>
  </si>
  <si>
    <t>DEPO. /FEED / TR. HO.</t>
  </si>
  <si>
    <t>RECONCILIATION SUMMERY REPORT</t>
  </si>
  <si>
    <t>REMOTE ONUS NPSB</t>
  </si>
  <si>
    <r>
      <t>MIN STAMT NPSB REMOTE ON US</t>
    </r>
    <r>
      <rPr>
        <sz val="8"/>
        <color theme="1"/>
        <rFont val="Calibri"/>
        <family val="2"/>
        <scheme val="minor"/>
      </rPr>
      <t xml:space="preserve">  </t>
    </r>
  </si>
  <si>
    <t>OTHERS ADJUSTMENTS:</t>
  </si>
  <si>
    <t>MAIL</t>
  </si>
  <si>
    <t>REMOTE ONUS QCASH</t>
  </si>
  <si>
    <t>01. Dispute Adjustment</t>
  </si>
  <si>
    <t>Remote on us (NPSB) 340 TK.2520/-</t>
  </si>
  <si>
    <t>02. Dispute Adjustment</t>
  </si>
  <si>
    <t>Remote on us (NPSB) 339 TK.2520/-</t>
  </si>
  <si>
    <t>03. Dispute Adjustment</t>
  </si>
  <si>
    <t>Remote on us (NPSB) 330 TK.2020/-</t>
  </si>
  <si>
    <t>04. Dispute Adjustment</t>
  </si>
  <si>
    <t>Remote on us (NPSB) 334 TK.2520/-</t>
  </si>
  <si>
    <t>05. Dispute Adjustment</t>
  </si>
  <si>
    <t>Remote on us (NPSB) 332 TK.1520/-</t>
  </si>
  <si>
    <t>06. Dispute Adjustment</t>
  </si>
  <si>
    <t>Remote on us (NPSB) 345 TK.2020/-</t>
  </si>
  <si>
    <t>07. Dispute Adjustment</t>
  </si>
  <si>
    <t>Remote on us (NPSB) 337 TK.1020/-</t>
  </si>
  <si>
    <t>08. Dispute Adjustment</t>
  </si>
  <si>
    <t>Remote on us (NPSB) 336 TK.7020/-</t>
  </si>
  <si>
    <t>09. Dispute Adjustment</t>
  </si>
  <si>
    <t>Remote on us (NPSB) 329 TK.2020/-</t>
  </si>
  <si>
    <t>10. Dispute Adjustment</t>
  </si>
  <si>
    <t>Remote on us (NPSB) 351 TK.20020/-</t>
  </si>
  <si>
    <t>11. Dispute Adjustment</t>
  </si>
  <si>
    <t>Remote on us (NPSB) 333 TK.4020/-</t>
  </si>
  <si>
    <t>12. Dispute Adjustment</t>
  </si>
  <si>
    <t>Remote on us (NPSB) 331 TK.1020/-</t>
  </si>
  <si>
    <t>13. Dispute Adjustment</t>
  </si>
  <si>
    <t>Remote on us (NPSB) 326 TK.20020/-</t>
  </si>
  <si>
    <t>14. Dispute Adjustment</t>
  </si>
  <si>
    <t>Remote on us (NPSB) 327 TK.9020/-</t>
  </si>
  <si>
    <t>15. Dispute Adjustment</t>
  </si>
  <si>
    <t>Remote on us (NPSB) 323 TK.20020/-</t>
  </si>
  <si>
    <t>16. Dispute Adjustment</t>
  </si>
  <si>
    <t>Remote on us (NPSB) 322 TK.5020/-</t>
  </si>
  <si>
    <t>17. Dispute Adjustment</t>
  </si>
  <si>
    <t>Remote on us (NPSB) 320 TK.5020/-</t>
  </si>
  <si>
    <t>18. Dispute Settlement of</t>
  </si>
  <si>
    <t>Remote on us (NPSB) 356 TK.14520/-</t>
  </si>
  <si>
    <t>19. Dispute Settlement of</t>
  </si>
  <si>
    <t>Remote on us (NPSB) 355 TK.8020/-</t>
  </si>
  <si>
    <t>20. Dispute Settlement of</t>
  </si>
  <si>
    <t>Remote on us (NPSB) 357 TK.20020/-</t>
  </si>
  <si>
    <t>21. Dispute Settlement of</t>
  </si>
  <si>
    <t>Remote on us (NPSB) 358 TK.20000/-  (180/-)</t>
  </si>
  <si>
    <t>22. Dispute Settlement of</t>
  </si>
  <si>
    <t>Remote on us (NPSB) 359 TK.2064.73  (18.58)</t>
  </si>
  <si>
    <t>23. Dispute Settlement of</t>
  </si>
  <si>
    <t>Remote on us (NPSB) 361 TK.5/-</t>
  </si>
  <si>
    <t>24. Dispute Settlement of</t>
  </si>
  <si>
    <t>Remote on us (NPSB) 360 TK.5/-</t>
  </si>
  <si>
    <t>25. Dispute Settlement of</t>
  </si>
  <si>
    <t>Remote on us (NPSB) 362 TK.5/-</t>
  </si>
  <si>
    <t>TOTAL DEBIT AMOUNT</t>
  </si>
  <si>
    <t>TOTAL CREDIT AMOUNT</t>
  </si>
  <si>
    <t>21. Manual Dispute Settlement of
Remote on us (NPSB) 358</t>
  </si>
  <si>
    <t>Dispute Settlement of
Remote on us (NPSB) 359</t>
  </si>
  <si>
    <t>Previous Day- POS. Comm.  Q-CASH SETT.</t>
  </si>
  <si>
    <t xml:space="preserve">Excise Duty for </t>
  </si>
  <si>
    <t>………………………….</t>
  </si>
  <si>
    <t>Q-CASH OFF-US ATM CW (VISA &amp; LBF)</t>
  </si>
  <si>
    <t>DEPOSIT TO TBL BY RTGS</t>
  </si>
  <si>
    <t>Previous Day- POS. Comm.  NPSB SETT.</t>
  </si>
  <si>
    <t>TO</t>
  </si>
  <si>
    <r>
      <t xml:space="preserve">DISPUTE TRNX. 
</t>
    </r>
    <r>
      <rPr>
        <b/>
        <sz val="8"/>
        <color theme="1"/>
        <rFont val="Calibri"/>
        <family val="2"/>
        <scheme val="minor"/>
      </rPr>
      <t/>
    </r>
  </si>
  <si>
    <t xml:space="preserve">Transnsfer to HO/Treasury Div. for NPSB tr.BB 
</t>
  </si>
  <si>
    <t>Q-CASH OFF-US ATM CW (ITCL)</t>
  </si>
  <si>
    <t>Last Day  Pos Comm. Earned</t>
  </si>
  <si>
    <r>
      <t>ITCL Commision -Previous day</t>
    </r>
    <r>
      <rPr>
        <sz val="8"/>
        <color theme="1"/>
        <rFont val="Calibri"/>
        <family val="2"/>
        <scheme val="minor"/>
      </rPr>
      <t xml:space="preserve">  </t>
    </r>
  </si>
  <si>
    <t>Manual adjustment of  OFF US NPSB BI on Date</t>
  </si>
  <si>
    <t>GL code-102106102</t>
  </si>
  <si>
    <t>ATM Terminal A/C [RBLDHK02]</t>
  </si>
  <si>
    <t>Manual adjustment of Mobile Bill Pay (On Us) on Date-25.09.2019 to 28.09.2019</t>
  </si>
  <si>
    <t>Transaction no:01</t>
  </si>
  <si>
    <t xml:space="preserve">Transaction no:04 </t>
  </si>
  <si>
    <t>02.10.2019 TO 02.10.2019</t>
  </si>
  <si>
    <t xml:space="preserve">Washout by branch (Vat on ATM POS tr to HO Compliance Division ) </t>
  </si>
  <si>
    <t>Remote On us - Q-Cash ATM</t>
  </si>
  <si>
    <t xml:space="preserve">Mannual settlement of </t>
  </si>
  <si>
    <t>Next Day Transaction :</t>
  </si>
  <si>
    <t xml:space="preserve">Next Day Transaction-POS </t>
  </si>
  <si>
    <t>Next Day Transaction:</t>
  </si>
  <si>
    <r>
      <t>Previous Day HIT</t>
    </r>
    <r>
      <rPr>
        <sz val="14"/>
        <rFont val="Calibri"/>
        <family val="2"/>
        <scheme val="minor"/>
      </rPr>
      <t xml:space="preserve"> </t>
    </r>
    <r>
      <rPr>
        <b/>
        <sz val="9"/>
        <rFont val="Calibri"/>
        <family val="2"/>
        <scheme val="minor"/>
      </rPr>
      <t/>
    </r>
  </si>
  <si>
    <r>
      <t>Previous Day Transaction  Q-CASH</t>
    </r>
    <r>
      <rPr>
        <b/>
        <sz val="9"/>
        <color theme="1"/>
        <rFont val="Calibri"/>
        <family val="2"/>
        <scheme val="minor"/>
      </rPr>
      <t/>
    </r>
  </si>
  <si>
    <r>
      <t>PREVIOUS Day Transaction:</t>
    </r>
    <r>
      <rPr>
        <b/>
        <sz val="9"/>
        <color theme="1"/>
        <rFont val="Calibri"/>
        <family val="2"/>
        <scheme val="minor"/>
      </rPr>
      <t/>
    </r>
  </si>
  <si>
    <t>27.10.2019 TO 30.10.2019</t>
  </si>
  <si>
    <t>ATM Terminal A/C [RBLDHK03]</t>
  </si>
  <si>
    <t>ATM Terminal A/C [RBLRAJ01]</t>
  </si>
  <si>
    <t>GL code-102106301</t>
  </si>
  <si>
    <t>ATM Terminal A/C [RBLRAJ03]</t>
  </si>
  <si>
    <t>ATM Terminal A/C [RBLSYL01]</t>
  </si>
  <si>
    <t>GL code-102106401</t>
  </si>
  <si>
    <t>ATM Terminal A/C [RBLCUM01]</t>
  </si>
  <si>
    <t>GL code-102106601</t>
  </si>
  <si>
    <t>GL code-102106103</t>
  </si>
  <si>
    <t>Next Day Transaction QCASH</t>
  </si>
  <si>
    <r>
      <t xml:space="preserve">Remote ON US NPSB ATM
</t>
    </r>
    <r>
      <rPr>
        <sz val="9"/>
        <color theme="1"/>
        <rFont val="Calibri"/>
        <family val="2"/>
        <scheme val="minor"/>
      </rPr>
      <t>NOT IN CMS BUT IN CBS
1. A/C:0588010012700; TK.2015/-
2. A/C:1271010018605; TK.5015/-
3. A/C:5694010000028; TK.10015/-
4. A/C:5694010000028; TK.10015/-</t>
    </r>
  </si>
  <si>
    <r>
      <t xml:space="preserve">ON us ATM
</t>
    </r>
    <r>
      <rPr>
        <sz val="9"/>
        <color theme="1"/>
        <rFont val="Calibri"/>
        <family val="2"/>
        <scheme val="minor"/>
      </rPr>
      <t>NOT IN CMS BUT IN CBS</t>
    </r>
    <r>
      <rPr>
        <sz val="11"/>
        <color theme="1"/>
        <rFont val="Calibri"/>
        <family val="2"/>
        <scheme val="minor"/>
      </rPr>
      <t xml:space="preserve">
</t>
    </r>
    <r>
      <rPr>
        <sz val="9"/>
        <color theme="1"/>
        <rFont val="Calibri"/>
        <family val="2"/>
        <scheme val="minor"/>
      </rPr>
      <t>1. A/C:3723010012395; TK.15000/-</t>
    </r>
  </si>
  <si>
    <t>ATM Terminal A/C [RBLBSL01]</t>
  </si>
  <si>
    <t>GL code-102106501</t>
  </si>
  <si>
    <t>03.11.2019</t>
  </si>
  <si>
    <t xml:space="preserve">  31.10.2019</t>
  </si>
  <si>
    <t xml:space="preserve">  02.11.2019</t>
  </si>
  <si>
    <t>30.10.2019</t>
  </si>
  <si>
    <r>
      <t>ON us ATM</t>
    </r>
    <r>
      <rPr>
        <sz val="9"/>
        <color theme="1"/>
        <rFont val="Calibri"/>
        <family val="2"/>
        <scheme val="minor"/>
      </rPr>
      <t/>
    </r>
  </si>
  <si>
    <r>
      <t xml:space="preserve">REMOTE ONUS  NPSB TRNX.   </t>
    </r>
    <r>
      <rPr>
        <b/>
        <sz val="9"/>
        <color theme="1"/>
        <rFont val="Calibri"/>
        <family val="2"/>
        <scheme val="minor"/>
      </rPr>
      <t/>
    </r>
  </si>
  <si>
    <r>
      <t xml:space="preserve">PREVIOUS Day Transaction
</t>
    </r>
    <r>
      <rPr>
        <b/>
        <sz val="9"/>
        <color theme="1"/>
        <rFont val="Calibri"/>
        <family val="2"/>
        <scheme val="minor"/>
      </rPr>
      <t xml:space="preserve">REMOTE ON US NPSB; NOT IN CMS BUT IN CBS
</t>
    </r>
    <r>
      <rPr>
        <sz val="9"/>
        <color theme="1"/>
        <rFont val="Calibri"/>
        <family val="2"/>
        <scheme val="minor"/>
      </rPr>
      <t>1. A/C:0588010012700; TK.2020/-
2. A/C:1271010018605; TK.5020/-
3. A/C:5694010000028; TK.10020/-
4. A/C:5694010000028; TK.10020/-</t>
    </r>
    <r>
      <rPr>
        <b/>
        <sz val="9"/>
        <color theme="1"/>
        <rFont val="Calibri"/>
        <family val="2"/>
        <scheme val="minor"/>
      </rPr>
      <t/>
    </r>
  </si>
  <si>
    <r>
      <t>NPSB Next Day Transaction FOR:</t>
    </r>
    <r>
      <rPr>
        <sz val="8"/>
        <color theme="1"/>
        <rFont val="Calibri"/>
        <family val="2"/>
        <scheme val="minor"/>
      </rPr>
      <t xml:space="preserve"> 
</t>
    </r>
    <r>
      <rPr>
        <b/>
        <sz val="9"/>
        <color theme="1"/>
        <rFont val="Calibri"/>
        <family val="2"/>
        <scheme val="minor"/>
      </rPr>
      <t>REMOTE ON US NPSB; NOT IN CMS BUT IN CBS</t>
    </r>
    <r>
      <rPr>
        <sz val="8"/>
        <color theme="1"/>
        <rFont val="Calibri"/>
        <family val="2"/>
        <scheme val="minor"/>
      </rPr>
      <t xml:space="preserve">
</t>
    </r>
  </si>
  <si>
    <r>
      <t>Previous Day CBS Hit</t>
    </r>
    <r>
      <rPr>
        <b/>
        <sz val="10"/>
        <color theme="1"/>
        <rFont val="Calibri"/>
        <family val="2"/>
        <scheme val="minor"/>
      </rPr>
      <t/>
    </r>
  </si>
  <si>
    <r>
      <t xml:space="preserve">Previous Day Transaction  NPSB
</t>
    </r>
    <r>
      <rPr>
        <b/>
        <sz val="9"/>
        <color theme="1"/>
        <rFont val="Calibri"/>
        <family val="2"/>
        <scheme val="minor"/>
      </rPr>
      <t xml:space="preserve">REMOTE ON US NPSB; NOT IN CMS BUT IN CBS
</t>
    </r>
    <r>
      <rPr>
        <sz val="9"/>
        <color theme="1"/>
        <rFont val="Calibri"/>
        <family val="2"/>
        <scheme val="minor"/>
      </rPr>
      <t>1. A/C:0588010012700; TK.2020/-
2. A/C:1271010018605; TK.5020/-
3. A/C:5694010000028; TK.10020/-
4. A/C:5694010000028; TK.10020/-</t>
    </r>
    <r>
      <rPr>
        <b/>
        <sz val="9"/>
        <color theme="1"/>
        <rFont val="Calibri"/>
        <family val="2"/>
        <scheme val="minor"/>
      </rPr>
      <t/>
    </r>
  </si>
  <si>
    <r>
      <t xml:space="preserve">Next Day Transaction  NPSB
</t>
    </r>
    <r>
      <rPr>
        <b/>
        <sz val="9"/>
        <color theme="1"/>
        <rFont val="Calibri"/>
        <family val="2"/>
        <scheme val="minor"/>
      </rPr>
      <t>REMOTE ON US NPSB; NOT IN CMS BUT IN CBS</t>
    </r>
  </si>
  <si>
    <r>
      <t xml:space="preserve">Previous Day Transaction
</t>
    </r>
    <r>
      <rPr>
        <b/>
        <sz val="9"/>
        <color theme="1"/>
        <rFont val="Calibri"/>
        <family val="2"/>
        <scheme val="minor"/>
      </rPr>
      <t xml:space="preserve">REMOTE ON US NPSB; NOT IN CMS BUT IN CBS
</t>
    </r>
    <r>
      <rPr>
        <sz val="9"/>
        <color theme="1"/>
        <rFont val="Calibri"/>
        <family val="2"/>
        <scheme val="minor"/>
      </rPr>
      <t>1. A/C:0588010012700; TK.2020/-
2. A/C:1271010018605; TK.5020/-
3. A/C:5694010000028; TK.10020/-
4. A/C:5694010000028; TK.10020/-</t>
    </r>
    <r>
      <rPr>
        <b/>
        <sz val="9"/>
        <color theme="1"/>
        <rFont val="Calibri"/>
        <family val="2"/>
        <scheme val="minor"/>
      </rPr>
      <t/>
    </r>
  </si>
  <si>
    <r>
      <t>Next Day Transaction:</t>
    </r>
    <r>
      <rPr>
        <b/>
        <sz val="14"/>
        <color theme="1"/>
        <rFont val="Calibri"/>
        <family val="2"/>
        <scheme val="minor"/>
      </rPr>
      <t xml:space="preserve">
</t>
    </r>
  </si>
  <si>
    <r>
      <t xml:space="preserve">Dispute Trnx. </t>
    </r>
    <r>
      <rPr>
        <b/>
        <sz val="10"/>
        <color theme="1"/>
        <rFont val="Calibri"/>
        <family val="2"/>
        <scheme val="minor"/>
      </rPr>
      <t/>
    </r>
  </si>
  <si>
    <r>
      <t xml:space="preserve">Manual Adjustment of
</t>
    </r>
    <r>
      <rPr>
        <sz val="8"/>
        <color theme="1"/>
        <rFont val="Calibri"/>
        <family val="2"/>
        <scheme val="minor"/>
      </rPr>
      <t>1. Mobile Bill Pay (On Us) on dt-30.10.19 To 30.10.19; TK.432/-</t>
    </r>
  </si>
  <si>
    <r>
      <t xml:space="preserve">OFFUS QCASH TRNX.
</t>
    </r>
    <r>
      <rPr>
        <b/>
        <sz val="8"/>
        <color theme="1"/>
        <rFont val="Calibri"/>
        <family val="2"/>
        <scheme val="minor"/>
      </rPr>
      <t>VISA; NOT IN CBS BUT IN CMS</t>
    </r>
    <r>
      <rPr>
        <sz val="8"/>
        <color theme="1"/>
        <rFont val="Calibri"/>
        <family val="2"/>
        <scheme val="minor"/>
      </rPr>
      <t xml:space="preserve">
TRNX.-4; TK.37000/-</t>
    </r>
  </si>
  <si>
    <r>
      <t xml:space="preserve">REMOTE ON US QCASH TRNX.
</t>
    </r>
    <r>
      <rPr>
        <b/>
        <sz val="9"/>
        <color theme="1"/>
        <rFont val="Calibri"/>
        <family val="2"/>
        <scheme val="minor"/>
      </rPr>
      <t xml:space="preserve">MOBILE BILL PAY; NOT IN CBS BUT IN CMS
</t>
    </r>
    <r>
      <rPr>
        <sz val="9"/>
        <color theme="1"/>
        <rFont val="Calibri"/>
        <family val="2"/>
        <scheme val="minor"/>
      </rPr>
      <t>TRNX-6; TK.201/-</t>
    </r>
    <r>
      <rPr>
        <b/>
        <sz val="9"/>
        <color theme="1"/>
        <rFont val="Calibri"/>
        <family val="2"/>
        <scheme val="minor"/>
      </rPr>
      <t/>
    </r>
  </si>
  <si>
    <r>
      <t xml:space="preserve">Manual ATM Dispute SET
</t>
    </r>
    <r>
      <rPr>
        <sz val="8"/>
        <color theme="1"/>
        <rFont val="Calibri"/>
        <family val="2"/>
        <scheme val="minor"/>
      </rPr>
      <t>1. Remote On Us(NPSB)-1068; TK.5520/-
2. Remote On Us(NPSB)-1065; TK.2020/-
3. OFF US NPSB BI on dt-30.10.19 To 30.10.19; TK.5/-</t>
    </r>
  </si>
  <si>
    <r>
      <t xml:space="preserve">OFFUS NPSB TRNX.
</t>
    </r>
    <r>
      <rPr>
        <b/>
        <sz val="9"/>
        <color theme="1"/>
        <rFont val="Calibri"/>
        <family val="2"/>
        <scheme val="minor"/>
      </rPr>
      <t>BI; NOT IN CBS BUT IN CMS</t>
    </r>
    <r>
      <rPr>
        <b/>
        <sz val="8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>TRNX-7; TK.7*5==35/-</t>
    </r>
  </si>
  <si>
    <r>
      <t xml:space="preserve">Dispute Tr.
</t>
    </r>
    <r>
      <rPr>
        <b/>
        <sz val="9"/>
        <color theme="1"/>
        <rFont val="Calibri"/>
        <family val="2"/>
        <scheme val="minor"/>
      </rPr>
      <t xml:space="preserve">OFFUS QCASH TRNX.
</t>
    </r>
    <r>
      <rPr>
        <sz val="8"/>
        <color theme="1"/>
        <rFont val="Calibri"/>
        <family val="2"/>
        <scheme val="minor"/>
      </rPr>
      <t>VISA; NOT IN CBS BUT IN CMS
TRNX.-4; TK.37000/-</t>
    </r>
    <r>
      <rPr>
        <b/>
        <sz val="14"/>
        <color theme="1"/>
        <rFont val="Calibri"/>
        <family val="2"/>
        <scheme val="minor"/>
      </rPr>
      <t xml:space="preserve">
</t>
    </r>
    <r>
      <rPr>
        <b/>
        <sz val="9"/>
        <color theme="1"/>
        <rFont val="Calibri"/>
        <family val="2"/>
        <scheme val="minor"/>
      </rPr>
      <t>OFFUS NPSB TRNX.</t>
    </r>
    <r>
      <rPr>
        <sz val="8"/>
        <color theme="1"/>
        <rFont val="Calibri"/>
        <family val="2"/>
        <scheme val="minor"/>
      </rPr>
      <t xml:space="preserve">
BI; NOT IN CBS BUT IN CMS
TRNX-7; TK.7*5==35/-
</t>
    </r>
    <r>
      <rPr>
        <b/>
        <sz val="9"/>
        <color theme="1"/>
        <rFont val="Calibri"/>
        <family val="2"/>
        <scheme val="minor"/>
      </rPr>
      <t/>
    </r>
  </si>
  <si>
    <r>
      <t xml:space="preserve">Manual Adjustment Of
</t>
    </r>
    <r>
      <rPr>
        <sz val="9"/>
        <color theme="1"/>
        <rFont val="Calibri"/>
        <family val="2"/>
        <scheme val="minor"/>
      </rPr>
      <t>1. OFF US NPSB BI on dt-30.10.19 To 30.10.19; TK.5/-</t>
    </r>
  </si>
  <si>
    <r>
      <t xml:space="preserve">Dispute Trnx.
</t>
    </r>
    <r>
      <rPr>
        <b/>
        <sz val="9"/>
        <color theme="1"/>
        <rFont val="Calibri"/>
        <family val="2"/>
        <scheme val="minor"/>
      </rPr>
      <t>OFFUS NPSB TRNX.</t>
    </r>
    <r>
      <rPr>
        <sz val="8"/>
        <color theme="1"/>
        <rFont val="Calibri"/>
        <family val="2"/>
        <scheme val="minor"/>
      </rPr>
      <t xml:space="preserve">
BI; NOT IN CBS BUT IN CMS
TRNX-7; TK.7*5==35/-</t>
    </r>
  </si>
  <si>
    <r>
      <t xml:space="preserve">Manual Adjustment Of
</t>
    </r>
    <r>
      <rPr>
        <sz val="8"/>
        <color theme="1"/>
        <rFont val="Calibri"/>
        <family val="2"/>
        <scheme val="minor"/>
      </rPr>
      <t>1. Remote On Us(NPSB)-1068; TK.7.50
2. Remote On Us(NPSB)-1065; TK.7.50
3. OFF US NPSB BI on dt-30.10.19 To 30.10.19; TK.2/-</t>
    </r>
  </si>
  <si>
    <r>
      <t xml:space="preserve">Manual Adjustment of
</t>
    </r>
    <r>
      <rPr>
        <sz val="8"/>
        <color theme="1"/>
        <rFont val="Calibri"/>
        <family val="2"/>
        <scheme val="minor"/>
      </rPr>
      <t>1. OFF US NPSB BI on dt-30.10.19 To 30.10.19; TK.2/-</t>
    </r>
  </si>
  <si>
    <t>ATM Terminal A/C [RBLRAJ02]</t>
  </si>
  <si>
    <t>31.10.2019 TO 02.11.2019</t>
  </si>
</sst>
</file>

<file path=xl/styles.xml><?xml version="1.0" encoding="utf-8"?>
<styleSheet xmlns="http://schemas.openxmlformats.org/spreadsheetml/2006/main">
  <numFmts count="4">
    <numFmt numFmtId="164" formatCode="dd\-mmm\-yyyy"/>
    <numFmt numFmtId="165" formatCode="&quot;$&quot;#,##0.00"/>
    <numFmt numFmtId="166" formatCode="[$-409]m/d/yy\ h:mm\ AM/PM;@"/>
    <numFmt numFmtId="167" formatCode="[$-409]d\-mmm\-yy;@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 Light"/>
      <family val="2"/>
    </font>
    <font>
      <b/>
      <u/>
      <sz val="11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u/>
      <sz val="11.5"/>
      <color rgb="FFFF000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6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2" fontId="5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5" fillId="0" borderId="1" xfId="0" applyNumberFormat="1" applyFont="1" applyBorder="1"/>
    <xf numFmtId="2" fontId="0" fillId="7" borderId="1" xfId="0" applyNumberFormat="1" applyFill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10" borderId="0" xfId="0" applyFont="1" applyFill="1"/>
    <xf numFmtId="0" fontId="3" fillId="3" borderId="1" xfId="0" applyFont="1" applyFill="1" applyBorder="1"/>
    <xf numFmtId="2" fontId="3" fillId="3" borderId="1" xfId="0" applyNumberFormat="1" applyFont="1" applyFill="1" applyBorder="1"/>
    <xf numFmtId="2" fontId="3" fillId="3" borderId="7" xfId="0" applyNumberFormat="1" applyFont="1" applyFill="1" applyBorder="1"/>
    <xf numFmtId="0" fontId="6" fillId="0" borderId="0" xfId="0" applyFont="1"/>
    <xf numFmtId="2" fontId="2" fillId="0" borderId="0" xfId="0" applyNumberFormat="1" applyFont="1"/>
    <xf numFmtId="2" fontId="2" fillId="4" borderId="0" xfId="0" applyNumberFormat="1" applyFont="1" applyFill="1"/>
    <xf numFmtId="2" fontId="6" fillId="0" borderId="0" xfId="0" applyNumberFormat="1" applyFont="1"/>
    <xf numFmtId="2" fontId="2" fillId="5" borderId="0" xfId="0" applyNumberFormat="1" applyFont="1" applyFill="1"/>
    <xf numFmtId="4" fontId="3" fillId="3" borderId="1" xfId="0" applyNumberFormat="1" applyFont="1" applyFill="1" applyBorder="1"/>
    <xf numFmtId="0" fontId="1" fillId="6" borderId="1" xfId="0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164" fontId="0" fillId="9" borderId="1" xfId="0" applyNumberFormat="1" applyFill="1" applyBorder="1"/>
    <xf numFmtId="0" fontId="0" fillId="0" borderId="1" xfId="0" applyBorder="1" applyAlignment="1">
      <alignment wrapText="1"/>
    </xf>
    <xf numFmtId="2" fontId="0" fillId="7" borderId="1" xfId="0" applyNumberFormat="1" applyFill="1" applyBorder="1" applyProtection="1">
      <protection locked="0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2" fontId="7" fillId="7" borderId="1" xfId="0" applyNumberFormat="1" applyFont="1" applyFill="1" applyBorder="1" applyProtection="1">
      <protection locked="0"/>
    </xf>
    <xf numFmtId="164" fontId="1" fillId="8" borderId="1" xfId="0" applyNumberFormat="1" applyFont="1" applyFill="1" applyBorder="1"/>
    <xf numFmtId="2" fontId="8" fillId="0" borderId="1" xfId="0" applyNumberFormat="1" applyFont="1" applyBorder="1"/>
    <xf numFmtId="2" fontId="8" fillId="6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10" borderId="1" xfId="0" applyNumberFormat="1" applyFill="1" applyBorder="1"/>
    <xf numFmtId="2" fontId="8" fillId="8" borderId="1" xfId="0" applyNumberFormat="1" applyFont="1" applyFill="1" applyBorder="1"/>
    <xf numFmtId="164" fontId="0" fillId="8" borderId="1" xfId="0" applyNumberFormat="1" applyFill="1" applyBorder="1"/>
    <xf numFmtId="2" fontId="1" fillId="8" borderId="1" xfId="0" applyNumberFormat="1" applyFont="1" applyFill="1" applyBorder="1"/>
    <xf numFmtId="164" fontId="1" fillId="9" borderId="1" xfId="0" applyNumberFormat="1" applyFont="1" applyFill="1" applyBorder="1"/>
    <xf numFmtId="2" fontId="0" fillId="11" borderId="1" xfId="0" applyNumberFormat="1" applyFill="1" applyBorder="1"/>
    <xf numFmtId="0" fontId="0" fillId="0" borderId="1" xfId="0" applyBorder="1" applyAlignment="1">
      <alignment vertical="center" wrapText="1"/>
    </xf>
    <xf numFmtId="4" fontId="2" fillId="12" borderId="1" xfId="0" applyNumberFormat="1" applyFont="1" applyFill="1" applyBorder="1" applyProtection="1">
      <protection locked="0"/>
    </xf>
    <xf numFmtId="2" fontId="2" fillId="12" borderId="1" xfId="0" applyNumberFormat="1" applyFont="1" applyFill="1" applyBorder="1"/>
    <xf numFmtId="2" fontId="2" fillId="12" borderId="7" xfId="0" applyNumberFormat="1" applyFont="1" applyFill="1" applyBorder="1"/>
    <xf numFmtId="4" fontId="2" fillId="11" borderId="1" xfId="0" applyNumberFormat="1" applyFont="1" applyFill="1" applyBorder="1" applyProtection="1">
      <protection locked="0"/>
    </xf>
    <xf numFmtId="2" fontId="2" fillId="11" borderId="1" xfId="0" applyNumberFormat="1" applyFont="1" applyFill="1" applyBorder="1"/>
    <xf numFmtId="2" fontId="2" fillId="11" borderId="7" xfId="0" applyNumberFormat="1" applyFont="1" applyFill="1" applyBorder="1"/>
    <xf numFmtId="4" fontId="2" fillId="13" borderId="1" xfId="0" applyNumberFormat="1" applyFont="1" applyFill="1" applyBorder="1" applyProtection="1">
      <protection locked="0"/>
    </xf>
    <xf numFmtId="2" fontId="2" fillId="13" borderId="1" xfId="0" applyNumberFormat="1" applyFont="1" applyFill="1" applyBorder="1"/>
    <xf numFmtId="2" fontId="2" fillId="13" borderId="7" xfId="0" applyNumberFormat="1" applyFont="1" applyFill="1" applyBorder="1"/>
    <xf numFmtId="4" fontId="2" fillId="3" borderId="1" xfId="0" applyNumberFormat="1" applyFont="1" applyFill="1" applyBorder="1" applyProtection="1">
      <protection locked="0"/>
    </xf>
    <xf numFmtId="2" fontId="2" fillId="3" borderId="1" xfId="0" applyNumberFormat="1" applyFont="1" applyFill="1" applyBorder="1"/>
    <xf numFmtId="2" fontId="2" fillId="3" borderId="7" xfId="0" applyNumberFormat="1" applyFont="1" applyFill="1" applyBorder="1"/>
    <xf numFmtId="4" fontId="2" fillId="14" borderId="1" xfId="0" applyNumberFormat="1" applyFont="1" applyFill="1" applyBorder="1" applyProtection="1">
      <protection locked="0"/>
    </xf>
    <xf numFmtId="2" fontId="2" fillId="14" borderId="1" xfId="0" applyNumberFormat="1" applyFont="1" applyFill="1" applyBorder="1"/>
    <xf numFmtId="2" fontId="2" fillId="14" borderId="7" xfId="0" applyNumberFormat="1" applyFont="1" applyFill="1" applyBorder="1"/>
    <xf numFmtId="4" fontId="2" fillId="15" borderId="1" xfId="0" applyNumberFormat="1" applyFont="1" applyFill="1" applyBorder="1" applyProtection="1">
      <protection locked="0"/>
    </xf>
    <xf numFmtId="2" fontId="2" fillId="15" borderId="1" xfId="0" applyNumberFormat="1" applyFont="1" applyFill="1" applyBorder="1"/>
    <xf numFmtId="2" fontId="2" fillId="15" borderId="7" xfId="0" applyNumberFormat="1" applyFont="1" applyFill="1" applyBorder="1"/>
    <xf numFmtId="2" fontId="2" fillId="16" borderId="2" xfId="0" applyNumberFormat="1" applyFont="1" applyFill="1" applyBorder="1"/>
    <xf numFmtId="2" fontId="2" fillId="16" borderId="6" xfId="0" applyNumberFormat="1" applyFont="1" applyFill="1" applyBorder="1"/>
    <xf numFmtId="2" fontId="2" fillId="16" borderId="1" xfId="0" applyNumberFormat="1" applyFont="1" applyFill="1" applyBorder="1"/>
    <xf numFmtId="0" fontId="0" fillId="11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13" borderId="1" xfId="0" applyFill="1" applyBorder="1"/>
    <xf numFmtId="0" fontId="2" fillId="12" borderId="1" xfId="0" applyFont="1" applyFill="1" applyBorder="1"/>
    <xf numFmtId="0" fontId="2" fillId="14" borderId="1" xfId="0" applyFont="1" applyFill="1" applyBorder="1"/>
    <xf numFmtId="0" fontId="2" fillId="16" borderId="2" xfId="0" applyFont="1" applyFill="1" applyBorder="1"/>
    <xf numFmtId="2" fontId="7" fillId="12" borderId="1" xfId="0" applyNumberFormat="1" applyFont="1" applyFill="1" applyBorder="1"/>
    <xf numFmtId="2" fontId="7" fillId="14" borderId="1" xfId="0" applyNumberFormat="1" applyFont="1" applyFill="1" applyBorder="1"/>
    <xf numFmtId="2" fontId="7" fillId="13" borderId="1" xfId="0" applyNumberFormat="1" applyFont="1" applyFill="1" applyBorder="1"/>
    <xf numFmtId="4" fontId="0" fillId="16" borderId="2" xfId="0" applyNumberFormat="1" applyFill="1" applyBorder="1" applyProtection="1">
      <protection locked="0"/>
    </xf>
    <xf numFmtId="4" fontId="0" fillId="0" borderId="1" xfId="0" applyNumberFormat="1" applyBorder="1"/>
    <xf numFmtId="4" fontId="5" fillId="0" borderId="1" xfId="0" applyNumberFormat="1" applyFont="1" applyBorder="1"/>
    <xf numFmtId="4" fontId="7" fillId="0" borderId="1" xfId="0" applyNumberFormat="1" applyFont="1" applyBorder="1"/>
    <xf numFmtId="0" fontId="1" fillId="0" borderId="10" xfId="0" applyFont="1" applyBorder="1" applyAlignment="1">
      <alignment horizontal="left"/>
    </xf>
    <xf numFmtId="22" fontId="1" fillId="0" borderId="1" xfId="0" applyNumberFormat="1" applyFont="1" applyBorder="1" applyAlignment="1">
      <alignment horizontal="center"/>
    </xf>
    <xf numFmtId="0" fontId="1" fillId="0" borderId="10" xfId="0" applyFont="1" applyBorder="1"/>
    <xf numFmtId="166" fontId="1" fillId="0" borderId="10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3" fontId="0" fillId="17" borderId="2" xfId="0" applyNumberFormat="1" applyFill="1" applyBorder="1"/>
    <xf numFmtId="4" fontId="0" fillId="17" borderId="6" xfId="0" applyNumberFormat="1" applyFill="1" applyBorder="1"/>
    <xf numFmtId="4" fontId="0" fillId="17" borderId="1" xfId="0" applyNumberFormat="1" applyFill="1" applyBorder="1"/>
    <xf numFmtId="4" fontId="0" fillId="17" borderId="2" xfId="0" applyNumberFormat="1" applyFill="1" applyBorder="1"/>
    <xf numFmtId="0" fontId="0" fillId="0" borderId="1" xfId="0" applyBorder="1" applyAlignment="1">
      <alignment horizontal="center"/>
    </xf>
    <xf numFmtId="3" fontId="0" fillId="10" borderId="2" xfId="0" applyNumberFormat="1" applyFill="1" applyBorder="1"/>
    <xf numFmtId="4" fontId="0" fillId="10" borderId="6" xfId="0" applyNumberFormat="1" applyFill="1" applyBorder="1"/>
    <xf numFmtId="4" fontId="0" fillId="10" borderId="1" xfId="0" applyNumberFormat="1" applyFill="1" applyBorder="1"/>
    <xf numFmtId="3" fontId="0" fillId="0" borderId="2" xfId="0" applyNumberFormat="1" applyBorder="1"/>
    <xf numFmtId="4" fontId="0" fillId="0" borderId="6" xfId="0" applyNumberFormat="1" applyBorder="1"/>
    <xf numFmtId="3" fontId="7" fillId="17" borderId="2" xfId="0" applyNumberFormat="1" applyFont="1" applyFill="1" applyBorder="1"/>
    <xf numFmtId="4" fontId="7" fillId="17" borderId="6" xfId="0" applyNumberFormat="1" applyFont="1" applyFill="1" applyBorder="1"/>
    <xf numFmtId="4" fontId="7" fillId="17" borderId="1" xfId="0" applyNumberFormat="1" applyFont="1" applyFill="1" applyBorder="1"/>
    <xf numFmtId="3" fontId="1" fillId="0" borderId="1" xfId="0" applyNumberFormat="1" applyFont="1" applyBorder="1"/>
    <xf numFmtId="4" fontId="1" fillId="0" borderId="1" xfId="0" applyNumberFormat="1" applyFont="1" applyBorder="1"/>
    <xf numFmtId="3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3" fontId="2" fillId="16" borderId="2" xfId="0" applyNumberFormat="1" applyFont="1" applyFill="1" applyBorder="1" applyProtection="1">
      <protection locked="0"/>
    </xf>
    <xf numFmtId="3" fontId="2" fillId="12" borderId="1" xfId="0" applyNumberFormat="1" applyFont="1" applyFill="1" applyBorder="1" applyProtection="1">
      <protection locked="0"/>
    </xf>
    <xf numFmtId="3" fontId="2" fillId="14" borderId="1" xfId="0" applyNumberFormat="1" applyFont="1" applyFill="1" applyBorder="1" applyProtection="1">
      <protection locked="0"/>
    </xf>
    <xf numFmtId="3" fontId="2" fillId="13" borderId="1" xfId="0" applyNumberFormat="1" applyFont="1" applyFill="1" applyBorder="1" applyProtection="1">
      <protection locked="0"/>
    </xf>
    <xf numFmtId="3" fontId="2" fillId="11" borderId="1" xfId="0" applyNumberFormat="1" applyFont="1" applyFill="1" applyBorder="1" applyProtection="1">
      <protection locked="0"/>
    </xf>
    <xf numFmtId="3" fontId="2" fillId="3" borderId="1" xfId="0" applyNumberFormat="1" applyFont="1" applyFill="1" applyBorder="1" applyProtection="1">
      <protection locked="0"/>
    </xf>
    <xf numFmtId="3" fontId="2" fillId="15" borderId="1" xfId="0" applyNumberFormat="1" applyFont="1" applyFill="1" applyBorder="1" applyProtection="1">
      <protection locked="0"/>
    </xf>
    <xf numFmtId="0" fontId="4" fillId="3" borderId="1" xfId="0" applyFont="1" applyFill="1" applyBorder="1"/>
    <xf numFmtId="0" fontId="11" fillId="14" borderId="1" xfId="0" applyFont="1" applyFill="1" applyBorder="1"/>
    <xf numFmtId="164" fontId="1" fillId="7" borderId="1" xfId="0" applyNumberFormat="1" applyFont="1" applyFill="1" applyBorder="1" applyAlignment="1" applyProtection="1">
      <alignment horizontal="center"/>
      <protection locked="0"/>
    </xf>
    <xf numFmtId="164" fontId="1" fillId="8" borderId="1" xfId="0" applyNumberFormat="1" applyFont="1" applyFill="1" applyBorder="1" applyAlignment="1" applyProtection="1">
      <alignment horizontal="center"/>
      <protection locked="0"/>
    </xf>
    <xf numFmtId="164" fontId="1" fillId="8" borderId="1" xfId="0" applyNumberFormat="1" applyFont="1" applyFill="1" applyBorder="1" applyAlignment="1">
      <alignment horizontal="center"/>
    </xf>
    <xf numFmtId="164" fontId="1" fillId="9" borderId="1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7" fillId="0" borderId="0" xfId="0" applyFont="1"/>
    <xf numFmtId="0" fontId="14" fillId="0" borderId="12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1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0" fontId="7" fillId="0" borderId="15" xfId="0" applyFont="1" applyBorder="1" applyAlignment="1">
      <alignment vertical="top" wrapText="1"/>
    </xf>
    <xf numFmtId="0" fontId="7" fillId="0" borderId="16" xfId="0" applyFont="1" applyBorder="1" applyAlignment="1">
      <alignment horizontal="center" vertical="top" wrapText="1"/>
    </xf>
    <xf numFmtId="0" fontId="7" fillId="0" borderId="17" xfId="0" applyFont="1" applyBorder="1" applyAlignment="1">
      <alignment vertical="top" wrapText="1"/>
    </xf>
    <xf numFmtId="0" fontId="7" fillId="0" borderId="16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0" fontId="15" fillId="0" borderId="0" xfId="0" applyFont="1" applyAlignment="1">
      <alignment horizontal="justify" vertical="top" wrapText="1"/>
    </xf>
    <xf numFmtId="0" fontId="14" fillId="0" borderId="14" xfId="0" applyFont="1" applyBorder="1" applyAlignment="1">
      <alignment horizontal="center"/>
    </xf>
    <xf numFmtId="0" fontId="7" fillId="0" borderId="18" xfId="0" applyFont="1" applyBorder="1" applyAlignment="1">
      <alignment horizontal="center" vertical="top" wrapText="1"/>
    </xf>
    <xf numFmtId="0" fontId="15" fillId="0" borderId="15" xfId="0" applyFont="1" applyBorder="1" applyAlignment="1">
      <alignment vertical="top" wrapText="1"/>
    </xf>
    <xf numFmtId="0" fontId="15" fillId="0" borderId="17" xfId="0" applyFont="1" applyBorder="1" applyAlignment="1">
      <alignment vertical="top" wrapText="1"/>
    </xf>
    <xf numFmtId="0" fontId="14" fillId="0" borderId="14" xfId="0" applyFont="1" applyBorder="1" applyAlignment="1">
      <alignment horizontal="center" vertical="center" wrapText="1"/>
    </xf>
    <xf numFmtId="0" fontId="12" fillId="0" borderId="15" xfId="0" applyFont="1" applyBorder="1" applyAlignment="1">
      <alignment vertical="top" wrapText="1"/>
    </xf>
    <xf numFmtId="0" fontId="14" fillId="0" borderId="0" xfId="0" applyFont="1"/>
    <xf numFmtId="0" fontId="7" fillId="0" borderId="11" xfId="0" applyFont="1" applyBorder="1" applyAlignment="1">
      <alignment vertical="top" wrapText="1"/>
    </xf>
    <xf numFmtId="4" fontId="14" fillId="0" borderId="11" xfId="0" applyNumberFormat="1" applyFont="1" applyBorder="1" applyAlignment="1">
      <alignment vertical="top" wrapText="1"/>
    </xf>
    <xf numFmtId="0" fontId="15" fillId="0" borderId="11" xfId="0" applyFont="1" applyBorder="1" applyAlignment="1">
      <alignment horizontal="justify" vertical="top" wrapText="1"/>
    </xf>
    <xf numFmtId="0" fontId="7" fillId="0" borderId="17" xfId="0" applyFont="1" applyBorder="1"/>
    <xf numFmtId="4" fontId="16" fillId="0" borderId="16" xfId="0" applyNumberFormat="1" applyFont="1" applyBorder="1" applyAlignment="1">
      <alignment vertical="top" wrapText="1"/>
    </xf>
    <xf numFmtId="0" fontId="14" fillId="0" borderId="11" xfId="0" applyFont="1" applyBorder="1" applyAlignment="1">
      <alignment horizontal="center" vertical="center"/>
    </xf>
    <xf numFmtId="0" fontId="10" fillId="0" borderId="16" xfId="0" applyFont="1" applyBorder="1" applyAlignment="1">
      <alignment vertical="top" wrapText="1"/>
    </xf>
    <xf numFmtId="0" fontId="10" fillId="0" borderId="17" xfId="0" applyFont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4" fillId="0" borderId="14" xfId="0" applyFont="1" applyBorder="1" applyAlignment="1">
      <alignment horizontal="right"/>
    </xf>
    <xf numFmtId="164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2" fontId="5" fillId="0" borderId="1" xfId="0" applyNumberFormat="1" applyFont="1" applyBorder="1" applyAlignment="1">
      <alignment horizontal="right" vertical="center"/>
    </xf>
    <xf numFmtId="2" fontId="0" fillId="7" borderId="1" xfId="0" applyNumberFormat="1" applyFill="1" applyBorder="1" applyAlignment="1" applyProtection="1">
      <alignment horizontal="right"/>
      <protection locked="0"/>
    </xf>
    <xf numFmtId="22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4" fontId="14" fillId="0" borderId="0" xfId="0" applyNumberFormat="1" applyFont="1" applyAlignment="1">
      <alignment vertical="top" wrapText="1"/>
    </xf>
    <xf numFmtId="0" fontId="14" fillId="0" borderId="14" xfId="0" applyFont="1" applyBorder="1" applyAlignment="1">
      <alignment horizontal="center" vertical="center"/>
    </xf>
    <xf numFmtId="0" fontId="7" fillId="0" borderId="17" xfId="0" applyFont="1" applyBorder="1" applyAlignment="1">
      <alignment horizontal="right" vertical="top" wrapText="1"/>
    </xf>
    <xf numFmtId="0" fontId="0" fillId="17" borderId="1" xfId="0" applyFill="1" applyBorder="1"/>
    <xf numFmtId="0" fontId="4" fillId="7" borderId="1" xfId="0" applyFont="1" applyFill="1" applyBorder="1" applyAlignment="1">
      <alignment wrapText="1"/>
    </xf>
    <xf numFmtId="0" fontId="1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/>
    </xf>
    <xf numFmtId="1" fontId="0" fillId="0" borderId="0" xfId="0" applyNumberFormat="1"/>
    <xf numFmtId="0" fontId="11" fillId="0" borderId="1" xfId="0" applyFont="1" applyBorder="1" applyAlignment="1">
      <alignment horizontal="center" wrapText="1"/>
    </xf>
    <xf numFmtId="0" fontId="26" fillId="0" borderId="1" xfId="0" applyFont="1" applyBorder="1"/>
    <xf numFmtId="2" fontId="0" fillId="2" borderId="1" xfId="0" applyNumberFormat="1" applyFill="1" applyBorder="1" applyAlignment="1">
      <alignment horizontal="center"/>
    </xf>
    <xf numFmtId="2" fontId="7" fillId="0" borderId="1" xfId="0" applyNumberFormat="1" applyFont="1" applyBorder="1"/>
    <xf numFmtId="1" fontId="9" fillId="0" borderId="0" xfId="0" applyNumberFormat="1" applyFont="1"/>
    <xf numFmtId="0" fontId="7" fillId="0" borderId="17" xfId="0" applyFont="1" applyBorder="1" applyAlignment="1">
      <alignment horizontal="center" vertical="top" wrapText="1"/>
    </xf>
    <xf numFmtId="4" fontId="7" fillId="0" borderId="16" xfId="0" applyNumberFormat="1" applyFont="1" applyBorder="1" applyAlignment="1">
      <alignment horizontal="right" vertical="top" wrapText="1"/>
    </xf>
    <xf numFmtId="4" fontId="7" fillId="0" borderId="0" xfId="0" applyNumberFormat="1" applyFont="1"/>
    <xf numFmtId="164" fontId="0" fillId="9" borderId="1" xfId="0" applyNumberForma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2" fontId="7" fillId="0" borderId="26" xfId="0" applyNumberFormat="1" applyFont="1" applyBorder="1"/>
    <xf numFmtId="2" fontId="7" fillId="0" borderId="25" xfId="0" applyNumberFormat="1" applyFont="1" applyBorder="1"/>
    <xf numFmtId="0" fontId="0" fillId="0" borderId="1" xfId="0" applyBorder="1" applyAlignment="1">
      <alignment horizontal="right"/>
    </xf>
    <xf numFmtId="0" fontId="0" fillId="0" borderId="0" xfId="0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2" fontId="0" fillId="0" borderId="1" xfId="0" applyNumberFormat="1" applyFill="1" applyBorder="1" applyProtection="1">
      <protection locked="0"/>
    </xf>
    <xf numFmtId="0" fontId="0" fillId="0" borderId="0" xfId="0" applyAlignment="1">
      <alignment horizontal="center"/>
    </xf>
    <xf numFmtId="0" fontId="13" fillId="0" borderId="1" xfId="0" applyFont="1" applyBorder="1" applyAlignment="1">
      <alignment wrapText="1"/>
    </xf>
    <xf numFmtId="0" fontId="7" fillId="0" borderId="0" xfId="0" applyFont="1" applyBorder="1"/>
    <xf numFmtId="0" fontId="0" fillId="0" borderId="0" xfId="0" applyAlignment="1">
      <alignment vertical="center"/>
    </xf>
    <xf numFmtId="0" fontId="0" fillId="0" borderId="0" xfId="0"/>
    <xf numFmtId="0" fontId="1" fillId="0" borderId="0" xfId="0" applyFont="1" applyBorder="1"/>
    <xf numFmtId="2" fontId="0" fillId="0" borderId="0" xfId="0" applyNumberFormat="1" applyBorder="1"/>
    <xf numFmtId="2" fontId="8" fillId="0" borderId="0" xfId="0" applyNumberFormat="1" applyFont="1" applyBorder="1"/>
    <xf numFmtId="0" fontId="0" fillId="0" borderId="0" xfId="0"/>
    <xf numFmtId="164" fontId="1" fillId="0" borderId="0" xfId="0" applyNumberFormat="1" applyFont="1" applyFill="1" applyBorder="1" applyAlignment="1" applyProtection="1">
      <alignment horizontal="center"/>
      <protection locked="0"/>
    </xf>
    <xf numFmtId="2" fontId="0" fillId="7" borderId="1" xfId="0" applyNumberFormat="1" applyFill="1" applyBorder="1" applyAlignment="1" applyProtection="1">
      <protection locked="0"/>
    </xf>
    <xf numFmtId="2" fontId="0" fillId="0" borderId="1" xfId="0" applyNumberFormat="1" applyBorder="1" applyAlignment="1"/>
    <xf numFmtId="0" fontId="0" fillId="0" borderId="1" xfId="0" applyFill="1" applyBorder="1"/>
    <xf numFmtId="3" fontId="7" fillId="0" borderId="2" xfId="0" applyNumberFormat="1" applyFont="1" applyFill="1" applyBorder="1"/>
    <xf numFmtId="4" fontId="7" fillId="0" borderId="6" xfId="0" applyNumberFormat="1" applyFont="1" applyFill="1" applyBorder="1"/>
    <xf numFmtId="4" fontId="7" fillId="0" borderId="1" xfId="0" applyNumberFormat="1" applyFont="1" applyFill="1" applyBorder="1"/>
    <xf numFmtId="3" fontId="0" fillId="0" borderId="2" xfId="0" applyNumberFormat="1" applyFill="1" applyBorder="1"/>
    <xf numFmtId="4" fontId="0" fillId="0" borderId="6" xfId="0" applyNumberFormat="1" applyFill="1" applyBorder="1"/>
    <xf numFmtId="4" fontId="0" fillId="0" borderId="1" xfId="0" applyNumberFormat="1" applyFill="1" applyBorder="1"/>
    <xf numFmtId="0" fontId="0" fillId="0" borderId="0" xfId="0"/>
    <xf numFmtId="0" fontId="0" fillId="0" borderId="0" xfId="0"/>
    <xf numFmtId="4" fontId="0" fillId="0" borderId="0" xfId="0" applyNumberFormat="1"/>
    <xf numFmtId="4" fontId="13" fillId="0" borderId="0" xfId="0" applyNumberFormat="1" applyFon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4" fontId="0" fillId="0" borderId="0" xfId="0" applyNumberFormat="1"/>
    <xf numFmtId="1" fontId="1" fillId="0" borderId="0" xfId="0" applyNumberFormat="1" applyFont="1"/>
    <xf numFmtId="49" fontId="7" fillId="4" borderId="0" xfId="0" applyNumberFormat="1" applyFont="1" applyFill="1"/>
    <xf numFmtId="1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13" fillId="0" borderId="0" xfId="0" applyNumberFormat="1" applyFont="1"/>
    <xf numFmtId="2" fontId="13" fillId="0" borderId="0" xfId="0" applyNumberFormat="1" applyFont="1"/>
    <xf numFmtId="0" fontId="0" fillId="0" borderId="0" xfId="0"/>
    <xf numFmtId="0" fontId="0" fillId="0" borderId="6" xfId="0" applyBorder="1" applyAlignment="1">
      <alignment horizontal="center"/>
    </xf>
    <xf numFmtId="0" fontId="0" fillId="17" borderId="24" xfId="0" applyFill="1" applyBorder="1"/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26" xfId="0" applyNumberFormat="1" applyBorder="1" applyAlignment="1">
      <alignment horizontal="left"/>
    </xf>
    <xf numFmtId="167" fontId="0" fillId="0" borderId="24" xfId="0" applyNumberFormat="1" applyBorder="1" applyAlignment="1">
      <alignment horizontal="left"/>
    </xf>
    <xf numFmtId="49" fontId="13" fillId="0" borderId="0" xfId="0" applyNumberFormat="1" applyFont="1"/>
    <xf numFmtId="0" fontId="0" fillId="10" borderId="1" xfId="0" applyFill="1" applyBorder="1"/>
    <xf numFmtId="0" fontId="0" fillId="0" borderId="0" xfId="0"/>
    <xf numFmtId="49" fontId="7" fillId="10" borderId="0" xfId="0" applyNumberFormat="1" applyFont="1" applyFill="1" applyAlignment="1"/>
    <xf numFmtId="49" fontId="13" fillId="0" borderId="0" xfId="0" applyNumberFormat="1" applyFont="1" applyAlignment="1">
      <alignment horizontal="left"/>
    </xf>
    <xf numFmtId="0" fontId="11" fillId="0" borderId="1" xfId="0" applyFont="1" applyBorder="1" applyAlignment="1">
      <alignment horizontal="left" wrapText="1"/>
    </xf>
    <xf numFmtId="0" fontId="0" fillId="0" borderId="0" xfId="0"/>
    <xf numFmtId="0" fontId="4" fillId="0" borderId="1" xfId="0" applyFont="1" applyBorder="1" applyAlignment="1">
      <alignment vertical="top" wrapText="1"/>
    </xf>
    <xf numFmtId="164" fontId="0" fillId="0" borderId="1" xfId="0" applyNumberFormat="1" applyBorder="1" applyAlignment="1">
      <alignment vertical="top" wrapText="1"/>
    </xf>
    <xf numFmtId="2" fontId="0" fillId="0" borderId="0" xfId="0" applyNumberFormat="1" applyAlignment="1">
      <alignment vertical="top" wrapText="1"/>
    </xf>
    <xf numFmtId="0" fontId="25" fillId="0" borderId="0" xfId="0" applyFont="1"/>
    <xf numFmtId="0" fontId="0" fillId="0" borderId="0" xfId="0" applyFont="1"/>
    <xf numFmtId="2" fontId="0" fillId="7" borderId="1" xfId="0" applyNumberFormat="1" applyFill="1" applyBorder="1" applyAlignment="1"/>
    <xf numFmtId="0" fontId="1" fillId="0" borderId="1" xfId="0" applyFont="1" applyBorder="1" applyAlignment="1">
      <alignment vertical="top" wrapText="1"/>
    </xf>
    <xf numFmtId="0" fontId="0" fillId="0" borderId="0" xfId="0"/>
    <xf numFmtId="0" fontId="0" fillId="0" borderId="0" xfId="0" applyFill="1" applyBorder="1"/>
    <xf numFmtId="0" fontId="5" fillId="0" borderId="0" xfId="0" applyFont="1" applyFill="1" applyBorder="1"/>
    <xf numFmtId="2" fontId="0" fillId="7" borderId="1" xfId="0" applyNumberFormat="1" applyFill="1" applyBorder="1" applyAlignment="1">
      <alignment wrapText="1"/>
    </xf>
    <xf numFmtId="0" fontId="0" fillId="0" borderId="0" xfId="0"/>
    <xf numFmtId="0" fontId="29" fillId="0" borderId="1" xfId="0" applyFont="1" applyBorder="1" applyAlignment="1">
      <alignment wrapText="1"/>
    </xf>
    <xf numFmtId="2" fontId="0" fillId="7" borderId="1" xfId="0" applyNumberFormat="1" applyFill="1" applyBorder="1" applyAlignment="1" applyProtection="1">
      <alignment wrapText="1"/>
      <protection locked="0"/>
    </xf>
    <xf numFmtId="0" fontId="35" fillId="0" borderId="0" xfId="0" applyFont="1"/>
    <xf numFmtId="164" fontId="9" fillId="0" borderId="0" xfId="0" applyNumberFormat="1" applyFont="1"/>
    <xf numFmtId="2" fontId="9" fillId="0" borderId="0" xfId="0" applyNumberFormat="1" applyFont="1"/>
    <xf numFmtId="0" fontId="9" fillId="0" borderId="0" xfId="0" applyFont="1"/>
    <xf numFmtId="0" fontId="9" fillId="0" borderId="0" xfId="0" applyFont="1" applyFill="1" applyBorder="1"/>
    <xf numFmtId="0" fontId="36" fillId="0" borderId="0" xfId="0" applyFont="1" applyFill="1" applyBorder="1"/>
    <xf numFmtId="0" fontId="0" fillId="0" borderId="0" xfId="0"/>
    <xf numFmtId="0" fontId="37" fillId="0" borderId="0" xfId="0" applyFont="1" applyFill="1" applyBorder="1"/>
    <xf numFmtId="0" fontId="13" fillId="0" borderId="0" xfId="0" applyFont="1" applyFill="1" applyBorder="1" applyAlignment="1">
      <alignment wrapText="1"/>
    </xf>
    <xf numFmtId="0" fontId="13" fillId="0" borderId="0" xfId="0" applyNumberFormat="1" applyFont="1" applyAlignment="1">
      <alignment wrapText="1"/>
    </xf>
    <xf numFmtId="0" fontId="0" fillId="0" borderId="0" xfId="0"/>
    <xf numFmtId="2" fontId="9" fillId="0" borderId="0" xfId="0" applyNumberFormat="1" applyFont="1" applyFill="1" applyBorder="1"/>
    <xf numFmtId="0" fontId="0" fillId="0" borderId="0" xfId="0"/>
    <xf numFmtId="0" fontId="0" fillId="0" borderId="0" xfId="0"/>
    <xf numFmtId="4" fontId="0" fillId="4" borderId="1" xfId="0" applyNumberFormat="1" applyFill="1" applyBorder="1"/>
    <xf numFmtId="0" fontId="0" fillId="0" borderId="0" xfId="0"/>
    <xf numFmtId="0" fontId="7" fillId="0" borderId="16" xfId="0" applyFont="1" applyBorder="1" applyAlignment="1">
      <alignment horizontal="center" vertical="top" wrapText="1"/>
    </xf>
    <xf numFmtId="0" fontId="7" fillId="0" borderId="17" xfId="0" applyFont="1" applyBorder="1" applyAlignment="1">
      <alignment horizontal="center" vertical="top" wrapText="1"/>
    </xf>
    <xf numFmtId="4" fontId="7" fillId="0" borderId="16" xfId="0" applyNumberFormat="1" applyFont="1" applyBorder="1" applyAlignment="1">
      <alignment horizontal="right" vertical="top" wrapText="1"/>
    </xf>
    <xf numFmtId="0" fontId="12" fillId="0" borderId="16" xfId="0" applyFont="1" applyBorder="1" applyAlignment="1">
      <alignment vertical="top" wrapText="1"/>
    </xf>
    <xf numFmtId="0" fontId="12" fillId="0" borderId="17" xfId="0" applyFont="1" applyBorder="1" applyAlignment="1">
      <alignment vertical="top" wrapText="1"/>
    </xf>
    <xf numFmtId="0" fontId="14" fillId="0" borderId="12" xfId="0" applyFont="1" applyBorder="1"/>
    <xf numFmtId="0" fontId="7" fillId="0" borderId="16" xfId="0" applyFont="1" applyBorder="1" applyAlignment="1">
      <alignment horizontal="center" vertical="top" wrapText="1"/>
    </xf>
    <xf numFmtId="0" fontId="7" fillId="0" borderId="17" xfId="0" applyFont="1" applyBorder="1" applyAlignment="1">
      <alignment horizontal="center" vertical="top" wrapText="1"/>
    </xf>
    <xf numFmtId="4" fontId="7" fillId="0" borderId="16" xfId="0" applyNumberFormat="1" applyFont="1" applyBorder="1" applyAlignment="1">
      <alignment horizontal="right" vertical="top" wrapText="1"/>
    </xf>
    <xf numFmtId="0" fontId="14" fillId="0" borderId="12" xfId="0" applyFont="1" applyBorder="1"/>
    <xf numFmtId="22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12" xfId="0" applyFont="1" applyBorder="1"/>
    <xf numFmtId="3" fontId="7" fillId="10" borderId="2" xfId="0" applyNumberFormat="1" applyFont="1" applyFill="1" applyBorder="1"/>
    <xf numFmtId="4" fontId="7" fillId="10" borderId="6" xfId="0" applyNumberFormat="1" applyFont="1" applyFill="1" applyBorder="1"/>
    <xf numFmtId="4" fontId="7" fillId="10" borderId="1" xfId="0" applyNumberFormat="1" applyFont="1" applyFill="1" applyBorder="1"/>
    <xf numFmtId="0" fontId="14" fillId="0" borderId="0" xfId="0" applyFont="1" applyBorder="1"/>
    <xf numFmtId="0" fontId="7" fillId="0" borderId="0" xfId="0" applyFont="1" applyBorder="1" applyAlignment="1">
      <alignment vertical="top" wrapText="1"/>
    </xf>
    <xf numFmtId="0" fontId="7" fillId="0" borderId="0" xfId="0" applyFont="1" applyBorder="1" applyAlignment="1">
      <alignment horizontal="center" vertical="top" wrapText="1"/>
    </xf>
    <xf numFmtId="4" fontId="7" fillId="0" borderId="0" xfId="0" applyNumberFormat="1" applyFont="1" applyBorder="1" applyAlignment="1">
      <alignment horizontal="right" vertical="top" wrapText="1"/>
    </xf>
    <xf numFmtId="0" fontId="12" fillId="0" borderId="0" xfId="0" applyFont="1" applyBorder="1" applyAlignment="1">
      <alignment vertical="top" wrapText="1"/>
    </xf>
    <xf numFmtId="0" fontId="0" fillId="0" borderId="0" xfId="0"/>
    <xf numFmtId="4" fontId="38" fillId="0" borderId="0" xfId="0" applyNumberFormat="1" applyFont="1"/>
    <xf numFmtId="49" fontId="13" fillId="0" borderId="0" xfId="0" applyNumberFormat="1" applyFont="1" applyAlignment="1">
      <alignment horizontal="right"/>
    </xf>
    <xf numFmtId="2" fontId="5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vertical="center" wrapText="1"/>
    </xf>
    <xf numFmtId="1" fontId="9" fillId="0" borderId="0" xfId="0" applyNumberFormat="1" applyFont="1" applyFill="1" applyBorder="1"/>
    <xf numFmtId="1" fontId="13" fillId="0" borderId="0" xfId="0" applyNumberFormat="1" applyFont="1" applyAlignment="1">
      <alignment horizontal="left"/>
    </xf>
    <xf numFmtId="49" fontId="9" fillId="0" borderId="0" xfId="0" applyNumberFormat="1" applyFont="1"/>
    <xf numFmtId="0" fontId="14" fillId="0" borderId="12" xfId="0" applyFont="1" applyBorder="1"/>
    <xf numFmtId="0" fontId="14" fillId="0" borderId="12" xfId="0" applyFont="1" applyBorder="1"/>
    <xf numFmtId="0" fontId="14" fillId="0" borderId="12" xfId="0" applyFont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0" xfId="0" applyBorder="1" applyAlignment="1"/>
    <xf numFmtId="0" fontId="0" fillId="0" borderId="24" xfId="0" applyBorder="1" applyAlignment="1"/>
    <xf numFmtId="0" fontId="11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1" fillId="0" borderId="8" xfId="0" applyFont="1" applyBorder="1" applyAlignment="1" applyProtection="1">
      <alignment horizontal="center" vertical="center" textRotation="90" wrapText="1"/>
      <protection locked="0"/>
    </xf>
    <xf numFmtId="0" fontId="11" fillId="0" borderId="9" xfId="0" applyFont="1" applyBorder="1" applyAlignment="1" applyProtection="1">
      <alignment horizontal="center" vertical="center" textRotation="90"/>
      <protection locked="0"/>
    </xf>
    <xf numFmtId="0" fontId="11" fillId="0" borderId="2" xfId="0" applyFont="1" applyBorder="1" applyAlignment="1" applyProtection="1">
      <alignment horizontal="center" vertical="center" textRotation="90"/>
      <protection locked="0"/>
    </xf>
    <xf numFmtId="22" fontId="1" fillId="0" borderId="1" xfId="0" applyNumberFormat="1" applyFont="1" applyBorder="1" applyAlignment="1" applyProtection="1">
      <alignment horizontal="center" vertical="center" textRotation="90" wrapText="1"/>
      <protection locked="0"/>
    </xf>
    <xf numFmtId="0" fontId="1" fillId="0" borderId="1" xfId="0" applyFont="1" applyBorder="1" applyAlignment="1" applyProtection="1">
      <alignment horizontal="center" vertical="center" textRotation="90"/>
      <protection locked="0"/>
    </xf>
    <xf numFmtId="165" fontId="4" fillId="4" borderId="0" xfId="0" applyNumberFormat="1" applyFont="1" applyFill="1" applyAlignment="1">
      <alignment horizontal="center"/>
    </xf>
    <xf numFmtId="0" fontId="7" fillId="0" borderId="16" xfId="0" applyFont="1" applyBorder="1" applyAlignment="1">
      <alignment horizontal="center" vertical="top" wrapText="1"/>
    </xf>
    <xf numFmtId="0" fontId="7" fillId="0" borderId="17" xfId="0" applyFont="1" applyBorder="1" applyAlignment="1">
      <alignment horizontal="center" vertical="top" wrapText="1"/>
    </xf>
    <xf numFmtId="4" fontId="7" fillId="0" borderId="16" xfId="0" applyNumberFormat="1" applyFont="1" applyBorder="1" applyAlignment="1">
      <alignment vertical="top" wrapText="1"/>
    </xf>
    <xf numFmtId="4" fontId="7" fillId="0" borderId="17" xfId="0" applyNumberFormat="1" applyFont="1" applyBorder="1" applyAlignment="1">
      <alignment vertical="top" wrapText="1"/>
    </xf>
    <xf numFmtId="0" fontId="12" fillId="0" borderId="16" xfId="0" applyFont="1" applyBorder="1" applyAlignment="1">
      <alignment horizontal="justify" vertical="top" wrapText="1"/>
    </xf>
    <xf numFmtId="0" fontId="12" fillId="0" borderId="17" xfId="0" applyFont="1" applyBorder="1" applyAlignment="1">
      <alignment horizontal="justify" vertical="top" wrapText="1"/>
    </xf>
    <xf numFmtId="0" fontId="14" fillId="0" borderId="12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0" fillId="0" borderId="16" xfId="0" applyBorder="1" applyAlignment="1">
      <alignment horizontal="center" vertical="top" wrapText="1"/>
    </xf>
    <xf numFmtId="0" fontId="0" fillId="0" borderId="17" xfId="0" applyBorder="1" applyAlignment="1">
      <alignment horizontal="center" vertical="top" wrapText="1"/>
    </xf>
    <xf numFmtId="4" fontId="0" fillId="0" borderId="16" xfId="0" applyNumberFormat="1" applyBorder="1" applyAlignment="1">
      <alignment horizontal="center" vertical="top" wrapText="1"/>
    </xf>
    <xf numFmtId="0" fontId="19" fillId="0" borderId="12" xfId="0" applyFont="1" applyBorder="1" applyAlignment="1">
      <alignment horizontal="justify" wrapText="1"/>
    </xf>
    <xf numFmtId="0" fontId="0" fillId="0" borderId="13" xfId="0" applyBorder="1" applyAlignment="1">
      <alignment wrapText="1"/>
    </xf>
    <xf numFmtId="0" fontId="15" fillId="0" borderId="16" xfId="0" applyFont="1" applyBorder="1" applyAlignment="1">
      <alignment horizontal="justify" vertical="top" wrapText="1"/>
    </xf>
    <xf numFmtId="0" fontId="15" fillId="0" borderId="17" xfId="0" applyFont="1" applyBorder="1" applyAlignment="1">
      <alignment horizontal="justify" vertical="top" wrapText="1"/>
    </xf>
    <xf numFmtId="0" fontId="9" fillId="0" borderId="16" xfId="0" applyFont="1" applyBorder="1" applyAlignment="1">
      <alignment horizontal="justify" vertical="top" wrapText="1"/>
    </xf>
    <xf numFmtId="0" fontId="9" fillId="0" borderId="17" xfId="0" applyFont="1" applyBorder="1" applyAlignment="1">
      <alignment horizontal="justify" vertical="top" wrapText="1"/>
    </xf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4" fontId="0" fillId="0" borderId="16" xfId="0" applyNumberFormat="1" applyBorder="1" applyAlignment="1">
      <alignment vertical="top" wrapText="1"/>
    </xf>
    <xf numFmtId="4" fontId="0" fillId="0" borderId="17" xfId="0" applyNumberFormat="1" applyBorder="1" applyAlignment="1">
      <alignment vertical="top" wrapText="1"/>
    </xf>
    <xf numFmtId="0" fontId="1" fillId="0" borderId="0" xfId="0" applyFont="1" applyAlignment="1">
      <alignment horizontal="center"/>
    </xf>
    <xf numFmtId="0" fontId="1" fillId="0" borderId="0" xfId="0" applyFont="1"/>
    <xf numFmtId="22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4" fillId="0" borderId="12" xfId="0" applyFont="1" applyBorder="1" applyAlignment="1">
      <alignment horizontal="left" wrapText="1"/>
    </xf>
    <xf numFmtId="0" fontId="14" fillId="0" borderId="13" xfId="0" applyFont="1" applyBorder="1" applyAlignment="1">
      <alignment horizontal="left" wrapText="1"/>
    </xf>
    <xf numFmtId="0" fontId="14" fillId="0" borderId="12" xfId="0" applyFont="1" applyBorder="1"/>
    <xf numFmtId="0" fontId="14" fillId="0" borderId="13" xfId="0" applyFont="1" applyBorder="1"/>
    <xf numFmtId="4" fontId="7" fillId="0" borderId="16" xfId="0" applyNumberFormat="1" applyFont="1" applyBorder="1" applyAlignment="1">
      <alignment horizontal="right" vertical="top" wrapText="1"/>
    </xf>
    <xf numFmtId="4" fontId="7" fillId="0" borderId="17" xfId="0" applyNumberFormat="1" applyFont="1" applyBorder="1" applyAlignment="1">
      <alignment horizontal="right" vertical="top" wrapText="1"/>
    </xf>
    <xf numFmtId="0" fontId="27" fillId="0" borderId="19" xfId="0" applyFont="1" applyBorder="1" applyAlignment="1">
      <alignment vertical="top" wrapText="1"/>
    </xf>
    <xf numFmtId="0" fontId="27" fillId="0" borderId="20" xfId="0" applyFont="1" applyBorder="1" applyAlignment="1">
      <alignment vertical="top" wrapText="1"/>
    </xf>
    <xf numFmtId="0" fontId="27" fillId="0" borderId="21" xfId="0" applyFont="1" applyBorder="1" applyAlignment="1">
      <alignment vertical="top" wrapText="1"/>
    </xf>
    <xf numFmtId="0" fontId="27" fillId="0" borderId="22" xfId="0" applyFont="1" applyBorder="1" applyAlignment="1">
      <alignment vertical="top" wrapText="1"/>
    </xf>
    <xf numFmtId="0" fontId="27" fillId="0" borderId="0" xfId="0" applyFont="1" applyAlignment="1">
      <alignment vertical="top" wrapText="1"/>
    </xf>
    <xf numFmtId="0" fontId="27" fillId="0" borderId="23" xfId="0" applyFont="1" applyBorder="1" applyAlignment="1">
      <alignment vertical="top" wrapText="1"/>
    </xf>
    <xf numFmtId="0" fontId="27" fillId="0" borderId="6" xfId="0" applyFont="1" applyBorder="1" applyAlignment="1">
      <alignment vertical="top" wrapText="1"/>
    </xf>
    <xf numFmtId="0" fontId="27" fillId="0" borderId="10" xfId="0" applyFont="1" applyBorder="1" applyAlignment="1">
      <alignment vertical="top" wrapText="1"/>
    </xf>
    <xf numFmtId="0" fontId="27" fillId="0" borderId="24" xfId="0" applyFont="1" applyBorder="1" applyAlignment="1">
      <alignment vertical="top" wrapText="1"/>
    </xf>
    <xf numFmtId="0" fontId="14" fillId="0" borderId="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/>
    <xf numFmtId="0" fontId="7" fillId="0" borderId="7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28" fillId="0" borderId="20" xfId="0" applyFont="1" applyBorder="1" applyAlignment="1">
      <alignment vertical="top" wrapText="1"/>
    </xf>
    <xf numFmtId="0" fontId="28" fillId="0" borderId="21" xfId="0" applyFont="1" applyBorder="1" applyAlignment="1">
      <alignment vertical="top" wrapText="1"/>
    </xf>
    <xf numFmtId="0" fontId="28" fillId="0" borderId="22" xfId="0" applyFont="1" applyBorder="1" applyAlignment="1">
      <alignment vertical="top" wrapText="1"/>
    </xf>
    <xf numFmtId="0" fontId="28" fillId="0" borderId="0" xfId="0" applyFont="1" applyAlignment="1">
      <alignment vertical="top" wrapText="1"/>
    </xf>
    <xf numFmtId="0" fontId="28" fillId="0" borderId="23" xfId="0" applyFont="1" applyBorder="1" applyAlignment="1">
      <alignment vertical="top" wrapText="1"/>
    </xf>
    <xf numFmtId="0" fontId="28" fillId="0" borderId="22" xfId="0" applyFont="1" applyBorder="1" applyAlignment="1">
      <alignment vertical="top"/>
    </xf>
    <xf numFmtId="0" fontId="28" fillId="0" borderId="0" xfId="0" applyFont="1" applyAlignment="1">
      <alignment vertical="top"/>
    </xf>
    <xf numFmtId="0" fontId="28" fillId="0" borderId="23" xfId="0" applyFont="1" applyBorder="1" applyAlignment="1">
      <alignment vertical="top"/>
    </xf>
    <xf numFmtId="0" fontId="0" fillId="0" borderId="22" xfId="0" applyBorder="1" applyAlignment="1">
      <alignment vertical="top"/>
    </xf>
    <xf numFmtId="0" fontId="0" fillId="0" borderId="0" xfId="0" applyAlignment="1">
      <alignment vertical="top"/>
    </xf>
    <xf numFmtId="0" fontId="0" fillId="0" borderId="23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24" xfId="0" applyBorder="1" applyAlignment="1">
      <alignment vertical="top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</cellXfs>
  <cellStyles count="1">
    <cellStyle name="Normal" xfId="0" builtinId="0"/>
  </cellStyles>
  <dxfs count="2"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theme="0"/>
      </font>
      <fill>
        <patternFill patternType="solid">
          <fgColor auto="1"/>
          <bgColor rgb="FFFF0000"/>
        </patternFill>
      </fill>
    </dxf>
  </dxfs>
  <tableStyles count="0" defaultTableStyle="TableStyleMedium9" defaultPivotStyle="PivotStyleLight16"/>
  <colors>
    <mruColors>
      <color rgb="FFFF00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9.07.2018/09.07.2018VO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rminal%20Reconciliation/01.%20RECON-2019/09.SEPTEMBER-2019/26.09.2019/GL%20RECONSO%20-26-09-1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P SHEET"/>
      <sheetName val="Front Sheet"/>
      <sheetName val="1. IBT"/>
      <sheetName val="2. Qcash Shadow"/>
      <sheetName val="3. NPSB Shadow"/>
      <sheetName val="4. Income"/>
      <sheetName val="5. Expense"/>
      <sheetName val="6. Q-CASH Commission"/>
      <sheetName val="7. VAT"/>
      <sheetName val="8. TERMINAL SUMMERY"/>
      <sheetName val="9. TERMINAL DHK O1"/>
      <sheetName val="11. TERMINAL DHK O2"/>
      <sheetName val="11. TERMINAL DHK 03"/>
      <sheetName val="10. TERMINAL RAJ O1"/>
      <sheetName val="11. TERMINAL RAJ 02"/>
      <sheetName val="11. TERMINAL RAJ 03"/>
      <sheetName val="11. TERMINAL RAJ 04"/>
      <sheetName val="VOUCH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OP SHEET"/>
      <sheetName val="Front Sheet"/>
      <sheetName val="1. IBT"/>
      <sheetName val="2. Qcash Shadow"/>
      <sheetName val="3. NPSB Shadow"/>
      <sheetName val="4. Income"/>
      <sheetName val="5. Expense"/>
      <sheetName val="6. Q-CASH Commission"/>
      <sheetName val="7. VAT"/>
      <sheetName val="VOUCH ER"/>
      <sheetName val="SUMM REPORT"/>
    </sheetNames>
    <sheetDataSet>
      <sheetData sheetId="0">
        <row r="4">
          <cell r="E4" t="str">
            <v>26.09.2019</v>
          </cell>
        </row>
        <row r="6">
          <cell r="B6" t="str">
            <v xml:space="preserve">  25.09.2019</v>
          </cell>
          <cell r="C6" t="str">
            <v>TO</v>
          </cell>
          <cell r="D6" t="str">
            <v xml:space="preserve">  25.09.2019</v>
          </cell>
        </row>
      </sheetData>
      <sheetData sheetId="1"/>
      <sheetData sheetId="2"/>
      <sheetData sheetId="3">
        <row r="23">
          <cell r="A23" t="str">
            <v>REMOTE ON US QCASH TRNX.
MOBILE BILL PAY; NOT IN CBS BUT IN CMS
NO OF TRNX-8; TK.80/-</v>
          </cell>
          <cell r="C23">
            <v>80</v>
          </cell>
          <cell r="D23">
            <v>0</v>
          </cell>
        </row>
      </sheetData>
      <sheetData sheetId="4">
        <row r="22">
          <cell r="A22" t="str">
            <v>REMOTE ONUS  NPSB TRNX.
NOT IN CMS BUT IN CBS
1. A/C-2055010008029; TK.10020/-</v>
          </cell>
          <cell r="D22">
            <v>10020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32"/>
  <sheetViews>
    <sheetView topLeftCell="A10" workbookViewId="0">
      <selection activeCell="G18" sqref="G18"/>
    </sheetView>
  </sheetViews>
  <sheetFormatPr defaultRowHeight="15"/>
  <cols>
    <col min="1" max="1" width="6.28515625" customWidth="1"/>
    <col min="2" max="2" width="11" style="225" bestFit="1" customWidth="1"/>
    <col min="3" max="3" width="4.42578125" style="225" customWidth="1"/>
    <col min="4" max="4" width="17" customWidth="1"/>
    <col min="5" max="5" width="37.5703125" customWidth="1"/>
    <col min="6" max="6" width="16.85546875" customWidth="1"/>
    <col min="7" max="7" width="18.7109375" customWidth="1"/>
    <col min="8" max="8" width="18" customWidth="1"/>
    <col min="9" max="9" width="16.7109375" customWidth="1"/>
    <col min="10" max="10" width="19" customWidth="1"/>
  </cols>
  <sheetData>
    <row r="2" spans="1:10" ht="18.75">
      <c r="D2" s="302" t="s">
        <v>127</v>
      </c>
      <c r="E2" s="303"/>
      <c r="F2" s="303"/>
      <c r="G2" s="303"/>
      <c r="H2" s="303"/>
      <c r="I2" s="303"/>
      <c r="J2" s="303"/>
    </row>
    <row r="4" spans="1:10">
      <c r="A4" s="83"/>
      <c r="B4" s="304" t="s">
        <v>88</v>
      </c>
      <c r="C4" s="305"/>
      <c r="D4" s="306"/>
      <c r="E4" s="84" t="s">
        <v>306</v>
      </c>
      <c r="I4" s="85"/>
      <c r="J4" s="86"/>
    </row>
    <row r="5" spans="1:10" ht="31.5" customHeight="1">
      <c r="A5" s="87" t="s">
        <v>89</v>
      </c>
      <c r="B5" s="307" t="s">
        <v>90</v>
      </c>
      <c r="C5" s="308"/>
      <c r="D5" s="309"/>
      <c r="E5" s="88" t="s">
        <v>91</v>
      </c>
      <c r="F5" s="87" t="s">
        <v>92</v>
      </c>
      <c r="G5" s="89" t="s">
        <v>93</v>
      </c>
      <c r="H5" s="90" t="s">
        <v>94</v>
      </c>
      <c r="I5" s="88" t="s">
        <v>95</v>
      </c>
      <c r="J5" s="88" t="s">
        <v>96</v>
      </c>
    </row>
    <row r="6" spans="1:10">
      <c r="A6" s="226">
        <v>1</v>
      </c>
      <c r="B6" s="231" t="s">
        <v>307</v>
      </c>
      <c r="C6" s="229" t="s">
        <v>269</v>
      </c>
      <c r="D6" s="231" t="s">
        <v>308</v>
      </c>
      <c r="E6" s="227" t="s">
        <v>97</v>
      </c>
      <c r="F6" s="92">
        <v>908</v>
      </c>
      <c r="G6" s="93">
        <v>8988500</v>
      </c>
      <c r="H6" s="94">
        <f t="shared" ref="H6:H11" si="0">I6+J6</f>
        <v>0</v>
      </c>
      <c r="I6" s="95">
        <v>0</v>
      </c>
      <c r="J6" s="95">
        <v>0</v>
      </c>
    </row>
    <row r="7" spans="1:10">
      <c r="A7" s="96">
        <v>2</v>
      </c>
      <c r="B7" s="228" t="str">
        <f>B6</f>
        <v xml:space="preserve">  31.10.2019</v>
      </c>
      <c r="C7" s="229" t="s">
        <v>269</v>
      </c>
      <c r="D7" s="232" t="str">
        <f>D6</f>
        <v xml:space="preserve">  02.11.2019</v>
      </c>
      <c r="E7" s="5" t="s">
        <v>98</v>
      </c>
      <c r="F7" s="97">
        <v>0</v>
      </c>
      <c r="G7" s="98">
        <v>0</v>
      </c>
      <c r="H7" s="99">
        <f t="shared" si="0"/>
        <v>0</v>
      </c>
      <c r="I7" s="99">
        <v>0</v>
      </c>
      <c r="J7" s="99">
        <v>0</v>
      </c>
    </row>
    <row r="8" spans="1:10">
      <c r="A8" s="91">
        <v>3</v>
      </c>
      <c r="B8" s="228" t="str">
        <f t="shared" ref="B8:B27" si="1">B7</f>
        <v xml:space="preserve">  31.10.2019</v>
      </c>
      <c r="C8" s="230" t="s">
        <v>269</v>
      </c>
      <c r="D8" s="232" t="str">
        <f t="shared" ref="D8:D27" si="2">D7</f>
        <v xml:space="preserve">  02.11.2019</v>
      </c>
      <c r="E8" s="5" t="s">
        <v>99</v>
      </c>
      <c r="F8" s="97">
        <v>0</v>
      </c>
      <c r="G8" s="98">
        <v>0</v>
      </c>
      <c r="H8" s="99">
        <f t="shared" si="0"/>
        <v>0</v>
      </c>
      <c r="I8" s="99">
        <v>0</v>
      </c>
      <c r="J8" s="99">
        <v>0</v>
      </c>
    </row>
    <row r="9" spans="1:10">
      <c r="A9" s="96">
        <v>4</v>
      </c>
      <c r="B9" s="228" t="str">
        <f t="shared" si="1"/>
        <v xml:space="preserve">  31.10.2019</v>
      </c>
      <c r="C9" s="230" t="s">
        <v>269</v>
      </c>
      <c r="D9" s="232" t="str">
        <f t="shared" si="2"/>
        <v xml:space="preserve">  02.11.2019</v>
      </c>
      <c r="E9" s="166" t="s">
        <v>100</v>
      </c>
      <c r="F9" s="92">
        <v>780</v>
      </c>
      <c r="G9" s="93">
        <v>7697000</v>
      </c>
      <c r="H9" s="94">
        <f t="shared" si="0"/>
        <v>3900</v>
      </c>
      <c r="I9" s="94">
        <f>F9*2.5</f>
        <v>1950</v>
      </c>
      <c r="J9" s="94">
        <f>F9*2.5</f>
        <v>1950</v>
      </c>
    </row>
    <row r="10" spans="1:10">
      <c r="A10" s="91">
        <v>5</v>
      </c>
      <c r="B10" s="228" t="str">
        <f t="shared" si="1"/>
        <v xml:space="preserve">  31.10.2019</v>
      </c>
      <c r="C10" s="230" t="s">
        <v>269</v>
      </c>
      <c r="D10" s="232" t="str">
        <f t="shared" si="2"/>
        <v xml:space="preserve">  02.11.2019</v>
      </c>
      <c r="E10" s="234" t="s">
        <v>101</v>
      </c>
      <c r="F10" s="97">
        <v>0</v>
      </c>
      <c r="G10" s="98">
        <v>0</v>
      </c>
      <c r="H10" s="268">
        <f t="shared" si="0"/>
        <v>0</v>
      </c>
      <c r="I10" s="99">
        <v>0</v>
      </c>
      <c r="J10" s="99">
        <v>0</v>
      </c>
    </row>
    <row r="11" spans="1:10">
      <c r="A11" s="96">
        <v>6</v>
      </c>
      <c r="B11" s="228" t="str">
        <f t="shared" si="1"/>
        <v xml:space="preserve">  31.10.2019</v>
      </c>
      <c r="C11" s="230" t="s">
        <v>269</v>
      </c>
      <c r="D11" s="232" t="str">
        <f t="shared" si="2"/>
        <v xml:space="preserve">  02.11.2019</v>
      </c>
      <c r="E11" s="5" t="s">
        <v>102</v>
      </c>
      <c r="F11" s="100">
        <v>0</v>
      </c>
      <c r="G11" s="101">
        <v>0</v>
      </c>
      <c r="H11" s="80">
        <f t="shared" si="0"/>
        <v>0</v>
      </c>
      <c r="I11" s="80">
        <v>0</v>
      </c>
      <c r="J11" s="80">
        <v>0</v>
      </c>
    </row>
    <row r="12" spans="1:10">
      <c r="A12" s="91">
        <v>7</v>
      </c>
      <c r="B12" s="228" t="str">
        <f t="shared" si="1"/>
        <v xml:space="preserve">  31.10.2019</v>
      </c>
      <c r="C12" s="230" t="s">
        <v>269</v>
      </c>
      <c r="D12" s="232" t="str">
        <f t="shared" si="2"/>
        <v xml:space="preserve">  02.11.2019</v>
      </c>
      <c r="E12" s="166" t="s">
        <v>272</v>
      </c>
      <c r="F12" s="92">
        <v>165</v>
      </c>
      <c r="G12" s="93">
        <v>1486500</v>
      </c>
      <c r="H12" s="94">
        <f>F12*5</f>
        <v>825</v>
      </c>
      <c r="I12" s="94">
        <f>F12*2.5</f>
        <v>412.5</v>
      </c>
      <c r="J12" s="94">
        <f>F12*2.5</f>
        <v>412.5</v>
      </c>
    </row>
    <row r="13" spans="1:10">
      <c r="A13" s="96">
        <v>8</v>
      </c>
      <c r="B13" s="228" t="str">
        <f t="shared" si="1"/>
        <v xml:space="preserve">  31.10.2019</v>
      </c>
      <c r="C13" s="230" t="s">
        <v>269</v>
      </c>
      <c r="D13" s="232" t="str">
        <f t="shared" si="2"/>
        <v xml:space="preserve">  02.11.2019</v>
      </c>
      <c r="E13" s="234" t="s">
        <v>266</v>
      </c>
      <c r="F13" s="97">
        <v>4</v>
      </c>
      <c r="G13" s="98">
        <v>37000</v>
      </c>
      <c r="H13" s="99">
        <f>F13*2.5</f>
        <v>10</v>
      </c>
      <c r="I13" s="99">
        <f>F13*2.5</f>
        <v>10</v>
      </c>
      <c r="J13" s="99">
        <v>0</v>
      </c>
    </row>
    <row r="14" spans="1:10">
      <c r="A14" s="91">
        <v>9</v>
      </c>
      <c r="B14" s="228" t="str">
        <f t="shared" si="1"/>
        <v xml:space="preserve">  31.10.2019</v>
      </c>
      <c r="C14" s="230" t="s">
        <v>269</v>
      </c>
      <c r="D14" s="232" t="str">
        <f t="shared" si="2"/>
        <v xml:space="preserve">  02.11.2019</v>
      </c>
      <c r="E14" s="202" t="s">
        <v>103</v>
      </c>
      <c r="F14" s="206">
        <v>0</v>
      </c>
      <c r="G14" s="207">
        <v>0</v>
      </c>
      <c r="H14" s="208">
        <v>0</v>
      </c>
      <c r="I14" s="208">
        <v>0</v>
      </c>
      <c r="J14" s="208">
        <v>0</v>
      </c>
    </row>
    <row r="15" spans="1:10">
      <c r="A15" s="96">
        <v>10</v>
      </c>
      <c r="B15" s="228" t="str">
        <f t="shared" si="1"/>
        <v xml:space="preserve">  31.10.2019</v>
      </c>
      <c r="C15" s="230" t="s">
        <v>269</v>
      </c>
      <c r="D15" s="232" t="str">
        <f t="shared" si="2"/>
        <v xml:space="preserve">  02.11.2019</v>
      </c>
      <c r="E15" s="5" t="s">
        <v>104</v>
      </c>
      <c r="F15" s="100">
        <v>0</v>
      </c>
      <c r="G15" s="101">
        <v>0</v>
      </c>
      <c r="H15" s="80">
        <f>I15+J15</f>
        <v>0</v>
      </c>
      <c r="I15" s="80">
        <v>0</v>
      </c>
      <c r="J15" s="80">
        <v>0</v>
      </c>
    </row>
    <row r="16" spans="1:10">
      <c r="A16" s="91">
        <v>11</v>
      </c>
      <c r="B16" s="228" t="str">
        <f t="shared" si="1"/>
        <v xml:space="preserve">  31.10.2019</v>
      </c>
      <c r="C16" s="230" t="s">
        <v>269</v>
      </c>
      <c r="D16" s="232" t="str">
        <f t="shared" si="2"/>
        <v xml:space="preserve">  02.11.2019</v>
      </c>
      <c r="E16" s="166" t="s">
        <v>105</v>
      </c>
      <c r="F16" s="92">
        <v>1074</v>
      </c>
      <c r="G16" s="93">
        <v>8973500</v>
      </c>
      <c r="H16" s="94">
        <v>0</v>
      </c>
      <c r="I16" s="94">
        <f>F16*-7.5</f>
        <v>-8055</v>
      </c>
      <c r="J16" s="94">
        <f>F16*2.5</f>
        <v>2685</v>
      </c>
    </row>
    <row r="17" spans="1:12">
      <c r="A17" s="96">
        <v>12</v>
      </c>
      <c r="B17" s="228" t="str">
        <f t="shared" si="1"/>
        <v xml:space="preserve">  31.10.2019</v>
      </c>
      <c r="C17" s="230" t="s">
        <v>269</v>
      </c>
      <c r="D17" s="232" t="str">
        <f t="shared" si="2"/>
        <v xml:space="preserve">  02.11.2019</v>
      </c>
      <c r="E17" s="166" t="s">
        <v>106</v>
      </c>
      <c r="F17" s="102">
        <v>137</v>
      </c>
      <c r="G17" s="103">
        <v>401021.79</v>
      </c>
      <c r="H17" s="268">
        <f t="shared" ref="H17" si="3">I17+J17</f>
        <v>3609.2799999999997</v>
      </c>
      <c r="I17" s="104">
        <v>1804.57</v>
      </c>
      <c r="J17" s="104">
        <v>1804.71</v>
      </c>
      <c r="L17" s="108"/>
    </row>
    <row r="18" spans="1:12">
      <c r="A18" s="91">
        <v>13</v>
      </c>
      <c r="B18" s="228" t="str">
        <f t="shared" si="1"/>
        <v xml:space="preserve">  31.10.2019</v>
      </c>
      <c r="C18" s="230" t="s">
        <v>269</v>
      </c>
      <c r="D18" s="232" t="str">
        <f t="shared" si="2"/>
        <v xml:space="preserve">  02.11.2019</v>
      </c>
      <c r="E18" s="234" t="s">
        <v>107</v>
      </c>
      <c r="F18" s="283">
        <v>2</v>
      </c>
      <c r="G18" s="284">
        <v>5000</v>
      </c>
      <c r="H18" s="268">
        <f>I18+J18</f>
        <v>45</v>
      </c>
      <c r="I18" s="285">
        <v>22.5</v>
      </c>
      <c r="J18" s="285">
        <v>22.5</v>
      </c>
      <c r="K18" s="217">
        <f>H17+H18</f>
        <v>3654.2799999999997</v>
      </c>
    </row>
    <row r="19" spans="1:12">
      <c r="A19" s="96">
        <v>14</v>
      </c>
      <c r="B19" s="228" t="str">
        <f t="shared" si="1"/>
        <v xml:space="preserve">  31.10.2019</v>
      </c>
      <c r="C19" s="230" t="s">
        <v>269</v>
      </c>
      <c r="D19" s="232" t="str">
        <f t="shared" si="2"/>
        <v xml:space="preserve">  02.11.2019</v>
      </c>
      <c r="E19" s="166" t="s">
        <v>108</v>
      </c>
      <c r="F19" s="102">
        <v>42</v>
      </c>
      <c r="G19" s="103">
        <v>372000</v>
      </c>
      <c r="H19" s="94">
        <f>F19*20</f>
        <v>840</v>
      </c>
      <c r="I19" s="94">
        <f>F19*15</f>
        <v>630</v>
      </c>
      <c r="J19" s="94">
        <f>F19*5</f>
        <v>210</v>
      </c>
    </row>
    <row r="20" spans="1:12">
      <c r="A20" s="91">
        <v>15</v>
      </c>
      <c r="B20" s="228" t="str">
        <f t="shared" si="1"/>
        <v xml:space="preserve">  31.10.2019</v>
      </c>
      <c r="C20" s="230" t="s">
        <v>269</v>
      </c>
      <c r="D20" s="232" t="str">
        <f t="shared" si="2"/>
        <v xml:space="preserve">  02.11.2019</v>
      </c>
      <c r="E20" s="5" t="s">
        <v>109</v>
      </c>
      <c r="F20" s="100">
        <v>0</v>
      </c>
      <c r="G20" s="101">
        <v>0</v>
      </c>
      <c r="H20" s="80">
        <f>I20+J20</f>
        <v>0</v>
      </c>
      <c r="I20" s="80">
        <v>0</v>
      </c>
      <c r="J20" s="80">
        <v>0</v>
      </c>
    </row>
    <row r="21" spans="1:12">
      <c r="A21" s="96">
        <v>16</v>
      </c>
      <c r="B21" s="228" t="str">
        <f t="shared" si="1"/>
        <v xml:space="preserve">  31.10.2019</v>
      </c>
      <c r="C21" s="230" t="s">
        <v>269</v>
      </c>
      <c r="D21" s="232" t="str">
        <f t="shared" si="2"/>
        <v xml:space="preserve">  02.11.2019</v>
      </c>
      <c r="E21" s="5" t="s">
        <v>110</v>
      </c>
      <c r="F21" s="100">
        <v>0</v>
      </c>
      <c r="G21" s="101">
        <v>0</v>
      </c>
      <c r="H21" s="80">
        <f>I21+J21</f>
        <v>0</v>
      </c>
      <c r="I21" s="80">
        <v>0</v>
      </c>
      <c r="J21" s="80">
        <v>0</v>
      </c>
    </row>
    <row r="22" spans="1:12">
      <c r="A22" s="91">
        <v>17</v>
      </c>
      <c r="B22" s="228" t="str">
        <f t="shared" si="1"/>
        <v xml:space="preserve">  31.10.2019</v>
      </c>
      <c r="C22" s="230" t="s">
        <v>269</v>
      </c>
      <c r="D22" s="232" t="str">
        <f t="shared" si="2"/>
        <v xml:space="preserve">  02.11.2019</v>
      </c>
      <c r="E22" s="166" t="s">
        <v>111</v>
      </c>
      <c r="F22" s="92">
        <v>109</v>
      </c>
      <c r="G22" s="93">
        <f>F22*5</f>
        <v>545</v>
      </c>
      <c r="H22" s="94">
        <f>I22+J22</f>
        <v>0</v>
      </c>
      <c r="I22" s="94">
        <v>0</v>
      </c>
      <c r="J22" s="94">
        <v>0</v>
      </c>
    </row>
    <row r="23" spans="1:12">
      <c r="A23" s="96">
        <v>18</v>
      </c>
      <c r="B23" s="228" t="str">
        <f t="shared" si="1"/>
        <v xml:space="preserve">  31.10.2019</v>
      </c>
      <c r="C23" s="230" t="s">
        <v>269</v>
      </c>
      <c r="D23" s="232" t="str">
        <f t="shared" si="2"/>
        <v xml:space="preserve">  02.11.2019</v>
      </c>
      <c r="E23" s="166" t="s">
        <v>112</v>
      </c>
      <c r="F23" s="92">
        <v>9</v>
      </c>
      <c r="G23" s="93">
        <f>F23*5</f>
        <v>45</v>
      </c>
      <c r="H23" s="94">
        <f>I23+J23</f>
        <v>0</v>
      </c>
      <c r="I23" s="94">
        <v>0</v>
      </c>
      <c r="J23" s="94">
        <v>0</v>
      </c>
    </row>
    <row r="24" spans="1:12">
      <c r="A24" s="91">
        <v>19</v>
      </c>
      <c r="B24" s="228" t="str">
        <f t="shared" si="1"/>
        <v xml:space="preserve">  31.10.2019</v>
      </c>
      <c r="C24" s="230" t="s">
        <v>269</v>
      </c>
      <c r="D24" s="232" t="str">
        <f t="shared" si="2"/>
        <v xml:space="preserve">  02.11.2019</v>
      </c>
      <c r="E24" s="166" t="s">
        <v>113</v>
      </c>
      <c r="F24" s="102">
        <v>7</v>
      </c>
      <c r="G24" s="93">
        <f>F24*5</f>
        <v>35</v>
      </c>
      <c r="H24" s="104">
        <f>F24*5</f>
        <v>35</v>
      </c>
      <c r="I24" s="104">
        <f>F24*3</f>
        <v>21</v>
      </c>
      <c r="J24" s="104">
        <f>F24*2</f>
        <v>14</v>
      </c>
    </row>
    <row r="25" spans="1:12">
      <c r="A25" s="96">
        <v>20</v>
      </c>
      <c r="B25" s="228" t="str">
        <f t="shared" si="1"/>
        <v xml:space="preserve">  31.10.2019</v>
      </c>
      <c r="C25" s="230" t="s">
        <v>269</v>
      </c>
      <c r="D25" s="232" t="str">
        <f t="shared" si="2"/>
        <v xml:space="preserve">  02.11.2019</v>
      </c>
      <c r="E25" s="202" t="s">
        <v>114</v>
      </c>
      <c r="F25" s="203">
        <v>0</v>
      </c>
      <c r="G25" s="204">
        <f>F25*5</f>
        <v>0</v>
      </c>
      <c r="H25" s="205">
        <f>F25*5</f>
        <v>0</v>
      </c>
      <c r="I25" s="205">
        <f>F25*3</f>
        <v>0</v>
      </c>
      <c r="J25" s="205">
        <f>F25*2</f>
        <v>0</v>
      </c>
    </row>
    <row r="26" spans="1:12">
      <c r="A26" s="91">
        <v>21</v>
      </c>
      <c r="B26" s="228" t="str">
        <f t="shared" si="1"/>
        <v xml:space="preserve">  31.10.2019</v>
      </c>
      <c r="C26" s="230" t="s">
        <v>269</v>
      </c>
      <c r="D26" s="232" t="str">
        <f t="shared" si="2"/>
        <v xml:space="preserve">  02.11.2019</v>
      </c>
      <c r="E26" s="166" t="s">
        <v>115</v>
      </c>
      <c r="F26" s="92">
        <v>6</v>
      </c>
      <c r="G26" s="93">
        <v>201</v>
      </c>
      <c r="H26" s="94">
        <f>I26+J26</f>
        <v>0</v>
      </c>
      <c r="I26" s="94">
        <v>0</v>
      </c>
      <c r="J26" s="94">
        <v>0</v>
      </c>
    </row>
    <row r="27" spans="1:12">
      <c r="A27" s="96">
        <v>22</v>
      </c>
      <c r="B27" s="228" t="str">
        <f t="shared" si="1"/>
        <v xml:space="preserve">  31.10.2019</v>
      </c>
      <c r="C27" s="229" t="s">
        <v>269</v>
      </c>
      <c r="D27" s="232" t="str">
        <f t="shared" si="2"/>
        <v xml:space="preserve">  02.11.2019</v>
      </c>
      <c r="E27" s="5" t="s">
        <v>116</v>
      </c>
      <c r="F27" s="97">
        <v>0</v>
      </c>
      <c r="G27" s="98">
        <v>0</v>
      </c>
      <c r="H27" s="99">
        <f>I27+J27</f>
        <v>0</v>
      </c>
      <c r="I27" s="99">
        <v>0</v>
      </c>
      <c r="J27" s="99">
        <v>0</v>
      </c>
    </row>
    <row r="28" spans="1:12">
      <c r="E28" s="40" t="s">
        <v>85</v>
      </c>
      <c r="F28" s="105">
        <f>SUM(F6:F27)</f>
        <v>3243</v>
      </c>
      <c r="G28" s="106">
        <f>SUM(G6:G27)</f>
        <v>27961347.789999999</v>
      </c>
      <c r="H28" s="106">
        <f>SUM(H6:H27)</f>
        <v>9264.2799999999988</v>
      </c>
      <c r="I28" s="106">
        <f>SUM(I6:I27)</f>
        <v>-3204.4300000000003</v>
      </c>
      <c r="J28" s="106">
        <f>SUM(J6:J27)</f>
        <v>7098.71</v>
      </c>
    </row>
    <row r="29" spans="1:12">
      <c r="F29" s="107"/>
      <c r="G29" s="108"/>
      <c r="I29" s="108"/>
      <c r="J29" s="108"/>
    </row>
    <row r="31" spans="1:12">
      <c r="D31" t="s">
        <v>117</v>
      </c>
      <c r="E31" t="s">
        <v>118</v>
      </c>
      <c r="F31" s="190" t="s">
        <v>265</v>
      </c>
      <c r="G31" s="190" t="s">
        <v>265</v>
      </c>
      <c r="H31" s="303" t="s">
        <v>120</v>
      </c>
      <c r="I31" s="303"/>
      <c r="J31" s="109" t="s">
        <v>121</v>
      </c>
    </row>
    <row r="32" spans="1:12">
      <c r="D32" t="s">
        <v>122</v>
      </c>
      <c r="E32" t="s">
        <v>123</v>
      </c>
      <c r="F32" s="190" t="s">
        <v>124</v>
      </c>
      <c r="G32" s="190" t="s">
        <v>124</v>
      </c>
      <c r="H32" s="303" t="s">
        <v>125</v>
      </c>
      <c r="I32" s="303"/>
      <c r="J32" s="109" t="s">
        <v>125</v>
      </c>
    </row>
  </sheetData>
  <mergeCells count="5">
    <mergeCell ref="D2:J2"/>
    <mergeCell ref="H31:I31"/>
    <mergeCell ref="H32:I32"/>
    <mergeCell ref="B4:D4"/>
    <mergeCell ref="B5:D5"/>
  </mergeCells>
  <pageMargins left="0.5" right="0.5" top="0.75" bottom="0.75" header="0.3" footer="0.3"/>
  <pageSetup paperSize="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64"/>
  <sheetViews>
    <sheetView topLeftCell="A37" workbookViewId="0">
      <selection activeCell="D40" sqref="D40:D41"/>
    </sheetView>
  </sheetViews>
  <sheetFormatPr defaultRowHeight="15"/>
  <cols>
    <col min="1" max="1" width="33.42578125" style="127" customWidth="1"/>
    <col min="2" max="2" width="10.5703125" style="127" customWidth="1"/>
    <col min="3" max="3" width="13.42578125" style="127" customWidth="1"/>
    <col min="4" max="4" width="38.42578125" style="127" customWidth="1"/>
    <col min="5" max="5" width="9.140625" style="127" hidden="1" customWidth="1"/>
    <col min="6" max="16384" width="9.140625" style="127"/>
  </cols>
  <sheetData>
    <row r="1" spans="1:12">
      <c r="A1" s="338" t="s">
        <v>163</v>
      </c>
      <c r="B1" s="339"/>
      <c r="C1" s="339"/>
      <c r="D1" s="339"/>
    </row>
    <row r="2" spans="1:12">
      <c r="A2" s="338" t="s">
        <v>164</v>
      </c>
      <c r="B2" s="339"/>
      <c r="C2" s="339"/>
      <c r="D2" s="339"/>
    </row>
    <row r="3" spans="1:12">
      <c r="A3" s="342" t="s">
        <v>165</v>
      </c>
      <c r="B3" s="339"/>
      <c r="C3" s="339"/>
      <c r="D3" s="339"/>
    </row>
    <row r="4" spans="1:12">
      <c r="A4" s="146"/>
      <c r="B4" s="340" t="str">
        <f>'TOP SHEET'!E4</f>
        <v>03.11.2019</v>
      </c>
      <c r="C4" s="341"/>
      <c r="D4" s="146"/>
    </row>
    <row r="5" spans="1:12" ht="15.75" thickBot="1">
      <c r="A5" s="169"/>
      <c r="B5" s="170"/>
      <c r="C5" s="170"/>
      <c r="D5" s="155"/>
      <c r="J5" s="180"/>
    </row>
    <row r="6" spans="1:12" ht="15.75" thickBot="1">
      <c r="A6" s="275" t="s">
        <v>279</v>
      </c>
      <c r="B6" s="129"/>
      <c r="C6" s="129"/>
      <c r="D6" s="130"/>
      <c r="I6" s="358" t="s">
        <v>207</v>
      </c>
      <c r="J6" s="359"/>
      <c r="K6" s="360"/>
    </row>
    <row r="7" spans="1:12" ht="31.5" customHeight="1" thickBot="1">
      <c r="A7" s="343" t="s">
        <v>157</v>
      </c>
      <c r="B7" s="344"/>
      <c r="C7" s="344"/>
      <c r="D7" s="164" t="str">
        <f>'TOP SHEET'!D6</f>
        <v xml:space="preserve">  02.11.2019</v>
      </c>
      <c r="G7" s="361" t="s">
        <v>208</v>
      </c>
      <c r="H7" s="362"/>
      <c r="I7" s="362"/>
      <c r="J7" s="362"/>
      <c r="K7" s="362"/>
      <c r="L7" s="363"/>
    </row>
    <row r="8" spans="1:12" ht="21" customHeight="1" thickBot="1">
      <c r="A8" s="131" t="s">
        <v>129</v>
      </c>
      <c r="B8" s="132" t="s">
        <v>130</v>
      </c>
      <c r="C8" s="132" t="s">
        <v>4</v>
      </c>
      <c r="D8" s="132" t="s">
        <v>131</v>
      </c>
      <c r="G8" s="349" t="str">
        <f>'2. Qcash Shadow'!A23</f>
        <v>REMOTE ON US QCASH TRNX.
MOBILE BILL PAY; NOT IN CBS BUT IN CMS
TRNX-6; TK.201/-</v>
      </c>
      <c r="H8" s="366"/>
      <c r="I8" s="366"/>
      <c r="J8" s="367"/>
      <c r="K8" s="184">
        <f>'2. Qcash Shadow'!C23</f>
        <v>201</v>
      </c>
      <c r="L8" s="183">
        <f>'2. Qcash Shadow'!D23</f>
        <v>0</v>
      </c>
    </row>
    <row r="9" spans="1:12" ht="15" customHeight="1">
      <c r="A9" s="133" t="s">
        <v>132</v>
      </c>
      <c r="B9" s="134" t="s">
        <v>28</v>
      </c>
      <c r="C9" s="179">
        <f>'TOP SHEET'!H17+'TOP SHEET'!H18</f>
        <v>3654.2799999999997</v>
      </c>
      <c r="D9" s="320" t="str">
        <f>E10&amp;'TOP SHEET'!B6 &amp; 'TOP SHEET'!C6 &amp;'TOP SHEET'!D6</f>
        <v>Manual Adjustment of ISSUER Commission for NPSB POS transactions on date-  31.10.2019TO  02.11.2019</v>
      </c>
      <c r="G9" s="368"/>
      <c r="H9" s="369"/>
      <c r="I9" s="369"/>
      <c r="J9" s="370"/>
    </row>
    <row r="10" spans="1:12" ht="21" customHeight="1" thickBot="1">
      <c r="A10" s="135" t="s">
        <v>133</v>
      </c>
      <c r="B10" s="178"/>
      <c r="C10" s="165"/>
      <c r="D10" s="321"/>
      <c r="E10" s="127" t="s">
        <v>167</v>
      </c>
      <c r="G10" s="368"/>
      <c r="H10" s="369"/>
      <c r="I10" s="369"/>
      <c r="J10" s="370"/>
    </row>
    <row r="11" spans="1:12" ht="15" customHeight="1">
      <c r="A11" s="133" t="s">
        <v>134</v>
      </c>
      <c r="B11" s="134" t="s">
        <v>21</v>
      </c>
      <c r="C11" s="179">
        <f>'TOP SHEET'!H17+'TOP SHEET'!H18</f>
        <v>3654.2799999999997</v>
      </c>
      <c r="D11" s="320" t="str">
        <f>D9</f>
        <v>Manual Adjustment of ISSUER Commission for NPSB POS transactions on date-  31.10.2019TO  02.11.2019</v>
      </c>
      <c r="G11" s="371"/>
      <c r="H11" s="372"/>
      <c r="I11" s="372"/>
      <c r="J11" s="373"/>
    </row>
    <row r="12" spans="1:12" ht="22.5" customHeight="1" thickBot="1">
      <c r="A12" s="135" t="s">
        <v>135</v>
      </c>
      <c r="B12" s="178"/>
      <c r="C12" s="165"/>
      <c r="D12" s="321"/>
      <c r="G12" s="374"/>
      <c r="H12" s="375"/>
      <c r="I12" s="375"/>
      <c r="J12" s="376"/>
    </row>
    <row r="13" spans="1:12" ht="17.25" customHeight="1">
      <c r="A13" s="136" t="s">
        <v>139</v>
      </c>
      <c r="B13" s="316" t="s">
        <v>28</v>
      </c>
      <c r="C13" s="347">
        <f>'TOP SHEET'!J17+'TOP SHEET'!J18</f>
        <v>1827.21</v>
      </c>
      <c r="D13" s="320" t="str">
        <f>E14&amp;'TOP SHEET'!B6 &amp; 'TOP SHEET'!C6 &amp; 'TOP SHEET'!D6</f>
        <v>Manual Adjustment of ITCL Commission for NPSB POS transactions on date-  31.10.2019TO  02.11.2019</v>
      </c>
      <c r="G13" s="377"/>
      <c r="H13" s="378"/>
      <c r="I13" s="378"/>
      <c r="J13" s="379"/>
    </row>
    <row r="14" spans="1:12" ht="18.75" customHeight="1" thickBot="1">
      <c r="A14" s="143" t="s">
        <v>140</v>
      </c>
      <c r="B14" s="317"/>
      <c r="C14" s="348"/>
      <c r="D14" s="321"/>
      <c r="E14" s="127" t="s">
        <v>154</v>
      </c>
    </row>
    <row r="15" spans="1:12" ht="17.25" customHeight="1">
      <c r="A15" s="133" t="s">
        <v>141</v>
      </c>
      <c r="B15" s="316" t="s">
        <v>21</v>
      </c>
      <c r="C15" s="347">
        <f>'TOP SHEET'!J17+'TOP SHEET'!J18</f>
        <v>1827.21</v>
      </c>
      <c r="D15" s="320" t="str">
        <f>D13</f>
        <v>Manual Adjustment of ITCL Commission for NPSB POS transactions on date-  31.10.2019TO  02.11.2019</v>
      </c>
    </row>
    <row r="16" spans="1:12" ht="19.5" customHeight="1" thickBot="1">
      <c r="A16" s="135" t="s">
        <v>137</v>
      </c>
      <c r="B16" s="317"/>
      <c r="C16" s="348"/>
      <c r="D16" s="321"/>
      <c r="G16" s="361" t="s">
        <v>204</v>
      </c>
      <c r="H16" s="364"/>
      <c r="I16" s="364"/>
      <c r="J16" s="364"/>
      <c r="K16" s="364"/>
      <c r="L16" s="365"/>
    </row>
    <row r="17" spans="1:11" ht="17.25" customHeight="1" thickBot="1">
      <c r="A17" s="146"/>
      <c r="B17" s="161"/>
      <c r="C17" s="162"/>
      <c r="D17" s="146"/>
      <c r="G17" s="349" t="str">
        <f>'3. NPSB Shadow'!A22</f>
        <v xml:space="preserve">REMOTE ONUS  NPSB TRNX.   </v>
      </c>
      <c r="H17" s="350"/>
      <c r="I17" s="350"/>
      <c r="J17" s="351"/>
      <c r="K17" s="176">
        <f>'3. NPSB Shadow'!D22</f>
        <v>0</v>
      </c>
    </row>
    <row r="18" spans="1:11" ht="15.75" thickBot="1">
      <c r="A18" s="275" t="s">
        <v>177</v>
      </c>
      <c r="B18" s="129"/>
      <c r="C18" s="129"/>
      <c r="D18" s="130"/>
      <c r="G18" s="352"/>
      <c r="H18" s="353"/>
      <c r="I18" s="353"/>
      <c r="J18" s="354"/>
    </row>
    <row r="19" spans="1:11" ht="15.75" thickBot="1">
      <c r="A19" s="345" t="s">
        <v>155</v>
      </c>
      <c r="B19" s="346"/>
      <c r="C19" s="346"/>
      <c r="D19" s="140" t="str">
        <f>'TOP SHEET'!B6 &amp; 'TOP SHEET'!C6 &amp;'TOP SHEET'!D6</f>
        <v xml:space="preserve">  31.10.2019TO  02.11.2019</v>
      </c>
      <c r="G19" s="352"/>
      <c r="H19" s="353"/>
      <c r="I19" s="353"/>
      <c r="J19" s="354"/>
    </row>
    <row r="20" spans="1:11" ht="15.75" thickBot="1">
      <c r="A20" s="134" t="s">
        <v>129</v>
      </c>
      <c r="B20" s="141" t="s">
        <v>130</v>
      </c>
      <c r="C20" s="141" t="s">
        <v>4</v>
      </c>
      <c r="D20" s="141" t="s">
        <v>131</v>
      </c>
      <c r="G20" s="352"/>
      <c r="H20" s="353"/>
      <c r="I20" s="353"/>
      <c r="J20" s="354"/>
    </row>
    <row r="21" spans="1:11" ht="20.25" customHeight="1">
      <c r="A21" s="136" t="s">
        <v>136</v>
      </c>
      <c r="B21" s="316" t="s">
        <v>28</v>
      </c>
      <c r="C21" s="151">
        <f>'TOP SHEET'!J28</f>
        <v>7098.71</v>
      </c>
      <c r="D21" s="329" t="str">
        <f>A19 &amp; D19</f>
        <v>Manual adjustment of ITCL commission on Date-  31.10.2019TO  02.11.2019</v>
      </c>
      <c r="G21" s="352"/>
      <c r="H21" s="353"/>
      <c r="I21" s="353"/>
      <c r="J21" s="354"/>
    </row>
    <row r="22" spans="1:11" ht="15.75" thickBot="1">
      <c r="A22" s="150" t="s">
        <v>137</v>
      </c>
      <c r="B22" s="317"/>
      <c r="C22" s="150"/>
      <c r="D22" s="330"/>
      <c r="G22" s="355"/>
      <c r="H22" s="356"/>
      <c r="I22" s="356"/>
      <c r="J22" s="357"/>
    </row>
    <row r="23" spans="1:11" ht="30.75" thickBot="1">
      <c r="A23" s="147" t="s">
        <v>138</v>
      </c>
      <c r="B23" s="131" t="s">
        <v>21</v>
      </c>
      <c r="C23" s="148">
        <f>C21</f>
        <v>7098.71</v>
      </c>
      <c r="D23" s="149" t="str">
        <f>D21</f>
        <v>Manual adjustment of ITCL commission on Date-  31.10.2019TO  02.11.2019</v>
      </c>
    </row>
    <row r="24" spans="1:11" ht="15.75" thickBot="1">
      <c r="A24" s="137"/>
      <c r="B24" s="138"/>
      <c r="C24" s="163"/>
      <c r="D24" s="139"/>
    </row>
    <row r="25" spans="1:11" s="192" customFormat="1" ht="15.75" thickBot="1">
      <c r="A25" s="275" t="s">
        <v>158</v>
      </c>
      <c r="B25" s="129"/>
      <c r="C25" s="129"/>
      <c r="D25" s="130"/>
    </row>
    <row r="26" spans="1:11" s="192" customFormat="1" ht="15.75" thickBot="1">
      <c r="A26" s="343" t="s">
        <v>275</v>
      </c>
      <c r="B26" s="344"/>
      <c r="C26" s="344"/>
      <c r="D26" s="164" t="str">
        <f>D19</f>
        <v xml:space="preserve">  31.10.2019TO  02.11.2019</v>
      </c>
    </row>
    <row r="27" spans="1:11" s="192" customFormat="1" ht="15.75" thickBot="1">
      <c r="A27" s="131" t="s">
        <v>129</v>
      </c>
      <c r="B27" s="132" t="s">
        <v>130</v>
      </c>
      <c r="C27" s="132" t="s">
        <v>4</v>
      </c>
      <c r="D27" s="132" t="s">
        <v>131</v>
      </c>
    </row>
    <row r="28" spans="1:11" s="192" customFormat="1">
      <c r="A28" s="133" t="s">
        <v>132</v>
      </c>
      <c r="B28" s="270" t="s">
        <v>28</v>
      </c>
      <c r="C28" s="272">
        <f>'TOP SHEET'!G24+'TOP SHEET'!G25</f>
        <v>35</v>
      </c>
      <c r="D28" s="273" t="str">
        <f>A26</f>
        <v>Manual adjustment of  OFF US NPSB BI on Date</v>
      </c>
    </row>
    <row r="29" spans="1:11" s="192" customFormat="1" ht="15.75" thickBot="1">
      <c r="A29" s="135" t="s">
        <v>133</v>
      </c>
      <c r="B29" s="271"/>
      <c r="C29" s="165"/>
      <c r="D29" s="274" t="str">
        <f>D26</f>
        <v xml:space="preserve">  31.10.2019TO  02.11.2019</v>
      </c>
    </row>
    <row r="30" spans="1:11" s="192" customFormat="1">
      <c r="A30" s="133" t="s">
        <v>134</v>
      </c>
      <c r="B30" s="270" t="s">
        <v>21</v>
      </c>
      <c r="C30" s="272">
        <f>C28</f>
        <v>35</v>
      </c>
      <c r="D30" s="273" t="str">
        <f>D28</f>
        <v>Manual adjustment of  OFF US NPSB BI on Date</v>
      </c>
    </row>
    <row r="31" spans="1:11" s="192" customFormat="1" ht="15.75" thickBot="1">
      <c r="A31" s="135" t="s">
        <v>135</v>
      </c>
      <c r="B31" s="271"/>
      <c r="C31" s="165"/>
      <c r="D31" s="274" t="str">
        <f>D26</f>
        <v xml:space="preserve">  31.10.2019TO  02.11.2019</v>
      </c>
    </row>
    <row r="32" spans="1:11" s="192" customFormat="1">
      <c r="A32" s="136" t="s">
        <v>139</v>
      </c>
      <c r="B32" s="316" t="s">
        <v>28</v>
      </c>
      <c r="C32" s="347">
        <f>'TOP SHEET'!J24+'TOP SHEET'!J25</f>
        <v>14</v>
      </c>
      <c r="D32" s="273" t="str">
        <f>A26</f>
        <v>Manual adjustment of  OFF US NPSB BI on Date</v>
      </c>
    </row>
    <row r="33" spans="1:4" s="192" customFormat="1" ht="15.75" thickBot="1">
      <c r="A33" s="143" t="s">
        <v>140</v>
      </c>
      <c r="B33" s="317"/>
      <c r="C33" s="348"/>
      <c r="D33" s="274" t="str">
        <f>D26</f>
        <v xml:space="preserve">  31.10.2019TO  02.11.2019</v>
      </c>
    </row>
    <row r="34" spans="1:4">
      <c r="A34" s="133" t="s">
        <v>141</v>
      </c>
      <c r="B34" s="316" t="s">
        <v>21</v>
      </c>
      <c r="C34" s="347">
        <f>C32</f>
        <v>14</v>
      </c>
      <c r="D34" s="273" t="str">
        <f>D32</f>
        <v>Manual adjustment of  OFF US NPSB BI on Date</v>
      </c>
    </row>
    <row r="35" spans="1:4" ht="15.75" thickBot="1">
      <c r="A35" s="135" t="s">
        <v>137</v>
      </c>
      <c r="B35" s="317"/>
      <c r="C35" s="348"/>
      <c r="D35" s="274" t="str">
        <f>D33</f>
        <v xml:space="preserve">  31.10.2019TO  02.11.2019</v>
      </c>
    </row>
    <row r="36" spans="1:4" ht="15.75" thickBot="1">
      <c r="A36" s="287"/>
      <c r="B36" s="288"/>
      <c r="C36" s="289"/>
      <c r="D36" s="290"/>
    </row>
    <row r="37" spans="1:4" ht="15.75" thickBot="1">
      <c r="A37" s="301" t="s">
        <v>159</v>
      </c>
      <c r="B37" s="129"/>
      <c r="C37" s="129"/>
      <c r="D37" s="130"/>
    </row>
    <row r="38" spans="1:4" ht="15.75" thickBot="1">
      <c r="A38" s="322" t="s">
        <v>160</v>
      </c>
      <c r="B38" s="323"/>
      <c r="C38" s="323"/>
      <c r="D38" s="144" t="s">
        <v>331</v>
      </c>
    </row>
    <row r="39" spans="1:4" ht="16.5" customHeight="1" thickBot="1">
      <c r="A39" s="131" t="s">
        <v>129</v>
      </c>
      <c r="B39" s="132" t="s">
        <v>130</v>
      </c>
      <c r="C39" s="132" t="s">
        <v>4</v>
      </c>
      <c r="D39" s="132" t="s">
        <v>131</v>
      </c>
    </row>
    <row r="40" spans="1:4">
      <c r="A40" s="145" t="s">
        <v>277</v>
      </c>
      <c r="B40" s="316" t="s">
        <v>28</v>
      </c>
      <c r="C40" s="318">
        <v>0</v>
      </c>
      <c r="D40" s="320" t="str">
        <f>A38&amp;D38</f>
        <v>Manual adjustment of Mobile Bill Pay (On Us) on Date-31.10.2019 TO 02.11.2019</v>
      </c>
    </row>
    <row r="41" spans="1:4" ht="15.75" thickBot="1">
      <c r="A41" s="135" t="s">
        <v>276</v>
      </c>
      <c r="B41" s="317"/>
      <c r="C41" s="319"/>
      <c r="D41" s="321"/>
    </row>
    <row r="42" spans="1:4" ht="15" customHeight="1">
      <c r="A42" s="145" t="s">
        <v>292</v>
      </c>
      <c r="B42" s="316" t="s">
        <v>28</v>
      </c>
      <c r="C42" s="318">
        <v>0</v>
      </c>
      <c r="D42" s="320" t="str">
        <f>D40</f>
        <v>Manual adjustment of Mobile Bill Pay (On Us) on Date-31.10.2019 TO 02.11.2019</v>
      </c>
    </row>
    <row r="43" spans="1:4" ht="15.75" thickBot="1">
      <c r="A43" s="135" t="s">
        <v>300</v>
      </c>
      <c r="B43" s="317"/>
      <c r="C43" s="319"/>
      <c r="D43" s="321"/>
    </row>
    <row r="44" spans="1:4" ht="13.5" customHeight="1">
      <c r="A44" s="145" t="s">
        <v>293</v>
      </c>
      <c r="B44" s="316" t="s">
        <v>28</v>
      </c>
      <c r="C44" s="318">
        <v>165</v>
      </c>
      <c r="D44" s="320" t="str">
        <f>D42</f>
        <v>Manual adjustment of Mobile Bill Pay (On Us) on Date-31.10.2019 TO 02.11.2019</v>
      </c>
    </row>
    <row r="45" spans="1:4" ht="15.75" thickBot="1">
      <c r="A45" s="135" t="s">
        <v>294</v>
      </c>
      <c r="B45" s="317"/>
      <c r="C45" s="319"/>
      <c r="D45" s="321"/>
    </row>
    <row r="46" spans="1:4">
      <c r="A46" s="145" t="s">
        <v>330</v>
      </c>
      <c r="B46" s="316" t="s">
        <v>28</v>
      </c>
      <c r="C46" s="318">
        <v>10</v>
      </c>
      <c r="D46" s="320" t="str">
        <f>D44</f>
        <v>Manual adjustment of Mobile Bill Pay (On Us) on Date-31.10.2019 TO 02.11.2019</v>
      </c>
    </row>
    <row r="47" spans="1:4" ht="15.75" thickBot="1">
      <c r="A47" s="135" t="s">
        <v>145</v>
      </c>
      <c r="B47" s="317"/>
      <c r="C47" s="319"/>
      <c r="D47" s="321"/>
    </row>
    <row r="48" spans="1:4">
      <c r="A48" s="145" t="s">
        <v>304</v>
      </c>
      <c r="B48" s="316" t="s">
        <v>28</v>
      </c>
      <c r="C48" s="318">
        <v>26</v>
      </c>
      <c r="D48" s="320" t="str">
        <f>D46</f>
        <v>Manual adjustment of Mobile Bill Pay (On Us) on Date-31.10.2019 TO 02.11.2019</v>
      </c>
    </row>
    <row r="49" spans="1:4" ht="15.75" thickBot="1">
      <c r="A49" s="135" t="s">
        <v>305</v>
      </c>
      <c r="B49" s="317"/>
      <c r="C49" s="319"/>
      <c r="D49" s="321"/>
    </row>
    <row r="50" spans="1:4">
      <c r="A50" s="145" t="s">
        <v>298</v>
      </c>
      <c r="B50" s="316" t="s">
        <v>28</v>
      </c>
      <c r="C50" s="318">
        <v>0</v>
      </c>
      <c r="D50" s="320" t="str">
        <f>D48</f>
        <v>Manual adjustment of Mobile Bill Pay (On Us) on Date-31.10.2019 TO 02.11.2019</v>
      </c>
    </row>
    <row r="51" spans="1:4" ht="15.75" thickBot="1">
      <c r="A51" s="135" t="s">
        <v>299</v>
      </c>
      <c r="B51" s="317"/>
      <c r="C51" s="319"/>
      <c r="D51" s="321"/>
    </row>
    <row r="52" spans="1:4">
      <c r="A52" s="133" t="s">
        <v>143</v>
      </c>
      <c r="B52" s="316" t="s">
        <v>21</v>
      </c>
      <c r="C52" s="318">
        <v>201</v>
      </c>
      <c r="D52" s="320" t="str">
        <f>D40</f>
        <v>Manual adjustment of Mobile Bill Pay (On Us) on Date-31.10.2019 TO 02.11.2019</v>
      </c>
    </row>
    <row r="53" spans="1:4" ht="15.75" thickBot="1">
      <c r="A53" s="135" t="s">
        <v>144</v>
      </c>
      <c r="B53" s="317"/>
      <c r="C53" s="319"/>
      <c r="D53" s="321"/>
    </row>
    <row r="57" spans="1:4" ht="15.75" thickBot="1">
      <c r="A57" s="286"/>
      <c r="B57" s="192"/>
      <c r="C57" s="192"/>
      <c r="D57" s="192"/>
    </row>
    <row r="58" spans="1:4" ht="15.75" thickBot="1">
      <c r="A58" s="299" t="s">
        <v>280</v>
      </c>
      <c r="B58" s="129"/>
      <c r="C58" s="129"/>
      <c r="D58" s="130"/>
    </row>
    <row r="59" spans="1:4" ht="30.75" customHeight="1" thickBot="1">
      <c r="A59" s="327" t="s">
        <v>168</v>
      </c>
      <c r="B59" s="328"/>
      <c r="C59" s="328"/>
      <c r="D59" s="156" t="s">
        <v>281</v>
      </c>
    </row>
    <row r="60" spans="1:4" ht="15.75" thickBot="1">
      <c r="A60" s="123" t="s">
        <v>129</v>
      </c>
      <c r="B60" s="124" t="s">
        <v>130</v>
      </c>
      <c r="C60" s="124" t="s">
        <v>4</v>
      </c>
      <c r="D60" s="124" t="s">
        <v>131</v>
      </c>
    </row>
    <row r="61" spans="1:4" ht="25.5">
      <c r="A61" s="125" t="s">
        <v>169</v>
      </c>
      <c r="B61" s="324" t="s">
        <v>28</v>
      </c>
      <c r="C61" s="326">
        <f>'TOP SHEET'!H10</f>
        <v>0</v>
      </c>
      <c r="D61" s="153" t="s">
        <v>170</v>
      </c>
    </row>
    <row r="62" spans="1:4" ht="15.75" thickBot="1">
      <c r="A62" s="126" t="s">
        <v>171</v>
      </c>
      <c r="B62" s="325"/>
      <c r="C62" s="325"/>
      <c r="D62" s="154" t="str">
        <f>D59</f>
        <v>02.10.2019 TO 02.10.2019</v>
      </c>
    </row>
    <row r="63" spans="1:4" ht="25.5">
      <c r="A63" s="125" t="s">
        <v>134</v>
      </c>
      <c r="B63" s="324" t="s">
        <v>21</v>
      </c>
      <c r="C63" s="326">
        <f>'TOP SHEET'!H10</f>
        <v>0</v>
      </c>
      <c r="D63" s="153" t="s">
        <v>170</v>
      </c>
    </row>
    <row r="64" spans="1:4" ht="15.75" thickBot="1">
      <c r="A64" s="126" t="s">
        <v>135</v>
      </c>
      <c r="B64" s="325"/>
      <c r="C64" s="325"/>
      <c r="D64" s="154" t="str">
        <f>D62</f>
        <v>02.10.2019 TO 02.10.2019</v>
      </c>
    </row>
    <row r="65" spans="1:4" ht="27.75">
      <c r="A65" s="125" t="s">
        <v>139</v>
      </c>
      <c r="B65" s="324" t="s">
        <v>28</v>
      </c>
      <c r="C65" s="326">
        <f>'TOP SHEET'!J10</f>
        <v>0</v>
      </c>
      <c r="D65" s="153" t="s">
        <v>172</v>
      </c>
    </row>
    <row r="66" spans="1:4" ht="15.75" thickBot="1">
      <c r="A66" s="126" t="s">
        <v>140</v>
      </c>
      <c r="B66" s="325"/>
      <c r="C66" s="325"/>
      <c r="D66" s="154" t="str">
        <f>D62</f>
        <v>02.10.2019 TO 02.10.2019</v>
      </c>
    </row>
    <row r="67" spans="1:4" ht="27.75">
      <c r="A67" s="125" t="s">
        <v>141</v>
      </c>
      <c r="B67" s="324" t="s">
        <v>21</v>
      </c>
      <c r="C67" s="326">
        <f>C65</f>
        <v>0</v>
      </c>
      <c r="D67" s="153" t="s">
        <v>172</v>
      </c>
    </row>
    <row r="68" spans="1:4" ht="22.5" customHeight="1" thickBot="1">
      <c r="A68" s="126" t="s">
        <v>137</v>
      </c>
      <c r="B68" s="325"/>
      <c r="C68" s="325"/>
      <c r="D68" s="154" t="str">
        <f>D62</f>
        <v>02.10.2019 TO 02.10.2019</v>
      </c>
    </row>
    <row r="70" spans="1:4" ht="21.75" customHeight="1" thickBot="1"/>
    <row r="71" spans="1:4" ht="15.75" thickBot="1">
      <c r="A71" s="300" t="s">
        <v>159</v>
      </c>
      <c r="B71" s="129"/>
      <c r="C71" s="129"/>
      <c r="D71" s="130"/>
    </row>
    <row r="72" spans="1:4" ht="15.75" thickBot="1">
      <c r="A72" s="322" t="s">
        <v>160</v>
      </c>
      <c r="B72" s="323"/>
      <c r="C72" s="323"/>
      <c r="D72" s="144" t="s">
        <v>291</v>
      </c>
    </row>
    <row r="73" spans="1:4" ht="15.75" thickBot="1">
      <c r="A73" s="131" t="s">
        <v>129</v>
      </c>
      <c r="B73" s="132" t="s">
        <v>130</v>
      </c>
      <c r="C73" s="132" t="s">
        <v>4</v>
      </c>
      <c r="D73" s="132" t="s">
        <v>131</v>
      </c>
    </row>
    <row r="74" spans="1:4">
      <c r="A74" s="145" t="s">
        <v>277</v>
      </c>
      <c r="B74" s="316" t="s">
        <v>28</v>
      </c>
      <c r="C74" s="318">
        <v>522</v>
      </c>
      <c r="D74" s="320" t="str">
        <f>A72&amp;D72</f>
        <v>Manual adjustment of Mobile Bill Pay (On Us) on Date-27.10.2019 TO 30.10.2019</v>
      </c>
    </row>
    <row r="75" spans="1:4" ht="15.75" thickBot="1">
      <c r="A75" s="135" t="s">
        <v>276</v>
      </c>
      <c r="B75" s="317"/>
      <c r="C75" s="319"/>
      <c r="D75" s="321"/>
    </row>
    <row r="76" spans="1:4">
      <c r="A76" s="145" t="s">
        <v>292</v>
      </c>
      <c r="B76" s="316" t="s">
        <v>28</v>
      </c>
      <c r="C76" s="318">
        <v>179</v>
      </c>
      <c r="D76" s="320" t="str">
        <f>D74</f>
        <v>Manual adjustment of Mobile Bill Pay (On Us) on Date-27.10.2019 TO 30.10.2019</v>
      </c>
    </row>
    <row r="77" spans="1:4" ht="21.75" customHeight="1" thickBot="1">
      <c r="A77" s="135" t="s">
        <v>276</v>
      </c>
      <c r="B77" s="317"/>
      <c r="C77" s="319"/>
      <c r="D77" s="321"/>
    </row>
    <row r="78" spans="1:4" ht="21.75" customHeight="1">
      <c r="A78" s="145" t="s">
        <v>293</v>
      </c>
      <c r="B78" s="316" t="s">
        <v>28</v>
      </c>
      <c r="C78" s="318">
        <v>1086</v>
      </c>
      <c r="D78" s="320" t="str">
        <f>D76</f>
        <v>Manual adjustment of Mobile Bill Pay (On Us) on Date-27.10.2019 TO 30.10.2019</v>
      </c>
    </row>
    <row r="79" spans="1:4" ht="21.75" customHeight="1" thickBot="1">
      <c r="A79" s="135" t="s">
        <v>294</v>
      </c>
      <c r="B79" s="317"/>
      <c r="C79" s="319"/>
      <c r="D79" s="321"/>
    </row>
    <row r="80" spans="1:4" ht="21.75" customHeight="1">
      <c r="A80" s="145" t="s">
        <v>295</v>
      </c>
      <c r="B80" s="316" t="s">
        <v>28</v>
      </c>
      <c r="C80" s="318">
        <v>109</v>
      </c>
      <c r="D80" s="320" t="str">
        <f>D78</f>
        <v>Manual adjustment of Mobile Bill Pay (On Us) on Date-27.10.2019 TO 30.10.2019</v>
      </c>
    </row>
    <row r="81" spans="1:4" ht="21.75" customHeight="1" thickBot="1">
      <c r="A81" s="135" t="s">
        <v>276</v>
      </c>
      <c r="B81" s="317"/>
      <c r="C81" s="319"/>
      <c r="D81" s="321"/>
    </row>
    <row r="82" spans="1:4" ht="21.75" customHeight="1">
      <c r="A82" s="145" t="s">
        <v>296</v>
      </c>
      <c r="B82" s="316" t="s">
        <v>28</v>
      </c>
      <c r="C82" s="318">
        <v>10</v>
      </c>
      <c r="D82" s="320" t="str">
        <f>D80</f>
        <v>Manual adjustment of Mobile Bill Pay (On Us) on Date-27.10.2019 TO 30.10.2019</v>
      </c>
    </row>
    <row r="83" spans="1:4" ht="21.75" customHeight="1" thickBot="1">
      <c r="A83" s="135" t="s">
        <v>297</v>
      </c>
      <c r="B83" s="317"/>
      <c r="C83" s="319"/>
      <c r="D83" s="321"/>
    </row>
    <row r="84" spans="1:4" ht="21.75" customHeight="1">
      <c r="A84" s="145" t="s">
        <v>298</v>
      </c>
      <c r="B84" s="316" t="s">
        <v>28</v>
      </c>
      <c r="C84" s="318">
        <v>257</v>
      </c>
      <c r="D84" s="320" t="str">
        <f>D82</f>
        <v>Manual adjustment of Mobile Bill Pay (On Us) on Date-27.10.2019 TO 30.10.2019</v>
      </c>
    </row>
    <row r="85" spans="1:4" ht="21.75" customHeight="1" thickBot="1">
      <c r="A85" s="135" t="s">
        <v>299</v>
      </c>
      <c r="B85" s="317"/>
      <c r="C85" s="319"/>
      <c r="D85" s="321"/>
    </row>
    <row r="86" spans="1:4">
      <c r="A86" s="133" t="s">
        <v>143</v>
      </c>
      <c r="B86" s="316" t="s">
        <v>21</v>
      </c>
      <c r="C86" s="318">
        <v>2163</v>
      </c>
      <c r="D86" s="320" t="str">
        <f>D74</f>
        <v>Manual adjustment of Mobile Bill Pay (On Us) on Date-27.10.2019 TO 30.10.2019</v>
      </c>
    </row>
    <row r="87" spans="1:4" ht="15.75" thickBot="1">
      <c r="A87" s="135" t="s">
        <v>144</v>
      </c>
      <c r="B87" s="317"/>
      <c r="C87" s="319"/>
      <c r="D87" s="321"/>
    </row>
    <row r="122" spans="1:4" ht="15.75" thickBot="1"/>
    <row r="123" spans="1:4" ht="15.75" thickBot="1">
      <c r="A123" s="128" t="s">
        <v>159</v>
      </c>
      <c r="B123" s="129"/>
      <c r="C123" s="129"/>
      <c r="D123" s="130"/>
    </row>
    <row r="124" spans="1:4" ht="15.75" thickBot="1">
      <c r="A124" s="322" t="s">
        <v>160</v>
      </c>
      <c r="B124" s="323"/>
      <c r="C124" s="323"/>
      <c r="D124" s="144" t="str">
        <f>D7</f>
        <v xml:space="preserve">  02.11.2019</v>
      </c>
    </row>
    <row r="125" spans="1:4" ht="15.75" thickBot="1">
      <c r="A125" s="131" t="s">
        <v>129</v>
      </c>
      <c r="B125" s="132" t="s">
        <v>130</v>
      </c>
      <c r="C125" s="132" t="s">
        <v>4</v>
      </c>
      <c r="D125" s="132" t="s">
        <v>131</v>
      </c>
    </row>
    <row r="126" spans="1:4">
      <c r="A126" s="145" t="s">
        <v>173</v>
      </c>
      <c r="B126" s="316" t="s">
        <v>28</v>
      </c>
      <c r="C126" s="318">
        <v>79</v>
      </c>
      <c r="D126" s="320" t="str">
        <f>A124&amp;D124</f>
        <v>Manual adjustment of Mobile Bill Pay (On Us) on Date-  02.11.2019</v>
      </c>
    </row>
    <row r="127" spans="1:4" ht="15.75" thickBot="1">
      <c r="A127" s="135" t="s">
        <v>142</v>
      </c>
      <c r="B127" s="317"/>
      <c r="C127" s="319"/>
      <c r="D127" s="321"/>
    </row>
    <row r="128" spans="1:4">
      <c r="A128" s="133" t="s">
        <v>143</v>
      </c>
      <c r="B128" s="316" t="s">
        <v>21</v>
      </c>
      <c r="C128" s="318">
        <v>79</v>
      </c>
      <c r="D128" s="320" t="str">
        <f>D126</f>
        <v>Manual adjustment of Mobile Bill Pay (On Us) on Date-  02.11.2019</v>
      </c>
    </row>
    <row r="129" spans="1:4" ht="15.75" thickBot="1">
      <c r="A129" s="135" t="s">
        <v>144</v>
      </c>
      <c r="B129" s="317"/>
      <c r="C129" s="319"/>
      <c r="D129" s="321"/>
    </row>
    <row r="130" spans="1:4" ht="15.75" thickBot="1"/>
    <row r="131" spans="1:4" ht="15.75" thickBot="1">
      <c r="A131" s="128" t="s">
        <v>162</v>
      </c>
      <c r="B131" s="129"/>
      <c r="C131" s="129"/>
      <c r="D131" s="130"/>
    </row>
    <row r="132" spans="1:4" ht="15.75" thickBot="1">
      <c r="A132" s="345" t="s">
        <v>161</v>
      </c>
      <c r="B132" s="346"/>
      <c r="C132" s="346"/>
      <c r="D132" s="140" t="str">
        <f>D7</f>
        <v xml:space="preserve">  02.11.2019</v>
      </c>
    </row>
    <row r="133" spans="1:4" ht="15.75" thickBot="1">
      <c r="A133" s="131" t="s">
        <v>129</v>
      </c>
      <c r="B133" s="132" t="s">
        <v>130</v>
      </c>
      <c r="C133" s="132" t="s">
        <v>4</v>
      </c>
      <c r="D133" s="132" t="s">
        <v>131</v>
      </c>
    </row>
    <row r="134" spans="1:4">
      <c r="A134" s="133" t="s">
        <v>143</v>
      </c>
      <c r="B134" s="316" t="s">
        <v>28</v>
      </c>
      <c r="C134" s="347">
        <v>0</v>
      </c>
      <c r="D134" s="329" t="str">
        <f>A132&amp;D132</f>
        <v>Manual adjustment of OFF US Qcash VISA on Date -  02.11.2019</v>
      </c>
    </row>
    <row r="135" spans="1:4" ht="15.75" thickBot="1">
      <c r="A135" s="135" t="s">
        <v>144</v>
      </c>
      <c r="B135" s="317"/>
      <c r="C135" s="348"/>
      <c r="D135" s="330"/>
    </row>
    <row r="136" spans="1:4">
      <c r="A136" s="142" t="s">
        <v>146</v>
      </c>
      <c r="B136" s="316" t="s">
        <v>21</v>
      </c>
      <c r="C136" s="347">
        <v>0</v>
      </c>
      <c r="D136" s="329" t="str">
        <f>D134</f>
        <v>Manual adjustment of OFF US Qcash VISA on Date -  02.11.2019</v>
      </c>
    </row>
    <row r="137" spans="1:4" ht="15.75" thickBot="1">
      <c r="A137" s="143" t="s">
        <v>145</v>
      </c>
      <c r="B137" s="317"/>
      <c r="C137" s="348"/>
      <c r="D137" s="330"/>
    </row>
    <row r="138" spans="1:4">
      <c r="A138" s="133" t="s">
        <v>134</v>
      </c>
      <c r="B138" s="316" t="s">
        <v>21</v>
      </c>
      <c r="C138" s="347">
        <v>0</v>
      </c>
      <c r="D138" s="329" t="str">
        <f>D136</f>
        <v>Manual adjustment of OFF US Qcash VISA on Date -  02.11.2019</v>
      </c>
    </row>
    <row r="139" spans="1:4" ht="15.75" thickBot="1">
      <c r="A139" s="135" t="s">
        <v>135</v>
      </c>
      <c r="B139" s="317"/>
      <c r="C139" s="348"/>
      <c r="D139" s="330"/>
    </row>
    <row r="141" spans="1:4" ht="15.75" thickBot="1"/>
    <row r="142" spans="1:4" ht="15.75" thickBot="1">
      <c r="A142" s="128" t="s">
        <v>158</v>
      </c>
      <c r="B142" s="129"/>
      <c r="C142" s="129"/>
      <c r="D142" s="130"/>
    </row>
    <row r="143" spans="1:4" ht="15.75" thickBot="1">
      <c r="A143" s="333" t="s">
        <v>166</v>
      </c>
      <c r="B143" s="334"/>
      <c r="C143" s="335"/>
      <c r="D143" s="152" t="str">
        <f>D7</f>
        <v xml:space="preserve">  02.11.2019</v>
      </c>
    </row>
    <row r="144" spans="1:4" ht="15.75" thickBot="1">
      <c r="A144" s="123" t="s">
        <v>129</v>
      </c>
      <c r="B144" s="124" t="s">
        <v>130</v>
      </c>
      <c r="C144" s="124" t="s">
        <v>4</v>
      </c>
      <c r="D144" s="124" t="s">
        <v>131</v>
      </c>
    </row>
    <row r="145" spans="1:4">
      <c r="A145" s="125" t="s">
        <v>139</v>
      </c>
      <c r="B145" s="324" t="s">
        <v>28</v>
      </c>
      <c r="C145" s="336">
        <v>60</v>
      </c>
      <c r="D145" s="331" t="e">
        <f>#REF!&amp;D7</f>
        <v>#REF!</v>
      </c>
    </row>
    <row r="146" spans="1:4" ht="15.75" thickBot="1">
      <c r="A146" s="126" t="s">
        <v>140</v>
      </c>
      <c r="B146" s="325"/>
      <c r="C146" s="337"/>
      <c r="D146" s="332"/>
    </row>
    <row r="147" spans="1:4">
      <c r="A147" s="125" t="s">
        <v>143</v>
      </c>
      <c r="B147" s="324" t="s">
        <v>21</v>
      </c>
      <c r="C147" s="336">
        <v>60</v>
      </c>
      <c r="D147" s="331" t="e">
        <f>D145</f>
        <v>#REF!</v>
      </c>
    </row>
    <row r="148" spans="1:4" ht="15.75" thickBot="1">
      <c r="A148" s="126" t="s">
        <v>144</v>
      </c>
      <c r="B148" s="325"/>
      <c r="C148" s="337"/>
      <c r="D148" s="332"/>
    </row>
    <row r="151" spans="1:4" ht="15.75" thickBot="1"/>
    <row r="152" spans="1:4" ht="15.75" thickBot="1">
      <c r="A152" s="128" t="s">
        <v>156</v>
      </c>
      <c r="B152" s="129"/>
      <c r="C152" s="129"/>
      <c r="D152" s="130"/>
    </row>
    <row r="153" spans="1:4" ht="15.75" thickBot="1">
      <c r="A153" s="327" t="s">
        <v>168</v>
      </c>
      <c r="B153" s="328"/>
      <c r="C153" s="328"/>
      <c r="D153" s="156">
        <f>D100</f>
        <v>0</v>
      </c>
    </row>
    <row r="154" spans="1:4" ht="15.75" thickBot="1">
      <c r="A154" s="123" t="s">
        <v>129</v>
      </c>
      <c r="B154" s="124" t="s">
        <v>130</v>
      </c>
      <c r="C154" s="124" t="s">
        <v>4</v>
      </c>
      <c r="D154" s="124" t="s">
        <v>131</v>
      </c>
    </row>
    <row r="155" spans="1:4" ht="25.5">
      <c r="A155" s="125" t="s">
        <v>169</v>
      </c>
      <c r="B155" s="324" t="s">
        <v>28</v>
      </c>
      <c r="C155" s="326" t="e">
        <f>'[1]TOP SHEET'!F155+'[1]TOP SHEET'!F156</f>
        <v>#REF!</v>
      </c>
      <c r="D155" s="153" t="s">
        <v>170</v>
      </c>
    </row>
    <row r="156" spans="1:4" ht="15.75" thickBot="1">
      <c r="A156" s="126" t="s">
        <v>171</v>
      </c>
      <c r="B156" s="325"/>
      <c r="C156" s="325"/>
      <c r="D156" s="154">
        <f>D153</f>
        <v>0</v>
      </c>
    </row>
    <row r="157" spans="1:4" ht="25.5">
      <c r="A157" s="125" t="s">
        <v>134</v>
      </c>
      <c r="B157" s="324" t="s">
        <v>21</v>
      </c>
      <c r="C157" s="326" t="e">
        <f>'[1]TOP SHEET'!F155+'[1]TOP SHEET'!F156</f>
        <v>#REF!</v>
      </c>
      <c r="D157" s="153" t="s">
        <v>170</v>
      </c>
    </row>
    <row r="158" spans="1:4" ht="15.75" thickBot="1">
      <c r="A158" s="126" t="s">
        <v>135</v>
      </c>
      <c r="B158" s="325"/>
      <c r="C158" s="325"/>
      <c r="D158" s="154">
        <f>D156</f>
        <v>0</v>
      </c>
    </row>
    <row r="159" spans="1:4" ht="27.75">
      <c r="A159" s="125" t="s">
        <v>139</v>
      </c>
      <c r="B159" s="324" t="s">
        <v>28</v>
      </c>
      <c r="C159" s="326" t="e">
        <f>'[1]TOP SHEET'!H155+'[1]TOP SHEET'!H156</f>
        <v>#REF!</v>
      </c>
      <c r="D159" s="153" t="s">
        <v>172</v>
      </c>
    </row>
    <row r="160" spans="1:4" ht="15.75" thickBot="1">
      <c r="A160" s="126" t="s">
        <v>140</v>
      </c>
      <c r="B160" s="325"/>
      <c r="C160" s="325"/>
      <c r="D160" s="154">
        <f>D156</f>
        <v>0</v>
      </c>
    </row>
    <row r="161" spans="1:4" ht="27.75">
      <c r="A161" s="125" t="s">
        <v>141</v>
      </c>
      <c r="B161" s="324" t="s">
        <v>21</v>
      </c>
      <c r="C161" s="326" t="e">
        <f>'[1]TOP SHEET'!H155+'[1]TOP SHEET'!H156</f>
        <v>#REF!</v>
      </c>
      <c r="D161" s="153" t="s">
        <v>172</v>
      </c>
    </row>
    <row r="162" spans="1:4" ht="15.75" thickBot="1">
      <c r="A162" s="126" t="s">
        <v>137</v>
      </c>
      <c r="B162" s="325"/>
      <c r="C162" s="325"/>
      <c r="D162" s="154">
        <f>D156</f>
        <v>0</v>
      </c>
    </row>
    <row r="164" spans="1:4" ht="28.5" customHeight="1"/>
  </sheetData>
  <mergeCells count="112">
    <mergeCell ref="A26:C26"/>
    <mergeCell ref="B32:B33"/>
    <mergeCell ref="C32:C33"/>
    <mergeCell ref="B34:B35"/>
    <mergeCell ref="C34:C35"/>
    <mergeCell ref="D50:D51"/>
    <mergeCell ref="B52:B53"/>
    <mergeCell ref="C52:C53"/>
    <mergeCell ref="D52:D53"/>
    <mergeCell ref="D44:D45"/>
    <mergeCell ref="B46:B47"/>
    <mergeCell ref="C46:C47"/>
    <mergeCell ref="D46:D47"/>
    <mergeCell ref="B48:B49"/>
    <mergeCell ref="C48:C49"/>
    <mergeCell ref="D48:D49"/>
    <mergeCell ref="B44:B45"/>
    <mergeCell ref="C44:C45"/>
    <mergeCell ref="A38:C38"/>
    <mergeCell ref="B40:B41"/>
    <mergeCell ref="C40:C41"/>
    <mergeCell ref="B50:B51"/>
    <mergeCell ref="C50:C51"/>
    <mergeCell ref="D40:D41"/>
    <mergeCell ref="G17:J22"/>
    <mergeCell ref="I6:K6"/>
    <mergeCell ref="G7:L7"/>
    <mergeCell ref="D13:D14"/>
    <mergeCell ref="G16:L16"/>
    <mergeCell ref="G8:J13"/>
    <mergeCell ref="C13:C14"/>
    <mergeCell ref="D11:D12"/>
    <mergeCell ref="A19:C19"/>
    <mergeCell ref="B15:B16"/>
    <mergeCell ref="B21:B22"/>
    <mergeCell ref="D21:D22"/>
    <mergeCell ref="C15:C16"/>
    <mergeCell ref="D15:D16"/>
    <mergeCell ref="B13:B14"/>
    <mergeCell ref="A1:D1"/>
    <mergeCell ref="A2:D2"/>
    <mergeCell ref="B4:C4"/>
    <mergeCell ref="A3:D3"/>
    <mergeCell ref="D9:D10"/>
    <mergeCell ref="A7:C7"/>
    <mergeCell ref="B161:B162"/>
    <mergeCell ref="C161:C162"/>
    <mergeCell ref="A153:C153"/>
    <mergeCell ref="B155:B156"/>
    <mergeCell ref="C155:C156"/>
    <mergeCell ref="B157:B158"/>
    <mergeCell ref="C157:C158"/>
    <mergeCell ref="B159:B160"/>
    <mergeCell ref="C159:C160"/>
    <mergeCell ref="A132:C132"/>
    <mergeCell ref="B138:B139"/>
    <mergeCell ref="D136:D137"/>
    <mergeCell ref="B134:B135"/>
    <mergeCell ref="B136:B137"/>
    <mergeCell ref="C134:C135"/>
    <mergeCell ref="C136:C137"/>
    <mergeCell ref="D134:D135"/>
    <mergeCell ref="C138:C139"/>
    <mergeCell ref="D138:D139"/>
    <mergeCell ref="D147:D148"/>
    <mergeCell ref="B147:B148"/>
    <mergeCell ref="D145:D146"/>
    <mergeCell ref="A143:C143"/>
    <mergeCell ref="B145:B146"/>
    <mergeCell ref="C145:C146"/>
    <mergeCell ref="C147:C148"/>
    <mergeCell ref="A124:C124"/>
    <mergeCell ref="D126:D127"/>
    <mergeCell ref="B128:B129"/>
    <mergeCell ref="B126:B127"/>
    <mergeCell ref="C126:C127"/>
    <mergeCell ref="C128:C129"/>
    <mergeCell ref="D128:D129"/>
    <mergeCell ref="D74:D75"/>
    <mergeCell ref="B65:B66"/>
    <mergeCell ref="C65:C66"/>
    <mergeCell ref="B67:B68"/>
    <mergeCell ref="C67:C68"/>
    <mergeCell ref="A59:C59"/>
    <mergeCell ref="B61:B62"/>
    <mergeCell ref="C61:C62"/>
    <mergeCell ref="B63:B64"/>
    <mergeCell ref="C63:C64"/>
    <mergeCell ref="B42:B43"/>
    <mergeCell ref="C42:C43"/>
    <mergeCell ref="D42:D43"/>
    <mergeCell ref="B86:B87"/>
    <mergeCell ref="C86:C87"/>
    <mergeCell ref="D86:D87"/>
    <mergeCell ref="B76:B77"/>
    <mergeCell ref="C76:C77"/>
    <mergeCell ref="D76:D77"/>
    <mergeCell ref="B78:B79"/>
    <mergeCell ref="C78:C79"/>
    <mergeCell ref="D78:D79"/>
    <mergeCell ref="B80:B81"/>
    <mergeCell ref="C80:C81"/>
    <mergeCell ref="D80:D81"/>
    <mergeCell ref="B82:B83"/>
    <mergeCell ref="C82:C83"/>
    <mergeCell ref="D82:D83"/>
    <mergeCell ref="B84:B85"/>
    <mergeCell ref="C84:C85"/>
    <mergeCell ref="D84:D85"/>
    <mergeCell ref="A72:C72"/>
    <mergeCell ref="B74:B75"/>
    <mergeCell ref="C74:C75"/>
  </mergeCells>
  <pageMargins left="0.25" right="0.25" top="0.75" bottom="0.75" header="0.3" footer="0.3"/>
  <pageSetup paperSize="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R21"/>
  <sheetViews>
    <sheetView zoomScale="85" zoomScaleNormal="85" workbookViewId="0">
      <selection activeCell="D9" sqref="D9"/>
    </sheetView>
  </sheetViews>
  <sheetFormatPr defaultRowHeight="15"/>
  <cols>
    <col min="1" max="1" width="2.140625" customWidth="1"/>
    <col min="2" max="2" width="15.7109375" customWidth="1"/>
    <col min="3" max="3" width="11.7109375" customWidth="1"/>
    <col min="4" max="4" width="16.42578125" customWidth="1"/>
    <col min="5" max="5" width="13.28515625" customWidth="1"/>
    <col min="6" max="6" width="11.42578125" customWidth="1"/>
    <col min="7" max="7" width="9.42578125" customWidth="1"/>
    <col min="8" max="8" width="9.28515625" customWidth="1"/>
    <col min="9" max="9" width="7.85546875" customWidth="1"/>
    <col min="10" max="10" width="14.140625" customWidth="1"/>
    <col min="11" max="11" width="10.5703125" customWidth="1"/>
    <col min="12" max="12" width="10.42578125" customWidth="1"/>
    <col min="13" max="13" width="13" customWidth="1"/>
    <col min="14" max="14" width="10.85546875" bestFit="1" customWidth="1"/>
    <col min="15" max="15" width="15" customWidth="1"/>
    <col min="17" max="17" width="18.140625" customWidth="1"/>
    <col min="18" max="18" width="11.7109375" bestFit="1" customWidth="1"/>
  </cols>
  <sheetData>
    <row r="1" spans="2:18" ht="15.75">
      <c r="E1" s="380" t="s">
        <v>203</v>
      </c>
      <c r="F1" s="380"/>
      <c r="G1" s="380"/>
      <c r="H1" s="380"/>
      <c r="I1" s="380"/>
      <c r="J1" s="380"/>
    </row>
    <row r="2" spans="2:18" ht="15.75">
      <c r="E2" s="380" t="str">
        <f>"FOR THE TRANSACTION DATE-" &amp;'TOP SHEET'!D6</f>
        <v>FOR THE TRANSACTION DATE-  02.11.2019</v>
      </c>
      <c r="F2" s="380"/>
      <c r="G2" s="380"/>
      <c r="H2" s="380"/>
      <c r="I2" s="380"/>
      <c r="J2" s="380"/>
    </row>
    <row r="3" spans="2:18" ht="15.75">
      <c r="E3" s="380" t="str">
        <f>"RECONCILIATION DATE-"&amp;'TOP SHEET'!E4</f>
        <v>RECONCILIATION DATE-03.11.2019</v>
      </c>
      <c r="F3" s="380"/>
      <c r="G3" s="380"/>
      <c r="H3" s="380"/>
      <c r="I3" s="380"/>
      <c r="J3" s="380"/>
    </row>
    <row r="5" spans="2:18" ht="43.5" customHeight="1">
      <c r="B5" s="173" t="s">
        <v>179</v>
      </c>
      <c r="C5" s="173" t="s">
        <v>180</v>
      </c>
      <c r="D5" s="173" t="s">
        <v>181</v>
      </c>
      <c r="E5" s="173" t="s">
        <v>195</v>
      </c>
      <c r="F5" s="173" t="s">
        <v>193</v>
      </c>
      <c r="G5" s="173" t="s">
        <v>194</v>
      </c>
      <c r="H5" s="173" t="s">
        <v>196</v>
      </c>
      <c r="I5" s="173" t="s">
        <v>197</v>
      </c>
      <c r="J5" s="173" t="s">
        <v>202</v>
      </c>
      <c r="K5" s="173" t="s">
        <v>182</v>
      </c>
      <c r="L5" s="173" t="s">
        <v>183</v>
      </c>
      <c r="M5" s="173" t="s">
        <v>192</v>
      </c>
      <c r="N5" s="173" t="s">
        <v>184</v>
      </c>
      <c r="O5" s="173" t="s">
        <v>185</v>
      </c>
    </row>
    <row r="6" spans="2:18">
      <c r="B6" s="174" t="s">
        <v>186</v>
      </c>
      <c r="C6" s="96">
        <v>182102101</v>
      </c>
      <c r="D6" s="80">
        <f>'1. IBT'!E2</f>
        <v>3748209236.8899999</v>
      </c>
      <c r="E6" s="80">
        <f>'1. IBT'!G10</f>
        <v>26090892.789999999</v>
      </c>
      <c r="F6" s="175" t="s">
        <v>199</v>
      </c>
      <c r="G6" s="175" t="s">
        <v>199</v>
      </c>
      <c r="H6" s="175" t="s">
        <v>199</v>
      </c>
      <c r="I6" s="175" t="s">
        <v>199</v>
      </c>
      <c r="J6" s="175" t="s">
        <v>199</v>
      </c>
      <c r="K6" s="7">
        <f>'1. IBT'!G21</f>
        <v>0</v>
      </c>
      <c r="L6" s="7">
        <f>'1. IBT'!G31</f>
        <v>42060</v>
      </c>
      <c r="M6" s="175" t="s">
        <v>199</v>
      </c>
      <c r="N6" s="5">
        <f>'1. IBT'!G32</f>
        <v>0</v>
      </c>
      <c r="O6" s="80">
        <f>D6+E6+K6-L6+N6</f>
        <v>3774258069.6799998</v>
      </c>
      <c r="Q6" s="7">
        <f>'1. IBT'!F33</f>
        <v>3774258069.6799998</v>
      </c>
      <c r="R6" s="2">
        <f>Q6-O6</f>
        <v>0</v>
      </c>
    </row>
    <row r="7" spans="2:18">
      <c r="B7" s="174" t="s">
        <v>187</v>
      </c>
      <c r="C7" s="96">
        <v>115120101</v>
      </c>
      <c r="D7" s="80">
        <f>'2. Qcash Shadow'!E2</f>
        <v>2774844.74</v>
      </c>
      <c r="E7" s="80">
        <f>'2. Qcash Shadow'!H7</f>
        <v>6172866</v>
      </c>
      <c r="F7" s="7">
        <f>'2. Qcash Shadow'!D9</f>
        <v>7800</v>
      </c>
      <c r="G7" s="7">
        <f>'2. Qcash Shadow'!H10</f>
        <v>1525.11</v>
      </c>
      <c r="H7" s="7">
        <f>'2. Qcash Shadow'!C12</f>
        <v>3900</v>
      </c>
      <c r="I7" s="7">
        <f>'2. Qcash Shadow'!C13</f>
        <v>0</v>
      </c>
      <c r="J7" s="80">
        <f>'2. Qcash Shadow'!C18</f>
        <v>0</v>
      </c>
      <c r="K7" s="7">
        <f>'2. Qcash Shadow'!H16</f>
        <v>0</v>
      </c>
      <c r="L7" s="7">
        <f>'2. Qcash Shadow'!H17</f>
        <v>0</v>
      </c>
      <c r="M7" s="80">
        <f>'2. Qcash Shadow'!H21</f>
        <v>-432</v>
      </c>
      <c r="N7" s="80">
        <f>'2. Qcash Shadow'!H24-'2. Qcash Shadow'!D23+'2. Qcash Shadow'!C23</f>
        <v>-36809</v>
      </c>
      <c r="O7" s="80">
        <f>D7-E7-F7-G7+H7+I7+J7-K7+L7+M7+N7</f>
        <v>-3440687.3699999996</v>
      </c>
      <c r="Q7" s="80">
        <f>'2. Qcash Shadow'!G24</f>
        <v>-3440687.37</v>
      </c>
      <c r="R7" s="2">
        <f t="shared" ref="R7:R12" si="0">Q7-O7</f>
        <v>0</v>
      </c>
    </row>
    <row r="8" spans="2:18">
      <c r="B8" s="174" t="s">
        <v>188</v>
      </c>
      <c r="C8" s="96">
        <v>105101121</v>
      </c>
      <c r="D8" s="80">
        <f>'3. NPSB Shadow'!E2</f>
        <v>31735159.420000002</v>
      </c>
      <c r="E8" s="80">
        <f>'3. NPSB Shadow'!H8</f>
        <v>9007236.7899999991</v>
      </c>
      <c r="F8" s="7">
        <f>'3. NPSB Shadow'!D10</f>
        <v>21480</v>
      </c>
      <c r="G8" s="175" t="s">
        <v>199</v>
      </c>
      <c r="H8" s="7">
        <f>'3. NPSB Shadow'!H11</f>
        <v>446.17</v>
      </c>
      <c r="I8" s="175" t="s">
        <v>199</v>
      </c>
      <c r="J8" s="80">
        <f>'3. NPSB Shadow'!C19-'3. NPSB Shadow'!D19</f>
        <v>0</v>
      </c>
      <c r="K8" s="7">
        <f>'3. NPSB Shadow'!H14</f>
        <v>0</v>
      </c>
      <c r="L8" s="7">
        <f>'3. NPSB Shadow'!H17</f>
        <v>27080</v>
      </c>
      <c r="M8" s="80">
        <f>'3. NPSB Shadow'!H20</f>
        <v>-7545</v>
      </c>
      <c r="N8" s="80">
        <f>'3. NPSB Shadow'!H22-'3. NPSB Shadow'!H23</f>
        <v>-35</v>
      </c>
      <c r="O8" s="80">
        <f>D8+E8+F8-H8-J8+K8-L8+M8-N8</f>
        <v>40728840.039999999</v>
      </c>
      <c r="Q8" s="80">
        <f>'3. NPSB Shadow'!G22</f>
        <v>40728840.039999999</v>
      </c>
      <c r="R8" s="2">
        <f>Q8-O8</f>
        <v>0</v>
      </c>
    </row>
    <row r="9" spans="2:18">
      <c r="B9" s="174" t="s">
        <v>189</v>
      </c>
      <c r="C9" s="96">
        <v>625101112</v>
      </c>
      <c r="D9" s="80">
        <f>'4. Income'!E2</f>
        <v>748210.87</v>
      </c>
      <c r="E9" s="80">
        <f>'4. Income'!H8</f>
        <v>5610</v>
      </c>
      <c r="F9" s="175" t="s">
        <v>199</v>
      </c>
      <c r="G9" s="7">
        <f>'4. Income'!H10</f>
        <v>0</v>
      </c>
      <c r="H9" s="7">
        <f>'4. Income'!H11</f>
        <v>446.17</v>
      </c>
      <c r="I9" s="175" t="s">
        <v>199</v>
      </c>
      <c r="J9" s="175" t="s">
        <v>199</v>
      </c>
      <c r="K9" s="7">
        <f>'4. Income'!H13</f>
        <v>0</v>
      </c>
      <c r="L9" s="7">
        <f>'4. Income'!H14</f>
        <v>0</v>
      </c>
      <c r="M9" s="80">
        <f>'4. Income'!H15</f>
        <v>5</v>
      </c>
      <c r="N9" s="80">
        <f>'4. Income'!H16</f>
        <v>-45</v>
      </c>
      <c r="O9" s="80">
        <f>D9+E9+H9+G9+K9-L9+M9+N9</f>
        <v>754227.04</v>
      </c>
      <c r="Q9" s="7">
        <f>'4. Income'!G16</f>
        <v>754227.04</v>
      </c>
      <c r="R9" s="2">
        <f t="shared" si="0"/>
        <v>0</v>
      </c>
    </row>
    <row r="10" spans="2:18">
      <c r="B10" s="174" t="s">
        <v>190</v>
      </c>
      <c r="C10" s="96">
        <v>545101134</v>
      </c>
      <c r="D10" s="80">
        <f>'5. Expense'!E2</f>
        <v>987257.98</v>
      </c>
      <c r="E10" s="80">
        <f>'5. Expense'!H8</f>
        <v>10641.5</v>
      </c>
      <c r="F10" s="175" t="s">
        <v>199</v>
      </c>
      <c r="G10" s="176">
        <f>'5. Expense'!H9+'5. Expense'!H10</f>
        <v>223.11</v>
      </c>
      <c r="H10" s="175" t="s">
        <v>199</v>
      </c>
      <c r="I10" s="175" t="s">
        <v>199</v>
      </c>
      <c r="J10" s="175" t="s">
        <v>199</v>
      </c>
      <c r="K10" s="7">
        <f>'5. Expense'!H12+'5. Expense'!H13</f>
        <v>0</v>
      </c>
      <c r="L10" s="7">
        <f>'5. Expense'!H15+'5. Expense'!H16</f>
        <v>30</v>
      </c>
      <c r="M10" s="80">
        <f>'5. Expense'!H17</f>
        <v>13</v>
      </c>
      <c r="N10" s="80">
        <f>'5. Expense'!H23</f>
        <v>14</v>
      </c>
      <c r="O10" s="80">
        <f>D10+E10+G10+K10-L10-M10-N10</f>
        <v>998065.59</v>
      </c>
      <c r="Q10" s="80">
        <f>'5. Expense'!G24</f>
        <v>998065.59</v>
      </c>
      <c r="R10" s="2">
        <f t="shared" si="0"/>
        <v>0</v>
      </c>
    </row>
    <row r="11" spans="2:18">
      <c r="B11" s="174" t="s">
        <v>191</v>
      </c>
      <c r="C11" s="96">
        <v>390137101</v>
      </c>
      <c r="D11" s="80">
        <f>'6. Q-CASH Commission'!E2</f>
        <v>1375.32</v>
      </c>
      <c r="E11" s="80">
        <f>'6. Q-CASH Commission'!H7</f>
        <v>5494.61</v>
      </c>
      <c r="F11" s="175" t="s">
        <v>199</v>
      </c>
      <c r="G11" s="176">
        <f>'6. Q-CASH Commission'!H11</f>
        <v>1525.11</v>
      </c>
      <c r="H11" s="175" t="s">
        <v>199</v>
      </c>
      <c r="I11" s="175" t="s">
        <v>199</v>
      </c>
      <c r="J11" s="175" t="s">
        <v>199</v>
      </c>
      <c r="K11" s="7">
        <f>'6. Q-CASH Commission'!H14</f>
        <v>0</v>
      </c>
      <c r="L11" s="7">
        <f>'6. Q-CASH Commission'!H15</f>
        <v>10</v>
      </c>
      <c r="M11" s="80">
        <f>'6. Q-CASH Commission'!H16</f>
        <v>2</v>
      </c>
      <c r="N11" s="80">
        <f>'6. Q-CASH Commission'!H17</f>
        <v>-14</v>
      </c>
      <c r="O11" s="80">
        <f>D11+E11-G11+K11-L11+M11+N11</f>
        <v>5322.82</v>
      </c>
      <c r="Q11" s="80">
        <f>'6. Q-CASH Commission'!G17</f>
        <v>5322.82</v>
      </c>
      <c r="R11" s="2">
        <f t="shared" si="0"/>
        <v>0</v>
      </c>
    </row>
    <row r="12" spans="2:18">
      <c r="B12" s="174" t="s">
        <v>11</v>
      </c>
      <c r="C12" s="96">
        <v>390136110</v>
      </c>
      <c r="D12" s="80">
        <f>'7. VAT'!E2</f>
        <v>10648.5</v>
      </c>
      <c r="E12" s="80">
        <f>'7. VAT'!H3</f>
        <v>1170</v>
      </c>
      <c r="F12" s="175" t="s">
        <v>199</v>
      </c>
      <c r="G12" s="175" t="s">
        <v>199</v>
      </c>
      <c r="H12" s="175" t="s">
        <v>199</v>
      </c>
      <c r="I12" s="175" t="s">
        <v>199</v>
      </c>
      <c r="J12" s="7">
        <f>'7. VAT'!H9</f>
        <v>0</v>
      </c>
      <c r="K12" s="7">
        <f>'7. VAT'!H6</f>
        <v>0</v>
      </c>
      <c r="L12" s="7">
        <f>'7. VAT'!H7</f>
        <v>0</v>
      </c>
      <c r="M12" s="80">
        <f>'7. VAT'!H8</f>
        <v>0</v>
      </c>
      <c r="N12" s="80">
        <f>'7. VAT'!H10</f>
        <v>0</v>
      </c>
      <c r="O12" s="80">
        <f>D12+E12-J12+K12-L12-M12+N12</f>
        <v>11818.5</v>
      </c>
      <c r="Q12" s="80">
        <f>'7. VAT'!F10</f>
        <v>11818.5</v>
      </c>
      <c r="R12" s="2">
        <f t="shared" si="0"/>
        <v>0</v>
      </c>
    </row>
    <row r="19" spans="2:14">
      <c r="B19" s="109" t="s">
        <v>121</v>
      </c>
      <c r="C19" s="382" t="s">
        <v>118</v>
      </c>
      <c r="D19" s="382"/>
      <c r="E19" s="382"/>
      <c r="F19" s="303" t="s">
        <v>119</v>
      </c>
      <c r="G19" s="303"/>
      <c r="H19" s="303" t="s">
        <v>119</v>
      </c>
      <c r="I19" s="303"/>
      <c r="J19" s="303" t="s">
        <v>120</v>
      </c>
      <c r="K19" s="303"/>
      <c r="M19" s="109" t="s">
        <v>121</v>
      </c>
    </row>
    <row r="20" spans="2:14">
      <c r="B20" s="171" t="s">
        <v>198</v>
      </c>
      <c r="C20" s="339" t="s">
        <v>200</v>
      </c>
      <c r="D20" s="339"/>
      <c r="E20" s="339"/>
      <c r="F20" s="338" t="s">
        <v>124</v>
      </c>
      <c r="G20" s="338"/>
      <c r="H20" s="338" t="s">
        <v>124</v>
      </c>
      <c r="I20" s="338"/>
      <c r="J20" s="338" t="s">
        <v>125</v>
      </c>
      <c r="K20" s="339"/>
      <c r="L20" s="3"/>
      <c r="M20" s="171" t="s">
        <v>125</v>
      </c>
      <c r="N20" s="3"/>
    </row>
    <row r="21" spans="2:14">
      <c r="B21" s="3"/>
      <c r="C21" s="3"/>
      <c r="D21" s="3"/>
      <c r="E21" s="3"/>
      <c r="F21" s="3"/>
      <c r="G21" s="3"/>
      <c r="H21" s="3"/>
      <c r="I21" s="3"/>
      <c r="J21" s="381" t="s">
        <v>201</v>
      </c>
      <c r="K21" s="381"/>
      <c r="L21" s="3"/>
      <c r="M21" s="171" t="s">
        <v>126</v>
      </c>
      <c r="N21" s="3"/>
    </row>
  </sheetData>
  <sheetProtection formatColumns="0" formatRows="0" insertColumns="0" insertRows="0" deleteColumns="0"/>
  <mergeCells count="12">
    <mergeCell ref="E1:J1"/>
    <mergeCell ref="E2:J2"/>
    <mergeCell ref="E3:J3"/>
    <mergeCell ref="J21:K21"/>
    <mergeCell ref="C19:E19"/>
    <mergeCell ref="C20:E20"/>
    <mergeCell ref="H19:I19"/>
    <mergeCell ref="H20:I20"/>
    <mergeCell ref="F19:G19"/>
    <mergeCell ref="F20:G20"/>
    <mergeCell ref="J20:K20"/>
    <mergeCell ref="J19:K19"/>
  </mergeCells>
  <pageMargins left="0.25" right="0.25" top="0.75" bottom="0.75" header="0.3" footer="0.3"/>
  <pageSetup paperSize="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32"/>
  <sheetViews>
    <sheetView topLeftCell="A31" workbookViewId="0">
      <selection activeCell="D45" sqref="D45"/>
    </sheetView>
  </sheetViews>
  <sheetFormatPr defaultRowHeight="15"/>
  <cols>
    <col min="1" max="1" width="33.42578125" style="127" customWidth="1"/>
    <col min="2" max="2" width="10.5703125" style="127" customWidth="1"/>
    <col min="3" max="3" width="13.42578125" style="127" customWidth="1"/>
    <col min="4" max="4" width="38.42578125" style="127" customWidth="1"/>
    <col min="5" max="5" width="9.140625" style="127" hidden="1" customWidth="1"/>
    <col min="6" max="16384" width="9.140625" style="127"/>
  </cols>
  <sheetData>
    <row r="1" spans="1:4">
      <c r="A1" s="338" t="s">
        <v>163</v>
      </c>
      <c r="B1" s="339"/>
      <c r="C1" s="339"/>
      <c r="D1" s="339"/>
    </row>
    <row r="2" spans="1:4">
      <c r="A2" s="338" t="s">
        <v>164</v>
      </c>
      <c r="B2" s="339"/>
      <c r="C2" s="339"/>
      <c r="D2" s="339"/>
    </row>
    <row r="3" spans="1:4">
      <c r="A3" s="342" t="s">
        <v>165</v>
      </c>
      <c r="B3" s="339"/>
      <c r="C3" s="339"/>
      <c r="D3" s="339"/>
    </row>
    <row r="4" spans="1:4">
      <c r="A4" s="146"/>
      <c r="B4" s="340" t="str">
        <f>'[2]TOP SHEET'!E4</f>
        <v>26.09.2019</v>
      </c>
      <c r="C4" s="341"/>
      <c r="D4" s="146"/>
    </row>
    <row r="5" spans="1:4" ht="15.75" thickBot="1">
      <c r="A5" s="146"/>
      <c r="B5" s="280"/>
      <c r="C5" s="281"/>
      <c r="D5" s="146"/>
    </row>
    <row r="6" spans="1:4" ht="15.75" thickBot="1">
      <c r="A6" s="279" t="s">
        <v>156</v>
      </c>
      <c r="B6" s="129"/>
      <c r="C6" s="129"/>
      <c r="D6" s="130"/>
    </row>
    <row r="7" spans="1:4" ht="15.75" thickBot="1">
      <c r="A7" s="327" t="s">
        <v>168</v>
      </c>
      <c r="B7" s="328"/>
      <c r="C7" s="328"/>
      <c r="D7" s="164" t="str">
        <f>'TOP SHEET'!B6 &amp; 'TOP SHEET'!C6&amp;'TOP SHEET'!D6</f>
        <v xml:space="preserve">  31.10.2019TO  02.11.2019</v>
      </c>
    </row>
    <row r="8" spans="1:4" ht="15.75" thickBot="1">
      <c r="A8" s="123" t="s">
        <v>129</v>
      </c>
      <c r="B8" s="124" t="s">
        <v>130</v>
      </c>
      <c r="C8" s="124" t="s">
        <v>4</v>
      </c>
      <c r="D8" s="124" t="s">
        <v>131</v>
      </c>
    </row>
    <row r="9" spans="1:4" ht="25.5">
      <c r="A9" s="125" t="s">
        <v>169</v>
      </c>
      <c r="B9" s="324" t="s">
        <v>28</v>
      </c>
      <c r="C9" s="326">
        <f>'TOP SHEET'!H10</f>
        <v>0</v>
      </c>
      <c r="D9" s="153" t="s">
        <v>170</v>
      </c>
    </row>
    <row r="10" spans="1:4" ht="15.75" thickBot="1">
      <c r="A10" s="126" t="s">
        <v>171</v>
      </c>
      <c r="B10" s="325"/>
      <c r="C10" s="325"/>
      <c r="D10" s="154" t="str">
        <f>D7</f>
        <v xml:space="preserve">  31.10.2019TO  02.11.2019</v>
      </c>
    </row>
    <row r="11" spans="1:4" ht="25.5">
      <c r="A11" s="125" t="s">
        <v>134</v>
      </c>
      <c r="B11" s="324" t="s">
        <v>21</v>
      </c>
      <c r="C11" s="326">
        <f>C9</f>
        <v>0</v>
      </c>
      <c r="D11" s="153" t="s">
        <v>170</v>
      </c>
    </row>
    <row r="12" spans="1:4" ht="15.75" thickBot="1">
      <c r="A12" s="126" t="s">
        <v>135</v>
      </c>
      <c r="B12" s="325"/>
      <c r="C12" s="325"/>
      <c r="D12" s="154" t="str">
        <f>D10</f>
        <v xml:space="preserve">  31.10.2019TO  02.11.2019</v>
      </c>
    </row>
    <row r="13" spans="1:4" ht="27.75">
      <c r="A13" s="125" t="s">
        <v>139</v>
      </c>
      <c r="B13" s="324" t="s">
        <v>28</v>
      </c>
      <c r="C13" s="326">
        <f>'TOP SHEET'!J10</f>
        <v>0</v>
      </c>
      <c r="D13" s="153" t="s">
        <v>172</v>
      </c>
    </row>
    <row r="14" spans="1:4" ht="15.75" thickBot="1">
      <c r="A14" s="126" t="s">
        <v>140</v>
      </c>
      <c r="B14" s="325"/>
      <c r="C14" s="325"/>
      <c r="D14" s="154" t="str">
        <f>D10</f>
        <v xml:space="preserve">  31.10.2019TO  02.11.2019</v>
      </c>
    </row>
    <row r="15" spans="1:4" ht="27.75">
      <c r="A15" s="125" t="s">
        <v>141</v>
      </c>
      <c r="B15" s="324" t="s">
        <v>21</v>
      </c>
      <c r="C15" s="326">
        <f>C13</f>
        <v>0</v>
      </c>
      <c r="D15" s="153" t="s">
        <v>172</v>
      </c>
    </row>
    <row r="16" spans="1:4" ht="15.75" thickBot="1">
      <c r="A16" s="126" t="s">
        <v>137</v>
      </c>
      <c r="B16" s="325"/>
      <c r="C16" s="325"/>
      <c r="D16" s="154" t="str">
        <f>D10</f>
        <v xml:space="preserve">  31.10.2019TO  02.11.2019</v>
      </c>
    </row>
    <row r="17" spans="1:12" ht="15.75" thickBot="1">
      <c r="A17" s="169"/>
      <c r="B17" s="170"/>
      <c r="C17" s="170"/>
      <c r="D17" s="155"/>
      <c r="J17" s="180"/>
    </row>
    <row r="18" spans="1:12" ht="15.75" thickBot="1">
      <c r="A18" s="279" t="s">
        <v>177</v>
      </c>
      <c r="B18" s="129"/>
      <c r="C18" s="129"/>
      <c r="D18" s="130"/>
      <c r="I18" s="358" t="s">
        <v>207</v>
      </c>
      <c r="J18" s="359"/>
      <c r="K18" s="360"/>
    </row>
    <row r="19" spans="1:12" ht="31.5" customHeight="1" thickBot="1">
      <c r="A19" s="343" t="s">
        <v>157</v>
      </c>
      <c r="B19" s="344"/>
      <c r="C19" s="344"/>
      <c r="D19" s="164" t="str">
        <f>D7</f>
        <v xml:space="preserve">  31.10.2019TO  02.11.2019</v>
      </c>
      <c r="G19" s="361" t="s">
        <v>208</v>
      </c>
      <c r="H19" s="362"/>
      <c r="I19" s="362"/>
      <c r="J19" s="362"/>
      <c r="K19" s="362"/>
      <c r="L19" s="363"/>
    </row>
    <row r="20" spans="1:12" ht="21" customHeight="1" thickBot="1">
      <c r="A20" s="131" t="s">
        <v>129</v>
      </c>
      <c r="B20" s="132" t="s">
        <v>130</v>
      </c>
      <c r="C20" s="132" t="s">
        <v>4</v>
      </c>
      <c r="D20" s="132" t="s">
        <v>131</v>
      </c>
      <c r="G20" s="349" t="str">
        <f>'[2]2. Qcash Shadow'!A23</f>
        <v>REMOTE ON US QCASH TRNX.
MOBILE BILL PAY; NOT IN CBS BUT IN CMS
NO OF TRNX-8; TK.80/-</v>
      </c>
      <c r="H20" s="366"/>
      <c r="I20" s="366"/>
      <c r="J20" s="367"/>
      <c r="K20" s="184">
        <f>'[2]2. Qcash Shadow'!C23</f>
        <v>80</v>
      </c>
      <c r="L20" s="183">
        <f>'[2]2. Qcash Shadow'!D23</f>
        <v>0</v>
      </c>
    </row>
    <row r="21" spans="1:12" ht="15" customHeight="1">
      <c r="A21" s="133" t="s">
        <v>132</v>
      </c>
      <c r="B21" s="276" t="s">
        <v>28</v>
      </c>
      <c r="C21" s="278">
        <f>'TOP SHEET'!H17+'TOP SHEET'!H18</f>
        <v>3654.2799999999997</v>
      </c>
      <c r="D21" s="320" t="str">
        <f>E22&amp;'[2]TOP SHEET'!B6 &amp; '[2]TOP SHEET'!C6 &amp;'[2]TOP SHEET'!D6</f>
        <v>Manual Adjustment of ISSUER Commission for NPSB POS transactions on date-  25.09.2019TO  25.09.2019</v>
      </c>
      <c r="G21" s="368"/>
      <c r="H21" s="369"/>
      <c r="I21" s="369"/>
      <c r="J21" s="370"/>
    </row>
    <row r="22" spans="1:12" ht="21" customHeight="1" thickBot="1">
      <c r="A22" s="135" t="s">
        <v>133</v>
      </c>
      <c r="B22" s="277"/>
      <c r="C22" s="165"/>
      <c r="D22" s="321"/>
      <c r="E22" s="127" t="s">
        <v>167</v>
      </c>
      <c r="G22" s="368"/>
      <c r="H22" s="369"/>
      <c r="I22" s="369"/>
      <c r="J22" s="370"/>
    </row>
    <row r="23" spans="1:12" ht="15" customHeight="1">
      <c r="A23" s="133" t="s">
        <v>134</v>
      </c>
      <c r="B23" s="276" t="s">
        <v>21</v>
      </c>
      <c r="C23" s="278">
        <f>'TOP SHEET'!H17+'TOP SHEET'!H18</f>
        <v>3654.2799999999997</v>
      </c>
      <c r="D23" s="320" t="str">
        <f>D21</f>
        <v>Manual Adjustment of ISSUER Commission for NPSB POS transactions on date-  25.09.2019TO  25.09.2019</v>
      </c>
      <c r="G23" s="371"/>
      <c r="H23" s="372"/>
      <c r="I23" s="372"/>
      <c r="J23" s="373"/>
    </row>
    <row r="24" spans="1:12" ht="22.5" customHeight="1" thickBot="1">
      <c r="A24" s="135" t="s">
        <v>135</v>
      </c>
      <c r="B24" s="277"/>
      <c r="C24" s="165"/>
      <c r="D24" s="321"/>
      <c r="G24" s="374"/>
      <c r="H24" s="375"/>
      <c r="I24" s="375"/>
      <c r="J24" s="376"/>
    </row>
    <row r="25" spans="1:12" ht="17.25" customHeight="1">
      <c r="A25" s="136" t="s">
        <v>139</v>
      </c>
      <c r="B25" s="316" t="s">
        <v>28</v>
      </c>
      <c r="C25" s="347">
        <f>'TOP SHEET'!J17+'TOP SHEET'!J18</f>
        <v>1827.21</v>
      </c>
      <c r="D25" s="320" t="str">
        <f>E26&amp;'[2]TOP SHEET'!B6 &amp; '[2]TOP SHEET'!C6 &amp; '[2]TOP SHEET'!D6</f>
        <v>Manual Adjustment of ITCL Commission for NPSB POS transactions on date-  25.09.2019TO  25.09.2019</v>
      </c>
      <c r="G25" s="377"/>
      <c r="H25" s="378"/>
      <c r="I25" s="378"/>
      <c r="J25" s="379"/>
    </row>
    <row r="26" spans="1:12" ht="18.75" customHeight="1" thickBot="1">
      <c r="A26" s="143" t="s">
        <v>140</v>
      </c>
      <c r="B26" s="317"/>
      <c r="C26" s="348"/>
      <c r="D26" s="321"/>
      <c r="E26" s="127" t="s">
        <v>154</v>
      </c>
    </row>
    <row r="27" spans="1:12" ht="17.25" customHeight="1">
      <c r="A27" s="133" t="s">
        <v>141</v>
      </c>
      <c r="B27" s="316" t="s">
        <v>21</v>
      </c>
      <c r="C27" s="347">
        <f>'TOP SHEET'!J17+'TOP SHEET'!J18</f>
        <v>1827.21</v>
      </c>
      <c r="D27" s="320" t="str">
        <f>D25</f>
        <v>Manual Adjustment of ITCL Commission for NPSB POS transactions on date-  25.09.2019TO  25.09.2019</v>
      </c>
    </row>
    <row r="28" spans="1:12" ht="19.5" customHeight="1" thickBot="1">
      <c r="A28" s="135" t="s">
        <v>137</v>
      </c>
      <c r="B28" s="317"/>
      <c r="C28" s="348"/>
      <c r="D28" s="321"/>
      <c r="G28" s="361" t="s">
        <v>204</v>
      </c>
      <c r="H28" s="364"/>
      <c r="I28" s="364"/>
      <c r="J28" s="364"/>
      <c r="K28" s="364"/>
      <c r="L28" s="365"/>
    </row>
    <row r="29" spans="1:12" ht="17.25" customHeight="1" thickBot="1">
      <c r="A29" s="146"/>
      <c r="B29" s="280"/>
      <c r="C29" s="281"/>
      <c r="D29" s="146"/>
      <c r="G29" s="349" t="str">
        <f>'[2]3. NPSB Shadow'!A22</f>
        <v>REMOTE ONUS  NPSB TRNX.
NOT IN CMS BUT IN CBS
1. A/C-2055010008029; TK.10020/-</v>
      </c>
      <c r="H29" s="350"/>
      <c r="I29" s="350"/>
      <c r="J29" s="351"/>
      <c r="K29" s="176">
        <f>'[2]3. NPSB Shadow'!D22</f>
        <v>10020</v>
      </c>
    </row>
    <row r="30" spans="1:12" ht="15.75" thickBot="1">
      <c r="A30" s="279" t="s">
        <v>158</v>
      </c>
      <c r="B30" s="129"/>
      <c r="C30" s="129"/>
      <c r="D30" s="130"/>
      <c r="G30" s="352"/>
      <c r="H30" s="353"/>
      <c r="I30" s="353"/>
      <c r="J30" s="354"/>
    </row>
    <row r="31" spans="1:12" ht="15.75" thickBot="1">
      <c r="A31" s="345" t="s">
        <v>155</v>
      </c>
      <c r="B31" s="346"/>
      <c r="C31" s="346"/>
      <c r="D31" s="140" t="str">
        <f>D19</f>
        <v xml:space="preserve">  31.10.2019TO  02.11.2019</v>
      </c>
      <c r="G31" s="352"/>
      <c r="H31" s="353"/>
      <c r="I31" s="353"/>
      <c r="J31" s="354"/>
    </row>
    <row r="32" spans="1:12" ht="15.75" thickBot="1">
      <c r="A32" s="276" t="s">
        <v>129</v>
      </c>
      <c r="B32" s="141" t="s">
        <v>130</v>
      </c>
      <c r="C32" s="141" t="s">
        <v>4</v>
      </c>
      <c r="D32" s="141" t="s">
        <v>131</v>
      </c>
      <c r="G32" s="352"/>
      <c r="H32" s="353"/>
      <c r="I32" s="353"/>
      <c r="J32" s="354"/>
    </row>
    <row r="33" spans="1:10" ht="30">
      <c r="A33" s="136" t="s">
        <v>136</v>
      </c>
      <c r="B33" s="316" t="s">
        <v>28</v>
      </c>
      <c r="C33" s="151">
        <f>'TOP SHEET'!J28</f>
        <v>7098.71</v>
      </c>
      <c r="D33" s="329" t="str">
        <f>A31 &amp; D31</f>
        <v>Manual adjustment of ITCL commission on Date-  31.10.2019TO  02.11.2019</v>
      </c>
      <c r="G33" s="352"/>
      <c r="H33" s="353"/>
      <c r="I33" s="353"/>
      <c r="J33" s="354"/>
    </row>
    <row r="34" spans="1:10" ht="15.75" thickBot="1">
      <c r="A34" s="150" t="s">
        <v>137</v>
      </c>
      <c r="B34" s="317"/>
      <c r="C34" s="150"/>
      <c r="D34" s="330"/>
      <c r="G34" s="355"/>
      <c r="H34" s="356"/>
      <c r="I34" s="356"/>
      <c r="J34" s="357"/>
    </row>
    <row r="35" spans="1:10" ht="30.75" thickBot="1">
      <c r="A35" s="147" t="s">
        <v>138</v>
      </c>
      <c r="B35" s="131" t="s">
        <v>21</v>
      </c>
      <c r="C35" s="148">
        <f>C33</f>
        <v>7098.71</v>
      </c>
      <c r="D35" s="149" t="str">
        <f>D33</f>
        <v>Manual adjustment of ITCL commission on Date-  31.10.2019TO  02.11.2019</v>
      </c>
    </row>
    <row r="36" spans="1:10">
      <c r="A36" s="137"/>
      <c r="B36" s="138"/>
      <c r="C36" s="163"/>
      <c r="D36" s="139"/>
    </row>
    <row r="37" spans="1:10" ht="15.75" thickBot="1"/>
    <row r="38" spans="1:10" ht="15.75" thickBot="1">
      <c r="A38" s="282" t="s">
        <v>159</v>
      </c>
      <c r="B38" s="129"/>
      <c r="C38" s="129"/>
      <c r="D38" s="140" t="str">
        <f>D31</f>
        <v xml:space="preserve">  31.10.2019TO  02.11.2019</v>
      </c>
    </row>
    <row r="39" spans="1:10" ht="15.75" thickBot="1">
      <c r="A39" s="322" t="s">
        <v>160</v>
      </c>
      <c r="B39" s="323"/>
      <c r="C39" s="323"/>
      <c r="D39" s="144" t="str">
        <f>D8</f>
        <v>Particular</v>
      </c>
    </row>
    <row r="40" spans="1:10" ht="15.75" thickBot="1">
      <c r="A40" s="131" t="s">
        <v>129</v>
      </c>
      <c r="B40" s="132" t="s">
        <v>130</v>
      </c>
      <c r="C40" s="132" t="s">
        <v>4</v>
      </c>
      <c r="D40" s="132" t="s">
        <v>131</v>
      </c>
    </row>
    <row r="41" spans="1:10">
      <c r="A41" s="145" t="s">
        <v>277</v>
      </c>
      <c r="B41" s="316" t="s">
        <v>28</v>
      </c>
      <c r="C41" s="318">
        <v>40</v>
      </c>
      <c r="D41" s="320" t="s">
        <v>278</v>
      </c>
    </row>
    <row r="42" spans="1:10" ht="15.75" thickBot="1">
      <c r="A42" s="135" t="s">
        <v>276</v>
      </c>
      <c r="B42" s="317"/>
      <c r="C42" s="319"/>
      <c r="D42" s="321"/>
    </row>
    <row r="43" spans="1:10">
      <c r="A43" s="133" t="s">
        <v>143</v>
      </c>
      <c r="B43" s="316" t="s">
        <v>21</v>
      </c>
      <c r="C43" s="318">
        <f>C41</f>
        <v>40</v>
      </c>
      <c r="D43" s="320" t="str">
        <f>D41</f>
        <v>Manual adjustment of Mobile Bill Pay (On Us) on Date-25.09.2019 to 28.09.2019</v>
      </c>
    </row>
    <row r="44" spans="1:10" ht="15.75" thickBot="1">
      <c r="A44" s="135" t="s">
        <v>144</v>
      </c>
      <c r="B44" s="317"/>
      <c r="C44" s="319"/>
      <c r="D44" s="321"/>
    </row>
    <row r="92" spans="1:4" ht="15.75" thickBot="1"/>
    <row r="93" spans="1:4" ht="15.75" thickBot="1">
      <c r="A93" s="279" t="s">
        <v>159</v>
      </c>
      <c r="B93" s="129"/>
      <c r="C93" s="129"/>
      <c r="D93" s="130"/>
    </row>
    <row r="94" spans="1:4" ht="15.75" thickBot="1">
      <c r="A94" s="322" t="s">
        <v>160</v>
      </c>
      <c r="B94" s="323"/>
      <c r="C94" s="323"/>
      <c r="D94" s="144" t="str">
        <f>D19</f>
        <v xml:space="preserve">  31.10.2019TO  02.11.2019</v>
      </c>
    </row>
    <row r="95" spans="1:4" ht="15.75" thickBot="1">
      <c r="A95" s="131" t="s">
        <v>129</v>
      </c>
      <c r="B95" s="132" t="s">
        <v>130</v>
      </c>
      <c r="C95" s="132" t="s">
        <v>4</v>
      </c>
      <c r="D95" s="132" t="s">
        <v>131</v>
      </c>
    </row>
    <row r="96" spans="1:4">
      <c r="A96" s="145" t="s">
        <v>173</v>
      </c>
      <c r="B96" s="316" t="s">
        <v>28</v>
      </c>
      <c r="C96" s="318">
        <v>79</v>
      </c>
      <c r="D96" s="320" t="str">
        <f>A94&amp;D94</f>
        <v>Manual adjustment of Mobile Bill Pay (On Us) on Date-  31.10.2019TO  02.11.2019</v>
      </c>
    </row>
    <row r="97" spans="1:4" ht="15.75" thickBot="1">
      <c r="A97" s="135" t="s">
        <v>142</v>
      </c>
      <c r="B97" s="317"/>
      <c r="C97" s="319"/>
      <c r="D97" s="321"/>
    </row>
    <row r="98" spans="1:4">
      <c r="A98" s="133" t="s">
        <v>143</v>
      </c>
      <c r="B98" s="316" t="s">
        <v>21</v>
      </c>
      <c r="C98" s="318">
        <v>79</v>
      </c>
      <c r="D98" s="320" t="str">
        <f>D96</f>
        <v>Manual adjustment of Mobile Bill Pay (On Us) on Date-  31.10.2019TO  02.11.2019</v>
      </c>
    </row>
    <row r="99" spans="1:4" ht="15.75" thickBot="1">
      <c r="A99" s="135" t="s">
        <v>144</v>
      </c>
      <c r="B99" s="317"/>
      <c r="C99" s="319"/>
      <c r="D99" s="321"/>
    </row>
    <row r="100" spans="1:4" ht="15.75" thickBot="1"/>
    <row r="101" spans="1:4" ht="15.75" thickBot="1">
      <c r="A101" s="279" t="s">
        <v>162</v>
      </c>
      <c r="B101" s="129"/>
      <c r="C101" s="129"/>
      <c r="D101" s="130"/>
    </row>
    <row r="102" spans="1:4" ht="15.75" thickBot="1">
      <c r="A102" s="345" t="s">
        <v>161</v>
      </c>
      <c r="B102" s="346"/>
      <c r="C102" s="346"/>
      <c r="D102" s="140" t="str">
        <f>D19</f>
        <v xml:space="preserve">  31.10.2019TO  02.11.2019</v>
      </c>
    </row>
    <row r="103" spans="1:4" ht="15.75" thickBot="1">
      <c r="A103" s="131" t="s">
        <v>129</v>
      </c>
      <c r="B103" s="132" t="s">
        <v>130</v>
      </c>
      <c r="C103" s="132" t="s">
        <v>4</v>
      </c>
      <c r="D103" s="132" t="s">
        <v>131</v>
      </c>
    </row>
    <row r="104" spans="1:4">
      <c r="A104" s="133" t="s">
        <v>143</v>
      </c>
      <c r="B104" s="316" t="s">
        <v>28</v>
      </c>
      <c r="C104" s="347">
        <v>0</v>
      </c>
      <c r="D104" s="329" t="str">
        <f>A102&amp;D102</f>
        <v>Manual adjustment of OFF US Qcash VISA on Date -  31.10.2019TO  02.11.2019</v>
      </c>
    </row>
    <row r="105" spans="1:4" ht="15.75" thickBot="1">
      <c r="A105" s="135" t="s">
        <v>144</v>
      </c>
      <c r="B105" s="317"/>
      <c r="C105" s="348"/>
      <c r="D105" s="330"/>
    </row>
    <row r="106" spans="1:4">
      <c r="A106" s="142" t="s">
        <v>146</v>
      </c>
      <c r="B106" s="316" t="s">
        <v>21</v>
      </c>
      <c r="C106" s="347">
        <v>0</v>
      </c>
      <c r="D106" s="329" t="str">
        <f>D104</f>
        <v>Manual adjustment of OFF US Qcash VISA on Date -  31.10.2019TO  02.11.2019</v>
      </c>
    </row>
    <row r="107" spans="1:4" ht="15.75" thickBot="1">
      <c r="A107" s="143" t="s">
        <v>145</v>
      </c>
      <c r="B107" s="317"/>
      <c r="C107" s="348"/>
      <c r="D107" s="330"/>
    </row>
    <row r="108" spans="1:4">
      <c r="A108" s="133" t="s">
        <v>134</v>
      </c>
      <c r="B108" s="316" t="s">
        <v>21</v>
      </c>
      <c r="C108" s="347">
        <v>0</v>
      </c>
      <c r="D108" s="329" t="str">
        <f>D106</f>
        <v>Manual adjustment of OFF US Qcash VISA on Date -  31.10.2019TO  02.11.2019</v>
      </c>
    </row>
    <row r="109" spans="1:4" ht="15.75" thickBot="1">
      <c r="A109" s="135" t="s">
        <v>135</v>
      </c>
      <c r="B109" s="317"/>
      <c r="C109" s="348"/>
      <c r="D109" s="330"/>
    </row>
    <row r="111" spans="1:4" ht="15.75" thickBot="1"/>
    <row r="112" spans="1:4" ht="15.75" thickBot="1">
      <c r="A112" s="279" t="s">
        <v>158</v>
      </c>
      <c r="B112" s="129"/>
      <c r="C112" s="129"/>
      <c r="D112" s="130"/>
    </row>
    <row r="113" spans="1:4" ht="15.75" thickBot="1">
      <c r="A113" s="333" t="s">
        <v>166</v>
      </c>
      <c r="B113" s="334"/>
      <c r="C113" s="335"/>
      <c r="D113" s="152" t="str">
        <f>D19</f>
        <v xml:space="preserve">  31.10.2019TO  02.11.2019</v>
      </c>
    </row>
    <row r="114" spans="1:4" ht="15.75" thickBot="1">
      <c r="A114" s="123" t="s">
        <v>129</v>
      </c>
      <c r="B114" s="124" t="s">
        <v>130</v>
      </c>
      <c r="C114" s="124" t="s">
        <v>4</v>
      </c>
      <c r="D114" s="124" t="s">
        <v>131</v>
      </c>
    </row>
    <row r="115" spans="1:4">
      <c r="A115" s="125" t="s">
        <v>139</v>
      </c>
      <c r="B115" s="324" t="s">
        <v>28</v>
      </c>
      <c r="C115" s="336">
        <v>60</v>
      </c>
      <c r="D115" s="331" t="e">
        <f>#REF!&amp;D19</f>
        <v>#REF!</v>
      </c>
    </row>
    <row r="116" spans="1:4" ht="15.75" thickBot="1">
      <c r="A116" s="126" t="s">
        <v>140</v>
      </c>
      <c r="B116" s="325"/>
      <c r="C116" s="337"/>
      <c r="D116" s="332"/>
    </row>
    <row r="117" spans="1:4">
      <c r="A117" s="125" t="s">
        <v>143</v>
      </c>
      <c r="B117" s="324" t="s">
        <v>21</v>
      </c>
      <c r="C117" s="336">
        <v>60</v>
      </c>
      <c r="D117" s="331" t="e">
        <f>D115</f>
        <v>#REF!</v>
      </c>
    </row>
    <row r="118" spans="1:4" ht="15.75" thickBot="1">
      <c r="A118" s="126" t="s">
        <v>144</v>
      </c>
      <c r="B118" s="325"/>
      <c r="C118" s="337"/>
      <c r="D118" s="332"/>
    </row>
    <row r="121" spans="1:4" ht="15.75" thickBot="1"/>
    <row r="122" spans="1:4" ht="15.75" thickBot="1">
      <c r="A122" s="279" t="s">
        <v>156</v>
      </c>
      <c r="B122" s="129"/>
      <c r="C122" s="129"/>
      <c r="D122" s="130"/>
    </row>
    <row r="123" spans="1:4" ht="15.75" thickBot="1">
      <c r="A123" s="327" t="s">
        <v>168</v>
      </c>
      <c r="B123" s="328"/>
      <c r="C123" s="328"/>
      <c r="D123" s="156">
        <f>D70</f>
        <v>0</v>
      </c>
    </row>
    <row r="124" spans="1:4" ht="15.75" thickBot="1">
      <c r="A124" s="123" t="s">
        <v>129</v>
      </c>
      <c r="B124" s="124" t="s">
        <v>130</v>
      </c>
      <c r="C124" s="124" t="s">
        <v>4</v>
      </c>
      <c r="D124" s="124" t="s">
        <v>131</v>
      </c>
    </row>
    <row r="125" spans="1:4" ht="25.5">
      <c r="A125" s="125" t="s">
        <v>169</v>
      </c>
      <c r="B125" s="324" t="s">
        <v>28</v>
      </c>
      <c r="C125" s="326" t="e">
        <f>'[1]TOP SHEET'!F155+'[1]TOP SHEET'!F156</f>
        <v>#REF!</v>
      </c>
      <c r="D125" s="153" t="s">
        <v>170</v>
      </c>
    </row>
    <row r="126" spans="1:4" ht="15.75" thickBot="1">
      <c r="A126" s="126" t="s">
        <v>171</v>
      </c>
      <c r="B126" s="325"/>
      <c r="C126" s="325"/>
      <c r="D126" s="154">
        <f>D123</f>
        <v>0</v>
      </c>
    </row>
    <row r="127" spans="1:4" ht="25.5">
      <c r="A127" s="125" t="s">
        <v>134</v>
      </c>
      <c r="B127" s="324" t="s">
        <v>21</v>
      </c>
      <c r="C127" s="326" t="e">
        <f>'[1]TOP SHEET'!F155+'[1]TOP SHEET'!F156</f>
        <v>#REF!</v>
      </c>
      <c r="D127" s="153" t="s">
        <v>170</v>
      </c>
    </row>
    <row r="128" spans="1:4" ht="15.75" thickBot="1">
      <c r="A128" s="126" t="s">
        <v>135</v>
      </c>
      <c r="B128" s="325"/>
      <c r="C128" s="325"/>
      <c r="D128" s="154">
        <f>D126</f>
        <v>0</v>
      </c>
    </row>
    <row r="129" spans="1:4" ht="27.75">
      <c r="A129" s="125" t="s">
        <v>139</v>
      </c>
      <c r="B129" s="324" t="s">
        <v>28</v>
      </c>
      <c r="C129" s="326" t="e">
        <f>'[1]TOP SHEET'!H155+'[1]TOP SHEET'!H156</f>
        <v>#REF!</v>
      </c>
      <c r="D129" s="153" t="s">
        <v>172</v>
      </c>
    </row>
    <row r="130" spans="1:4" ht="15.75" thickBot="1">
      <c r="A130" s="126" t="s">
        <v>140</v>
      </c>
      <c r="B130" s="325"/>
      <c r="C130" s="325"/>
      <c r="D130" s="154">
        <f>D126</f>
        <v>0</v>
      </c>
    </row>
    <row r="131" spans="1:4" ht="27.75">
      <c r="A131" s="125" t="s">
        <v>141</v>
      </c>
      <c r="B131" s="324" t="s">
        <v>21</v>
      </c>
      <c r="C131" s="326" t="e">
        <f>'[1]TOP SHEET'!H155+'[1]TOP SHEET'!H156</f>
        <v>#REF!</v>
      </c>
      <c r="D131" s="153" t="s">
        <v>172</v>
      </c>
    </row>
    <row r="132" spans="1:4" ht="15.75" thickBot="1">
      <c r="A132" s="126" t="s">
        <v>137</v>
      </c>
      <c r="B132" s="325"/>
      <c r="C132" s="325"/>
      <c r="D132" s="154">
        <f>D126</f>
        <v>0</v>
      </c>
    </row>
  </sheetData>
  <mergeCells count="70">
    <mergeCell ref="B9:B10"/>
    <mergeCell ref="C9:C10"/>
    <mergeCell ref="A39:C39"/>
    <mergeCell ref="B41:B42"/>
    <mergeCell ref="C41:C42"/>
    <mergeCell ref="B11:B12"/>
    <mergeCell ref="C11:C12"/>
    <mergeCell ref="B13:B14"/>
    <mergeCell ref="C13:C14"/>
    <mergeCell ref="B15:B16"/>
    <mergeCell ref="C15:C16"/>
    <mergeCell ref="A1:D1"/>
    <mergeCell ref="A2:D2"/>
    <mergeCell ref="A3:D3"/>
    <mergeCell ref="B4:C4"/>
    <mergeCell ref="A7:C7"/>
    <mergeCell ref="I18:K18"/>
    <mergeCell ref="A19:C19"/>
    <mergeCell ref="G19:L19"/>
    <mergeCell ref="G20:J25"/>
    <mergeCell ref="D21:D22"/>
    <mergeCell ref="D23:D24"/>
    <mergeCell ref="B25:B26"/>
    <mergeCell ref="C25:C26"/>
    <mergeCell ref="D25:D26"/>
    <mergeCell ref="A94:C94"/>
    <mergeCell ref="B27:B28"/>
    <mergeCell ref="C27:C28"/>
    <mergeCell ref="D27:D28"/>
    <mergeCell ref="G28:L28"/>
    <mergeCell ref="G29:J34"/>
    <mergeCell ref="A31:C31"/>
    <mergeCell ref="B33:B34"/>
    <mergeCell ref="D33:D34"/>
    <mergeCell ref="D41:D42"/>
    <mergeCell ref="B43:B44"/>
    <mergeCell ref="C43:C44"/>
    <mergeCell ref="D43:D44"/>
    <mergeCell ref="B96:B97"/>
    <mergeCell ref="C96:C97"/>
    <mergeCell ref="D96:D97"/>
    <mergeCell ref="B98:B99"/>
    <mergeCell ref="C98:C99"/>
    <mergeCell ref="D98:D99"/>
    <mergeCell ref="A102:C102"/>
    <mergeCell ref="B104:B105"/>
    <mergeCell ref="C104:C105"/>
    <mergeCell ref="D104:D105"/>
    <mergeCell ref="B106:B107"/>
    <mergeCell ref="C106:C107"/>
    <mergeCell ref="D106:D107"/>
    <mergeCell ref="B108:B109"/>
    <mergeCell ref="C108:C109"/>
    <mergeCell ref="D108:D109"/>
    <mergeCell ref="A113:C113"/>
    <mergeCell ref="B115:B116"/>
    <mergeCell ref="C115:C116"/>
    <mergeCell ref="D115:D116"/>
    <mergeCell ref="B117:B118"/>
    <mergeCell ref="C117:C118"/>
    <mergeCell ref="D117:D118"/>
    <mergeCell ref="A123:C123"/>
    <mergeCell ref="B125:B126"/>
    <mergeCell ref="C125:C126"/>
    <mergeCell ref="B127:B128"/>
    <mergeCell ref="C127:C128"/>
    <mergeCell ref="B129:B130"/>
    <mergeCell ref="C129:C130"/>
    <mergeCell ref="B131:B132"/>
    <mergeCell ref="C131:C132"/>
  </mergeCells>
  <pageMargins left="0.25" right="0.25" top="0.75" bottom="0.7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8"/>
  <sheetViews>
    <sheetView tabSelected="1" zoomScale="90" zoomScaleNormal="90" workbookViewId="0">
      <selection activeCell="N6" sqref="N6"/>
    </sheetView>
  </sheetViews>
  <sheetFormatPr defaultColWidth="9.140625" defaultRowHeight="15"/>
  <cols>
    <col min="1" max="1" width="8.28515625" style="16" customWidth="1"/>
    <col min="2" max="2" width="5.28515625" style="16" customWidth="1"/>
    <col min="3" max="3" width="29" style="16" customWidth="1"/>
    <col min="4" max="4" width="6.28515625" style="16" customWidth="1"/>
    <col min="5" max="5" width="16.140625" style="16" bestFit="1" customWidth="1"/>
    <col min="6" max="6" width="11" style="16" bestFit="1" customWidth="1"/>
    <col min="7" max="7" width="14.140625" style="16" customWidth="1"/>
    <col min="8" max="8" width="13.5703125" style="16" customWidth="1"/>
    <col min="9" max="9" width="11" style="16" customWidth="1"/>
    <col min="10" max="10" width="9.7109375" style="16" bestFit="1" customWidth="1"/>
    <col min="11" max="11" width="10.85546875" style="16" bestFit="1" customWidth="1"/>
    <col min="12" max="12" width="11.140625" style="16" customWidth="1"/>
    <col min="13" max="13" width="14.85546875" style="16" customWidth="1"/>
    <col min="14" max="14" width="15" style="16" bestFit="1" customWidth="1"/>
    <col min="15" max="16" width="13.7109375" style="16" bestFit="1" customWidth="1"/>
    <col min="17" max="17" width="13.140625" style="16" customWidth="1"/>
    <col min="18" max="18" width="11.28515625" style="16" customWidth="1"/>
    <col min="19" max="19" width="15.140625" style="16" customWidth="1"/>
    <col min="20" max="16384" width="9.140625" style="16"/>
  </cols>
  <sheetData>
    <row r="1" spans="1:19" s="15" customFormat="1" ht="43.5" customHeight="1" thickBot="1">
      <c r="A1" s="10" t="s">
        <v>50</v>
      </c>
      <c r="B1" s="10" t="s">
        <v>51</v>
      </c>
      <c r="C1" s="11" t="s">
        <v>0</v>
      </c>
      <c r="D1" s="11" t="s">
        <v>1</v>
      </c>
      <c r="E1" s="11" t="s">
        <v>4</v>
      </c>
      <c r="F1" s="12" t="s">
        <v>12</v>
      </c>
      <c r="G1" s="11" t="s">
        <v>5</v>
      </c>
      <c r="H1" s="11" t="s">
        <v>6</v>
      </c>
      <c r="I1" s="12" t="s">
        <v>7</v>
      </c>
      <c r="J1" s="12" t="s">
        <v>11</v>
      </c>
      <c r="K1" s="12" t="s">
        <v>8</v>
      </c>
      <c r="L1" s="12" t="s">
        <v>9</v>
      </c>
      <c r="M1" s="12" t="s">
        <v>10</v>
      </c>
      <c r="N1" s="12" t="s">
        <v>26</v>
      </c>
      <c r="O1" s="12" t="s">
        <v>19</v>
      </c>
      <c r="P1" s="12" t="s">
        <v>52</v>
      </c>
      <c r="Q1" s="13" t="s">
        <v>53</v>
      </c>
      <c r="R1" s="14" t="s">
        <v>65</v>
      </c>
      <c r="S1" s="14" t="s">
        <v>64</v>
      </c>
    </row>
    <row r="2" spans="1:19">
      <c r="A2" s="310" t="str">
        <f>'TOP SHEET'!D6</f>
        <v xml:space="preserve">  02.11.2019</v>
      </c>
      <c r="B2" s="313" t="str">
        <f>'TOP SHEET'!E4</f>
        <v>03.11.2019</v>
      </c>
      <c r="C2" s="75" t="s">
        <v>2</v>
      </c>
      <c r="D2" s="110">
        <f>'TOP SHEET'!F6</f>
        <v>908</v>
      </c>
      <c r="E2" s="79">
        <f>'TOP SHEET'!G6</f>
        <v>8988500</v>
      </c>
      <c r="F2" s="66"/>
      <c r="G2" s="66"/>
      <c r="H2" s="66"/>
      <c r="I2" s="66"/>
      <c r="J2" s="66"/>
      <c r="K2" s="66"/>
      <c r="L2" s="66"/>
      <c r="M2" s="66">
        <f>E2</f>
        <v>8988500</v>
      </c>
      <c r="N2" s="66"/>
      <c r="O2" s="66"/>
      <c r="P2" s="66"/>
      <c r="Q2" s="67"/>
      <c r="R2" s="68"/>
      <c r="S2" s="68">
        <f>E2</f>
        <v>8988500</v>
      </c>
    </row>
    <row r="3" spans="1:19">
      <c r="A3" s="311"/>
      <c r="B3" s="314"/>
      <c r="C3" s="73" t="s">
        <v>15</v>
      </c>
      <c r="D3" s="111">
        <f>'TOP SHEET'!F9</f>
        <v>780</v>
      </c>
      <c r="E3" s="48">
        <f>'TOP SHEET'!G9</f>
        <v>7697000</v>
      </c>
      <c r="F3" s="49"/>
      <c r="G3" s="49"/>
      <c r="H3" s="49"/>
      <c r="I3" s="49">
        <f>D3*5</f>
        <v>3900</v>
      </c>
      <c r="J3" s="49">
        <f>D3*1.5</f>
        <v>1170</v>
      </c>
      <c r="K3" s="76">
        <f>D3*2.5</f>
        <v>1950</v>
      </c>
      <c r="L3" s="76">
        <f>D3*2.5</f>
        <v>1950</v>
      </c>
      <c r="M3" s="49">
        <f>E3+J3+D3*10</f>
        <v>7705970</v>
      </c>
      <c r="N3" s="49">
        <f>E3+(D3*10)+(D3*2.5)</f>
        <v>7706750</v>
      </c>
      <c r="O3" s="49">
        <f>D3*5</f>
        <v>3900</v>
      </c>
      <c r="P3" s="49">
        <f>D3*5</f>
        <v>3900</v>
      </c>
      <c r="Q3" s="50">
        <f>E3+D3*10</f>
        <v>7704800</v>
      </c>
      <c r="R3" s="49"/>
      <c r="S3" s="49"/>
    </row>
    <row r="4" spans="1:19">
      <c r="A4" s="311"/>
      <c r="B4" s="314"/>
      <c r="C4" s="73" t="s">
        <v>14</v>
      </c>
      <c r="D4" s="111">
        <f>'TOP SHEET'!F10+'TOP SHEET'!F11</f>
        <v>0</v>
      </c>
      <c r="E4" s="48">
        <f>'TOP SHEET'!G10+'TOP SHEET'!G11</f>
        <v>0</v>
      </c>
      <c r="F4" s="49"/>
      <c r="G4" s="49"/>
      <c r="H4" s="49"/>
      <c r="I4" s="49">
        <f>E4*1%</f>
        <v>0</v>
      </c>
      <c r="J4" s="49"/>
      <c r="K4" s="76">
        <f>I4*50%</f>
        <v>0</v>
      </c>
      <c r="L4" s="76">
        <f>I4*50%</f>
        <v>0</v>
      </c>
      <c r="M4" s="49">
        <f>E4</f>
        <v>0</v>
      </c>
      <c r="N4" s="49">
        <f>L4+E4</f>
        <v>0</v>
      </c>
      <c r="O4" s="49">
        <f>I4</f>
        <v>0</v>
      </c>
      <c r="P4" s="49">
        <f>I4</f>
        <v>0</v>
      </c>
      <c r="Q4" s="50">
        <f>M4</f>
        <v>0</v>
      </c>
      <c r="R4" s="49"/>
      <c r="S4" s="49"/>
    </row>
    <row r="5" spans="1:19">
      <c r="A5" s="311"/>
      <c r="B5" s="314"/>
      <c r="C5" s="74" t="s">
        <v>13</v>
      </c>
      <c r="D5" s="112">
        <f>'TOP SHEET'!F16</f>
        <v>1074</v>
      </c>
      <c r="E5" s="60">
        <f>'TOP SHEET'!G16</f>
        <v>8973500</v>
      </c>
      <c r="F5" s="61"/>
      <c r="G5" s="61">
        <f>E5+D5*20</f>
        <v>8994980</v>
      </c>
      <c r="H5" s="61">
        <v>0</v>
      </c>
      <c r="I5" s="61"/>
      <c r="J5" s="61"/>
      <c r="K5" s="77">
        <f>D5*7.5</f>
        <v>8055</v>
      </c>
      <c r="L5" s="77">
        <f>D5*2.5</f>
        <v>2685</v>
      </c>
      <c r="M5" s="61">
        <f>E5+D5*15</f>
        <v>8989610</v>
      </c>
      <c r="N5" s="61">
        <f>L5</f>
        <v>2685</v>
      </c>
      <c r="O5" s="61"/>
      <c r="P5" s="61"/>
      <c r="Q5" s="62"/>
      <c r="R5" s="61"/>
      <c r="S5" s="61"/>
    </row>
    <row r="6" spans="1:19">
      <c r="A6" s="311"/>
      <c r="B6" s="314"/>
      <c r="C6" s="74" t="s">
        <v>3</v>
      </c>
      <c r="D6" s="112">
        <f>'TOP SHEET'!F17+'TOP SHEET'!F18</f>
        <v>139</v>
      </c>
      <c r="E6" s="60">
        <f>'TOP SHEET'!G17+'TOP SHEET'!G18</f>
        <v>406021.79</v>
      </c>
      <c r="F6" s="61">
        <f>ROUND(E6*0.9%,2)</f>
        <v>3654.2</v>
      </c>
      <c r="G6" s="61">
        <f>E6</f>
        <v>406021.79</v>
      </c>
      <c r="H6" s="61">
        <f>'TOP SHEET'!H17+'TOP SHEET'!H18</f>
        <v>3654.2799999999997</v>
      </c>
      <c r="I6" s="61">
        <f>H6</f>
        <v>3654.2799999999997</v>
      </c>
      <c r="J6" s="61"/>
      <c r="K6" s="77">
        <f>I6/2</f>
        <v>1827.1399999999999</v>
      </c>
      <c r="L6" s="77">
        <f>K6</f>
        <v>1827.1399999999999</v>
      </c>
      <c r="M6" s="61">
        <f>E6</f>
        <v>406021.79</v>
      </c>
      <c r="N6" s="61">
        <f>'TOP SHEET'!J17+'TOP SHEET'!J18</f>
        <v>1827.21</v>
      </c>
      <c r="O6" s="61"/>
      <c r="P6" s="61"/>
      <c r="Q6" s="62"/>
      <c r="R6" s="61"/>
      <c r="S6" s="61"/>
    </row>
    <row r="7" spans="1:19">
      <c r="A7" s="311"/>
      <c r="B7" s="314"/>
      <c r="C7" s="72" t="s">
        <v>63</v>
      </c>
      <c r="D7" s="113">
        <f>'TOP SHEET'!F12</f>
        <v>165</v>
      </c>
      <c r="E7" s="54">
        <f>'TOP SHEET'!G12</f>
        <v>1486500</v>
      </c>
      <c r="F7" s="55"/>
      <c r="G7" s="55"/>
      <c r="H7" s="55"/>
      <c r="I7" s="55">
        <f>D7*5</f>
        <v>825</v>
      </c>
      <c r="J7" s="55"/>
      <c r="K7" s="78">
        <f>D7*2.5</f>
        <v>412.5</v>
      </c>
      <c r="L7" s="78">
        <f>D7*2.5</f>
        <v>412.5</v>
      </c>
      <c r="M7" s="55"/>
      <c r="N7" s="55">
        <f>D7*7.5</f>
        <v>1237.5</v>
      </c>
      <c r="O7" s="55">
        <f>E7+(D7*10)</f>
        <v>1488150</v>
      </c>
      <c r="P7" s="55">
        <f>E7+(D7*10)</f>
        <v>1488150</v>
      </c>
      <c r="Q7" s="56">
        <f>D7*5</f>
        <v>825</v>
      </c>
      <c r="R7" s="55"/>
      <c r="S7" s="55">
        <f>E7</f>
        <v>1486500</v>
      </c>
    </row>
    <row r="8" spans="1:19">
      <c r="A8" s="311"/>
      <c r="B8" s="314"/>
      <c r="C8" s="72" t="s">
        <v>87</v>
      </c>
      <c r="D8" s="113">
        <f>'TOP SHEET'!F13</f>
        <v>4</v>
      </c>
      <c r="E8" s="54">
        <f>'TOP SHEET'!G13</f>
        <v>37000</v>
      </c>
      <c r="F8" s="55"/>
      <c r="G8" s="55"/>
      <c r="H8" s="55"/>
      <c r="I8" s="55">
        <f>D8*2.5</f>
        <v>10</v>
      </c>
      <c r="J8" s="55"/>
      <c r="K8" s="78"/>
      <c r="L8" s="78"/>
      <c r="M8" s="55"/>
      <c r="N8" s="55"/>
      <c r="O8" s="55">
        <f>E8+I8</f>
        <v>37010</v>
      </c>
      <c r="P8" s="55"/>
      <c r="Q8" s="56"/>
      <c r="R8" s="55"/>
      <c r="S8" s="55">
        <f>E8</f>
        <v>37000</v>
      </c>
    </row>
    <row r="9" spans="1:19" s="18" customFormat="1">
      <c r="A9" s="311"/>
      <c r="B9" s="314"/>
      <c r="C9" s="69" t="s">
        <v>68</v>
      </c>
      <c r="D9" s="114">
        <f>'TOP SHEET'!F19</f>
        <v>42</v>
      </c>
      <c r="E9" s="51">
        <f>'TOP SHEET'!G19</f>
        <v>372000</v>
      </c>
      <c r="F9" s="52">
        <f>D9*20</f>
        <v>840</v>
      </c>
      <c r="G9" s="52"/>
      <c r="H9" s="52">
        <f>E9+(D9*20)</f>
        <v>372840</v>
      </c>
      <c r="I9" s="52">
        <f>D9*20</f>
        <v>840</v>
      </c>
      <c r="J9" s="52"/>
      <c r="K9" s="52">
        <f>D9*5</f>
        <v>210</v>
      </c>
      <c r="L9" s="52">
        <f>D9*5</f>
        <v>210</v>
      </c>
      <c r="M9" s="52"/>
      <c r="N9" s="52">
        <f>D9*5</f>
        <v>210</v>
      </c>
      <c r="O9" s="52"/>
      <c r="P9" s="52"/>
      <c r="Q9" s="53"/>
      <c r="R9" s="52"/>
      <c r="S9" s="52">
        <f>E9</f>
        <v>372000</v>
      </c>
    </row>
    <row r="10" spans="1:19">
      <c r="A10" s="311"/>
      <c r="B10" s="314"/>
      <c r="C10" s="71" t="s">
        <v>16</v>
      </c>
      <c r="D10" s="115">
        <f>'TOP SHEET'!F22</f>
        <v>109</v>
      </c>
      <c r="E10" s="57">
        <f>D10*5</f>
        <v>545</v>
      </c>
      <c r="F10" s="58"/>
      <c r="G10" s="58">
        <f>E10</f>
        <v>545</v>
      </c>
      <c r="H10" s="58"/>
      <c r="I10" s="58"/>
      <c r="J10" s="58"/>
      <c r="K10" s="58"/>
      <c r="L10" s="58"/>
      <c r="M10" s="58">
        <f>D10*5</f>
        <v>545</v>
      </c>
      <c r="N10" s="58">
        <f>L10</f>
        <v>0</v>
      </c>
      <c r="O10" s="58"/>
      <c r="P10" s="58"/>
      <c r="Q10" s="59"/>
      <c r="R10" s="58"/>
      <c r="S10" s="58"/>
    </row>
    <row r="11" spans="1:19">
      <c r="A11" s="311"/>
      <c r="B11" s="314"/>
      <c r="C11" s="71" t="s">
        <v>70</v>
      </c>
      <c r="D11" s="115">
        <f>'TOP SHEET'!F23</f>
        <v>9</v>
      </c>
      <c r="E11" s="57">
        <f>D11*5</f>
        <v>45</v>
      </c>
      <c r="F11" s="58"/>
      <c r="G11" s="58">
        <f>E11</f>
        <v>45</v>
      </c>
      <c r="H11" s="58"/>
      <c r="I11" s="58"/>
      <c r="J11" s="58"/>
      <c r="K11" s="58"/>
      <c r="L11" s="58"/>
      <c r="M11" s="58">
        <f>D11*5</f>
        <v>45</v>
      </c>
      <c r="N11" s="58">
        <f>L11</f>
        <v>0</v>
      </c>
      <c r="O11" s="58"/>
      <c r="P11" s="58"/>
      <c r="Q11" s="59"/>
      <c r="R11" s="58"/>
      <c r="S11" s="58"/>
    </row>
    <row r="12" spans="1:19">
      <c r="A12" s="311"/>
      <c r="B12" s="314"/>
      <c r="C12" s="70" t="s">
        <v>69</v>
      </c>
      <c r="D12" s="116">
        <f>'TOP SHEET'!F24</f>
        <v>7</v>
      </c>
      <c r="E12" s="63">
        <f>D12*5</f>
        <v>35</v>
      </c>
      <c r="F12" s="64">
        <f>D12*5</f>
        <v>35</v>
      </c>
      <c r="G12" s="64"/>
      <c r="H12" s="64">
        <f>D12*5</f>
        <v>35</v>
      </c>
      <c r="I12" s="64">
        <f>D12*5</f>
        <v>35</v>
      </c>
      <c r="J12" s="64"/>
      <c r="K12" s="64">
        <f>D12*2</f>
        <v>14</v>
      </c>
      <c r="L12" s="64">
        <f>D12*2</f>
        <v>14</v>
      </c>
      <c r="M12" s="64"/>
      <c r="N12" s="64">
        <f>L12</f>
        <v>14</v>
      </c>
      <c r="O12" s="64"/>
      <c r="P12" s="64"/>
      <c r="Q12" s="65"/>
      <c r="R12" s="64"/>
      <c r="S12" s="64"/>
    </row>
    <row r="13" spans="1:19">
      <c r="A13" s="311"/>
      <c r="B13" s="314"/>
      <c r="C13" s="70" t="s">
        <v>71</v>
      </c>
      <c r="D13" s="116">
        <f>'TOP SHEET'!F25</f>
        <v>0</v>
      </c>
      <c r="E13" s="63">
        <f>D13*5</f>
        <v>0</v>
      </c>
      <c r="F13" s="64"/>
      <c r="G13" s="64"/>
      <c r="H13" s="64">
        <f>D13*5</f>
        <v>0</v>
      </c>
      <c r="I13" s="64">
        <f>D13*5</f>
        <v>0</v>
      </c>
      <c r="J13" s="64"/>
      <c r="K13" s="64">
        <f>D13*2</f>
        <v>0</v>
      </c>
      <c r="L13" s="64">
        <f>D13*2</f>
        <v>0</v>
      </c>
      <c r="M13" s="64"/>
      <c r="N13" s="64"/>
      <c r="O13" s="64"/>
      <c r="P13" s="64"/>
      <c r="Q13" s="65"/>
      <c r="R13" s="64"/>
      <c r="S13" s="64"/>
    </row>
    <row r="14" spans="1:19">
      <c r="A14" s="311"/>
      <c r="B14" s="314"/>
      <c r="C14" s="69" t="s">
        <v>72</v>
      </c>
      <c r="D14" s="114">
        <f>'TOP SHEET'!F26</f>
        <v>6</v>
      </c>
      <c r="E14" s="51">
        <f>'TOP SHEET'!G26</f>
        <v>201</v>
      </c>
      <c r="F14" s="52"/>
      <c r="G14" s="52"/>
      <c r="H14" s="52"/>
      <c r="I14" s="52"/>
      <c r="J14" s="52"/>
      <c r="K14" s="52"/>
      <c r="L14" s="52"/>
      <c r="M14" s="52">
        <f>E14</f>
        <v>201</v>
      </c>
      <c r="N14" s="52">
        <f>E14</f>
        <v>201</v>
      </c>
      <c r="O14" s="52"/>
      <c r="P14" s="52"/>
      <c r="Q14" s="53">
        <f>E14</f>
        <v>201</v>
      </c>
      <c r="R14" s="52"/>
      <c r="S14" s="52"/>
    </row>
    <row r="15" spans="1:19" ht="17.25">
      <c r="A15" s="312"/>
      <c r="B15" s="314"/>
      <c r="C15" s="17"/>
      <c r="D15" s="19">
        <f>SUM(D2:D14)</f>
        <v>3243</v>
      </c>
      <c r="E15" s="27">
        <f>SUM(E2:E14)</f>
        <v>27961347.789999999</v>
      </c>
      <c r="F15" s="20">
        <f t="shared" ref="F15:L15" si="0">SUM(F2:F14)</f>
        <v>4529.2</v>
      </c>
      <c r="G15" s="20">
        <f t="shared" si="0"/>
        <v>9401591.7899999991</v>
      </c>
      <c r="H15" s="20">
        <f t="shared" si="0"/>
        <v>376529.28</v>
      </c>
      <c r="I15" s="20">
        <f>SUM(I2:I14)</f>
        <v>9264.2799999999988</v>
      </c>
      <c r="J15" s="20">
        <f t="shared" si="0"/>
        <v>1170</v>
      </c>
      <c r="K15" s="20">
        <f>SUM(K2:K14)</f>
        <v>12468.64</v>
      </c>
      <c r="L15" s="20">
        <f>SUM(L2:L14)</f>
        <v>7098.6399999999994</v>
      </c>
      <c r="M15" s="20">
        <f>SUM(M2:M14)</f>
        <v>26090892.789999999</v>
      </c>
      <c r="N15" s="20">
        <f>SUM(N2:N14)</f>
        <v>7712924.71</v>
      </c>
      <c r="O15" s="20">
        <f>SUM(O2:O14)</f>
        <v>1529060</v>
      </c>
      <c r="P15" s="20">
        <f>SUM(P2:P14)</f>
        <v>1492050</v>
      </c>
      <c r="Q15" s="21">
        <f>SUM(Q2:Q14)</f>
        <v>7705826</v>
      </c>
      <c r="R15" s="20"/>
      <c r="S15" s="20">
        <f>SUM(S2:S14)</f>
        <v>10884000</v>
      </c>
    </row>
    <row r="19" spans="6:19" ht="18.75">
      <c r="F19" s="315" t="str">
        <f>IF((I15-K15)&gt;0,"Profit= Tk "&amp;(I15-K15),"Loss= Tk "&amp;(I15-K15))</f>
        <v>Loss= Tk -3204.36</v>
      </c>
      <c r="G19" s="315"/>
      <c r="H19" s="315"/>
      <c r="P19" s="22" t="s">
        <v>25</v>
      </c>
      <c r="Q19"/>
      <c r="R19"/>
      <c r="S19"/>
    </row>
    <row r="20" spans="6:19">
      <c r="J20" s="16" t="s">
        <v>20</v>
      </c>
      <c r="K20" t="s">
        <v>58</v>
      </c>
      <c r="L20" s="23"/>
      <c r="N20" s="24">
        <f>K4+K6</f>
        <v>1827.1399999999999</v>
      </c>
      <c r="P20" s="25">
        <f>K6</f>
        <v>1827.1399999999999</v>
      </c>
    </row>
    <row r="21" spans="6:19">
      <c r="J21" s="16" t="s">
        <v>21</v>
      </c>
      <c r="K21" s="16" t="s">
        <v>22</v>
      </c>
      <c r="N21" s="24">
        <f>L4+L6</f>
        <v>1827.1399999999999</v>
      </c>
      <c r="P21" s="25">
        <f>L6</f>
        <v>1827.1399999999999</v>
      </c>
    </row>
    <row r="23" spans="6:19">
      <c r="J23" s="16" t="s">
        <v>20</v>
      </c>
      <c r="K23" s="16" t="s">
        <v>22</v>
      </c>
      <c r="N23" s="23">
        <f>L15</f>
        <v>7098.6399999999994</v>
      </c>
    </row>
    <row r="24" spans="6:19">
      <c r="J24" s="16" t="s">
        <v>23</v>
      </c>
      <c r="K24" t="s">
        <v>57</v>
      </c>
      <c r="N24" s="23">
        <f>L15</f>
        <v>7098.6399999999994</v>
      </c>
    </row>
    <row r="27" spans="6:19">
      <c r="J27" s="16" t="s">
        <v>20</v>
      </c>
      <c r="K27" t="s">
        <v>57</v>
      </c>
      <c r="N27" s="26">
        <f>P4</f>
        <v>0</v>
      </c>
    </row>
    <row r="28" spans="6:19">
      <c r="J28" s="16" t="s">
        <v>24</v>
      </c>
      <c r="K28" t="s">
        <v>59</v>
      </c>
      <c r="N28" s="26">
        <f>I4</f>
        <v>0</v>
      </c>
    </row>
    <row r="29" spans="6:19">
      <c r="N29" s="23"/>
    </row>
    <row r="30" spans="6:19">
      <c r="J30" s="16" t="s">
        <v>20</v>
      </c>
      <c r="K30" t="s">
        <v>60</v>
      </c>
      <c r="N30" s="23">
        <f>I6</f>
        <v>3654.2799999999997</v>
      </c>
    </row>
    <row r="31" spans="6:19">
      <c r="J31" s="16" t="s">
        <v>24</v>
      </c>
      <c r="K31" t="s">
        <v>59</v>
      </c>
      <c r="N31" s="23">
        <f>I6</f>
        <v>3654.2799999999997</v>
      </c>
    </row>
    <row r="32" spans="6:19">
      <c r="K32"/>
      <c r="N32" s="23"/>
    </row>
    <row r="33" spans="1:17">
      <c r="K33"/>
      <c r="N33" s="23"/>
    </row>
    <row r="34" spans="1:17">
      <c r="K34"/>
      <c r="N34" s="23"/>
    </row>
    <row r="35" spans="1:17">
      <c r="K35"/>
      <c r="N35" s="23"/>
    </row>
    <row r="36" spans="1:17">
      <c r="K36"/>
      <c r="N36" s="23"/>
    </row>
    <row r="37" spans="1:17">
      <c r="K37"/>
      <c r="N37" s="23"/>
    </row>
    <row r="38" spans="1:17">
      <c r="K38"/>
      <c r="N38" s="23"/>
    </row>
    <row r="39" spans="1:17">
      <c r="K39"/>
      <c r="N39" s="23"/>
    </row>
    <row r="40" spans="1:17">
      <c r="K40"/>
      <c r="N40" s="23"/>
    </row>
    <row r="43" spans="1:17" ht="15.75" thickBot="1"/>
    <row r="44" spans="1:17" ht="90.75" thickBot="1">
      <c r="A44" s="10" t="s">
        <v>50</v>
      </c>
      <c r="B44" s="10" t="s">
        <v>51</v>
      </c>
      <c r="C44" s="11" t="s">
        <v>0</v>
      </c>
      <c r="D44" s="11" t="s">
        <v>1</v>
      </c>
      <c r="E44" s="11" t="s">
        <v>4</v>
      </c>
      <c r="F44" s="12" t="s">
        <v>12</v>
      </c>
      <c r="G44" s="11" t="s">
        <v>6</v>
      </c>
      <c r="H44" s="12" t="s">
        <v>7</v>
      </c>
      <c r="I44" s="12" t="s">
        <v>8</v>
      </c>
      <c r="J44" s="12" t="s">
        <v>9</v>
      </c>
      <c r="K44" s="12" t="s">
        <v>147</v>
      </c>
      <c r="L44" s="12" t="s">
        <v>148</v>
      </c>
      <c r="M44" s="12" t="s">
        <v>149</v>
      </c>
      <c r="N44" s="12" t="s">
        <v>150</v>
      </c>
      <c r="O44" s="13" t="s">
        <v>151</v>
      </c>
      <c r="P44" s="14" t="s">
        <v>152</v>
      </c>
      <c r="Q44" s="14" t="s">
        <v>153</v>
      </c>
    </row>
    <row r="45" spans="1:17">
      <c r="A45" s="310">
        <f>'TOP SHEET'!D39</f>
        <v>0</v>
      </c>
      <c r="B45" s="313">
        <f>'TOP SHEET'!E37</f>
        <v>0</v>
      </c>
      <c r="C45" s="75" t="s">
        <v>2</v>
      </c>
      <c r="D45" s="110"/>
      <c r="E45" s="79"/>
      <c r="F45" s="66"/>
      <c r="G45" s="66"/>
      <c r="H45" s="66"/>
      <c r="I45" s="66"/>
      <c r="J45" s="66"/>
      <c r="K45" s="66"/>
      <c r="L45" s="66"/>
      <c r="M45" s="66"/>
      <c r="N45" s="66"/>
      <c r="O45" s="67"/>
      <c r="P45" s="68"/>
      <c r="Q45" s="68"/>
    </row>
    <row r="46" spans="1:17">
      <c r="A46" s="311"/>
      <c r="B46" s="314"/>
      <c r="C46" s="73" t="s">
        <v>15</v>
      </c>
      <c r="D46" s="111"/>
      <c r="E46" s="48"/>
      <c r="F46" s="49"/>
      <c r="G46" s="49"/>
      <c r="H46" s="49">
        <f>D46*5</f>
        <v>0</v>
      </c>
      <c r="I46" s="76">
        <f>D46*2.5</f>
        <v>0</v>
      </c>
      <c r="J46" s="76">
        <f>D46*2.5</f>
        <v>0</v>
      </c>
      <c r="K46" s="49"/>
      <c r="L46" s="49"/>
      <c r="M46" s="49"/>
      <c r="N46" s="49"/>
      <c r="O46" s="50"/>
      <c r="P46" s="49"/>
      <c r="Q46" s="49"/>
    </row>
    <row r="47" spans="1:17">
      <c r="A47" s="311"/>
      <c r="B47" s="314"/>
      <c r="C47" s="73" t="s">
        <v>14</v>
      </c>
      <c r="D47" s="111"/>
      <c r="E47" s="48"/>
      <c r="F47" s="49"/>
      <c r="G47" s="49"/>
      <c r="H47" s="49">
        <f>E47*1%</f>
        <v>0</v>
      </c>
      <c r="I47" s="76">
        <f>H47*50%</f>
        <v>0</v>
      </c>
      <c r="J47" s="76">
        <f>H47*50%</f>
        <v>0</v>
      </c>
      <c r="K47" s="49"/>
      <c r="L47" s="49"/>
      <c r="M47" s="49"/>
      <c r="N47" s="49"/>
      <c r="O47" s="50"/>
      <c r="P47" s="49"/>
      <c r="Q47" s="49"/>
    </row>
    <row r="48" spans="1:17">
      <c r="A48" s="311"/>
      <c r="B48" s="314"/>
      <c r="C48" s="74" t="s">
        <v>13</v>
      </c>
      <c r="D48" s="112"/>
      <c r="E48" s="60"/>
      <c r="F48" s="61"/>
      <c r="G48" s="61">
        <v>0</v>
      </c>
      <c r="H48" s="61"/>
      <c r="I48" s="77">
        <f>D48*7.5</f>
        <v>0</v>
      </c>
      <c r="J48" s="77">
        <f>D48*2.5</f>
        <v>0</v>
      </c>
      <c r="K48" s="61"/>
      <c r="L48" s="61"/>
      <c r="M48" s="61"/>
      <c r="N48" s="61"/>
      <c r="O48" s="62"/>
      <c r="P48" s="61"/>
      <c r="Q48" s="61"/>
    </row>
    <row r="49" spans="1:17">
      <c r="A49" s="311"/>
      <c r="B49" s="314"/>
      <c r="C49" s="74" t="s">
        <v>3</v>
      </c>
      <c r="D49" s="112"/>
      <c r="E49" s="60"/>
      <c r="F49" s="61">
        <f>ROUND(E49*0.9%,2)</f>
        <v>0</v>
      </c>
      <c r="G49" s="61">
        <f>F49</f>
        <v>0</v>
      </c>
      <c r="H49" s="61">
        <f>G49</f>
        <v>0</v>
      </c>
      <c r="I49" s="77">
        <f>H49/2</f>
        <v>0</v>
      </c>
      <c r="J49" s="77">
        <f>I49</f>
        <v>0</v>
      </c>
      <c r="K49" s="61"/>
      <c r="L49" s="61"/>
      <c r="M49" s="61"/>
      <c r="N49" s="61"/>
      <c r="O49" s="62"/>
      <c r="P49" s="61"/>
      <c r="Q49" s="61"/>
    </row>
    <row r="50" spans="1:17">
      <c r="A50" s="311"/>
      <c r="B50" s="314"/>
      <c r="C50" s="72" t="s">
        <v>63</v>
      </c>
      <c r="D50" s="113">
        <v>12</v>
      </c>
      <c r="E50" s="54">
        <v>108000</v>
      </c>
      <c r="F50" s="55"/>
      <c r="G50" s="55"/>
      <c r="H50" s="55">
        <f>D50*5</f>
        <v>60</v>
      </c>
      <c r="I50" s="78">
        <f>D50*2.5</f>
        <v>30</v>
      </c>
      <c r="J50" s="78">
        <f>D50*2.5</f>
        <v>30</v>
      </c>
      <c r="K50" s="55"/>
      <c r="L50" s="55"/>
      <c r="M50" s="55"/>
      <c r="N50" s="55"/>
      <c r="O50" s="56"/>
      <c r="P50" s="55"/>
      <c r="Q50" s="55"/>
    </row>
    <row r="51" spans="1:17">
      <c r="A51" s="311"/>
      <c r="B51" s="314"/>
      <c r="C51" s="72" t="s">
        <v>87</v>
      </c>
      <c r="D51" s="113"/>
      <c r="E51" s="54"/>
      <c r="F51" s="55"/>
      <c r="G51" s="55"/>
      <c r="H51" s="55">
        <f>D51*2.5</f>
        <v>0</v>
      </c>
      <c r="I51" s="78"/>
      <c r="J51" s="78"/>
      <c r="K51" s="55"/>
      <c r="L51" s="55"/>
      <c r="M51" s="55"/>
      <c r="N51" s="55"/>
      <c r="O51" s="56"/>
      <c r="P51" s="55"/>
      <c r="Q51" s="55"/>
    </row>
    <row r="52" spans="1:17">
      <c r="A52" s="311"/>
      <c r="B52" s="314"/>
      <c r="C52" s="69" t="s">
        <v>68</v>
      </c>
      <c r="D52" s="114">
        <v>15</v>
      </c>
      <c r="E52" s="51">
        <v>117000</v>
      </c>
      <c r="F52" s="52">
        <f>D52*20</f>
        <v>300</v>
      </c>
      <c r="G52" s="52">
        <f>E52+(D52*20)</f>
        <v>117300</v>
      </c>
      <c r="H52" s="52">
        <f>D52*20</f>
        <v>300</v>
      </c>
      <c r="I52" s="52">
        <f>D52*5</f>
        <v>75</v>
      </c>
      <c r="J52" s="52">
        <f>D52*5</f>
        <v>75</v>
      </c>
      <c r="K52" s="52"/>
      <c r="L52" s="52"/>
      <c r="M52" s="52"/>
      <c r="N52" s="52"/>
      <c r="O52" s="53"/>
      <c r="P52" s="52"/>
      <c r="Q52" s="52"/>
    </row>
    <row r="53" spans="1:17">
      <c r="A53" s="311"/>
      <c r="B53" s="314"/>
      <c r="C53" s="71" t="s">
        <v>16</v>
      </c>
      <c r="D53" s="115"/>
      <c r="E53" s="57"/>
      <c r="F53" s="58"/>
      <c r="G53" s="58"/>
      <c r="H53" s="58"/>
      <c r="I53" s="58"/>
      <c r="J53" s="58"/>
      <c r="K53" s="58"/>
      <c r="L53" s="58"/>
      <c r="M53" s="58"/>
      <c r="N53" s="58"/>
      <c r="O53" s="59"/>
      <c r="P53" s="58"/>
      <c r="Q53" s="58"/>
    </row>
    <row r="54" spans="1:17">
      <c r="A54" s="311"/>
      <c r="B54" s="314"/>
      <c r="C54" s="71" t="s">
        <v>70</v>
      </c>
      <c r="D54" s="115"/>
      <c r="E54" s="57"/>
      <c r="F54" s="58"/>
      <c r="G54" s="58"/>
      <c r="H54" s="58"/>
      <c r="I54" s="58"/>
      <c r="J54" s="58"/>
      <c r="K54" s="58"/>
      <c r="L54" s="58"/>
      <c r="M54" s="58"/>
      <c r="N54" s="58"/>
      <c r="O54" s="59"/>
      <c r="P54" s="58"/>
      <c r="Q54" s="58"/>
    </row>
    <row r="55" spans="1:17">
      <c r="A55" s="311"/>
      <c r="B55" s="314"/>
      <c r="C55" s="70" t="s">
        <v>69</v>
      </c>
      <c r="D55" s="116"/>
      <c r="E55" s="63"/>
      <c r="F55" s="64">
        <f>D55*5</f>
        <v>0</v>
      </c>
      <c r="G55" s="64">
        <f>D55*5</f>
        <v>0</v>
      </c>
      <c r="H55" s="64">
        <f>D55*5</f>
        <v>0</v>
      </c>
      <c r="I55" s="64">
        <f>D55*2</f>
        <v>0</v>
      </c>
      <c r="J55" s="64">
        <f>D55*2</f>
        <v>0</v>
      </c>
      <c r="K55" s="64"/>
      <c r="L55" s="64"/>
      <c r="M55" s="64"/>
      <c r="N55" s="64"/>
      <c r="O55" s="65"/>
      <c r="P55" s="64"/>
      <c r="Q55" s="64"/>
    </row>
    <row r="56" spans="1:17">
      <c r="A56" s="311"/>
      <c r="B56" s="314"/>
      <c r="C56" s="70" t="s">
        <v>71</v>
      </c>
      <c r="D56" s="116"/>
      <c r="E56" s="63"/>
      <c r="F56" s="64"/>
      <c r="G56" s="64">
        <f>D56*5</f>
        <v>0</v>
      </c>
      <c r="H56" s="64">
        <f>D56*5</f>
        <v>0</v>
      </c>
      <c r="I56" s="64">
        <f>D56*2</f>
        <v>0</v>
      </c>
      <c r="J56" s="64">
        <f>D56*2</f>
        <v>0</v>
      </c>
      <c r="K56" s="64"/>
      <c r="L56" s="64"/>
      <c r="M56" s="64"/>
      <c r="N56" s="64"/>
      <c r="O56" s="65"/>
      <c r="P56" s="64"/>
      <c r="Q56" s="64"/>
    </row>
    <row r="57" spans="1:17">
      <c r="A57" s="311"/>
      <c r="B57" s="314"/>
      <c r="C57" s="69" t="s">
        <v>72</v>
      </c>
      <c r="D57" s="114"/>
      <c r="E57" s="51"/>
      <c r="F57" s="52"/>
      <c r="G57" s="52"/>
      <c r="H57" s="52"/>
      <c r="I57" s="52"/>
      <c r="J57" s="52"/>
      <c r="K57" s="52"/>
      <c r="L57" s="52"/>
      <c r="M57" s="52"/>
      <c r="N57" s="52"/>
      <c r="O57" s="53"/>
      <c r="P57" s="52"/>
      <c r="Q57" s="52"/>
    </row>
    <row r="58" spans="1:17" ht="17.25">
      <c r="A58" s="312"/>
      <c r="B58" s="314"/>
      <c r="C58" s="17"/>
      <c r="D58" s="19">
        <f t="shared" ref="D58:J58" si="1">SUM(D45:D57)</f>
        <v>27</v>
      </c>
      <c r="E58" s="27">
        <f t="shared" si="1"/>
        <v>225000</v>
      </c>
      <c r="F58" s="20">
        <f t="shared" si="1"/>
        <v>300</v>
      </c>
      <c r="G58" s="20">
        <f t="shared" si="1"/>
        <v>117300</v>
      </c>
      <c r="H58" s="20">
        <f t="shared" si="1"/>
        <v>360</v>
      </c>
      <c r="I58" s="20">
        <f t="shared" si="1"/>
        <v>105</v>
      </c>
      <c r="J58" s="20">
        <f t="shared" si="1"/>
        <v>105</v>
      </c>
      <c r="K58" s="20"/>
      <c r="L58" s="20"/>
      <c r="M58" s="20"/>
      <c r="N58" s="20"/>
      <c r="O58" s="21"/>
      <c r="P58" s="20"/>
      <c r="Q58" s="20"/>
    </row>
  </sheetData>
  <mergeCells count="5">
    <mergeCell ref="A2:A15"/>
    <mergeCell ref="B2:B15"/>
    <mergeCell ref="A45:A58"/>
    <mergeCell ref="B45:B58"/>
    <mergeCell ref="F19:H19"/>
  </mergeCells>
  <conditionalFormatting sqref="F19">
    <cfRule type="expression" dxfId="1" priority="1">
      <formula>$I$15-$K$15&lt;0</formula>
    </cfRule>
    <cfRule type="expression" dxfId="0" priority="2">
      <formula>$I$15-$K$15&gt;0</formula>
    </cfRule>
  </conditionalFormatting>
  <printOptions horizontalCentered="1"/>
  <pageMargins left="0.45" right="0.2" top="0.75" bottom="0.75" header="0.3" footer="0.3"/>
  <pageSetup paperSize="5" scale="69" orientation="landscape" r:id="rId1"/>
  <ignoredErrors>
    <ignoredError sqref="K6 M5 L4 M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I55"/>
  <sheetViews>
    <sheetView view="pageLayout" topLeftCell="A22" workbookViewId="0">
      <selection activeCell="B38" sqref="B38"/>
    </sheetView>
  </sheetViews>
  <sheetFormatPr defaultColWidth="9.140625" defaultRowHeight="15"/>
  <cols>
    <col min="1" max="1" width="37.42578125" customWidth="1"/>
    <col min="2" max="2" width="10" style="1" customWidth="1"/>
    <col min="3" max="3" width="11.7109375" style="2" customWidth="1"/>
    <col min="4" max="4" width="11.42578125" style="2" bestFit="1" customWidth="1"/>
    <col min="5" max="5" width="14.7109375" style="4" bestFit="1" customWidth="1"/>
    <col min="6" max="6" width="14.7109375" bestFit="1" customWidth="1"/>
    <col min="7" max="7" width="14.140625" hidden="1" customWidth="1"/>
    <col min="9" max="9" width="11.85546875" bestFit="1" customWidth="1"/>
  </cols>
  <sheetData>
    <row r="1" spans="1:9">
      <c r="A1" s="28" t="s">
        <v>27</v>
      </c>
      <c r="B1" s="29"/>
      <c r="C1" s="30" t="s">
        <v>21</v>
      </c>
      <c r="D1" s="30" t="s">
        <v>28</v>
      </c>
      <c r="E1" s="39" t="s">
        <v>29</v>
      </c>
    </row>
    <row r="2" spans="1:9">
      <c r="A2" s="5" t="s">
        <v>30</v>
      </c>
      <c r="B2" s="119" t="s">
        <v>309</v>
      </c>
      <c r="C2" s="7"/>
      <c r="D2" s="7"/>
      <c r="E2" s="8">
        <v>3748209236.8899999</v>
      </c>
    </row>
    <row r="3" spans="1:9">
      <c r="A3" s="5" t="s">
        <v>2</v>
      </c>
      <c r="B3" s="6"/>
      <c r="C3" s="7"/>
      <c r="D3" s="7">
        <f>'Front Sheet'!M2</f>
        <v>8988500</v>
      </c>
      <c r="E3" s="8">
        <f>E2+D3</f>
        <v>3757197736.8899999</v>
      </c>
    </row>
    <row r="4" spans="1:9">
      <c r="A4" s="5" t="s">
        <v>15</v>
      </c>
      <c r="B4" s="6"/>
      <c r="C4" s="7"/>
      <c r="D4" s="7">
        <f>'Front Sheet'!M3</f>
        <v>7705970</v>
      </c>
      <c r="E4" s="8">
        <f t="shared" ref="E4:E10" si="0">E3+D4</f>
        <v>3764903706.8899999</v>
      </c>
    </row>
    <row r="5" spans="1:9">
      <c r="A5" s="5" t="s">
        <v>14</v>
      </c>
      <c r="B5" s="6"/>
      <c r="C5" s="7"/>
      <c r="D5" s="7">
        <f>'Front Sheet'!M4</f>
        <v>0</v>
      </c>
      <c r="E5" s="8">
        <f t="shared" si="0"/>
        <v>3764903706.8899999</v>
      </c>
    </row>
    <row r="6" spans="1:9">
      <c r="A6" s="5" t="s">
        <v>13</v>
      </c>
      <c r="B6" s="6"/>
      <c r="C6" s="7"/>
      <c r="D6" s="7">
        <f>'Front Sheet'!M5</f>
        <v>8989610</v>
      </c>
      <c r="E6" s="8">
        <f t="shared" si="0"/>
        <v>3773893316.8899999</v>
      </c>
      <c r="G6" s="2"/>
    </row>
    <row r="7" spans="1:9">
      <c r="A7" s="5" t="s">
        <v>3</v>
      </c>
      <c r="B7" s="6"/>
      <c r="C7" s="7"/>
      <c r="D7" s="7">
        <f>'Front Sheet'!M6</f>
        <v>406021.79</v>
      </c>
      <c r="E7" s="8">
        <f t="shared" si="0"/>
        <v>3774299338.6799998</v>
      </c>
    </row>
    <row r="8" spans="1:9">
      <c r="A8" s="5" t="s">
        <v>16</v>
      </c>
      <c r="B8" s="6"/>
      <c r="C8" s="7"/>
      <c r="D8" s="7">
        <f>'Front Sheet'!M10</f>
        <v>545</v>
      </c>
      <c r="E8" s="8">
        <f t="shared" si="0"/>
        <v>3774299883.6799998</v>
      </c>
      <c r="F8" t="s">
        <v>81</v>
      </c>
    </row>
    <row r="9" spans="1:9">
      <c r="A9" s="5" t="s">
        <v>17</v>
      </c>
      <c r="B9" s="6"/>
      <c r="C9" s="7"/>
      <c r="D9" s="7">
        <f>'Front Sheet'!M11</f>
        <v>45</v>
      </c>
      <c r="E9" s="8">
        <f t="shared" si="0"/>
        <v>3774299928.6799998</v>
      </c>
      <c r="G9" s="3"/>
    </row>
    <row r="10" spans="1:9">
      <c r="A10" s="5" t="s">
        <v>18</v>
      </c>
      <c r="B10" s="6"/>
      <c r="C10" s="8"/>
      <c r="D10" s="7">
        <f>'Front Sheet'!M14</f>
        <v>201</v>
      </c>
      <c r="E10" s="8">
        <f t="shared" si="0"/>
        <v>3774300129.6799998</v>
      </c>
      <c r="G10" s="2">
        <f>SUM(D3:D10)-SUM(C3:C10)</f>
        <v>26090892.789999999</v>
      </c>
    </row>
    <row r="11" spans="1:9">
      <c r="A11" s="5"/>
      <c r="B11" s="6"/>
      <c r="C11" s="7"/>
      <c r="D11" s="7"/>
      <c r="E11" s="8"/>
    </row>
    <row r="12" spans="1:9">
      <c r="A12" s="40" t="s">
        <v>36</v>
      </c>
      <c r="B12" s="6"/>
      <c r="C12" s="7"/>
      <c r="D12" s="7"/>
      <c r="E12" s="8"/>
    </row>
    <row r="13" spans="1:9" ht="15.75">
      <c r="A13" s="118" t="s">
        <v>176</v>
      </c>
      <c r="B13" s="6"/>
      <c r="C13" s="7"/>
      <c r="D13" s="7"/>
      <c r="E13" s="8"/>
    </row>
    <row r="14" spans="1:9" ht="17.25" customHeight="1">
      <c r="A14" s="32" t="s">
        <v>310</v>
      </c>
      <c r="B14" s="6"/>
      <c r="C14" s="7">
        <v>0</v>
      </c>
      <c r="D14" s="33">
        <v>0</v>
      </c>
      <c r="E14" s="8">
        <f>E10+D14-C14</f>
        <v>3774300129.6799998</v>
      </c>
    </row>
    <row r="15" spans="1:9" ht="15" customHeight="1">
      <c r="A15" s="47" t="s">
        <v>283</v>
      </c>
      <c r="B15" s="6"/>
      <c r="C15" s="7">
        <v>0</v>
      </c>
      <c r="D15" s="160">
        <v>0</v>
      </c>
      <c r="E15" s="8">
        <f t="shared" ref="E15:E21" si="1">E14+D15-C15</f>
        <v>3774300129.6799998</v>
      </c>
      <c r="I15" s="2">
        <f>D14+D15+D17+D18</f>
        <v>0</v>
      </c>
    </row>
    <row r="16" spans="1:9" ht="15" customHeight="1">
      <c r="A16" s="32" t="s">
        <v>14</v>
      </c>
      <c r="B16" s="6"/>
      <c r="C16" s="7">
        <v>0</v>
      </c>
      <c r="D16" s="33">
        <v>0</v>
      </c>
      <c r="E16" s="8">
        <f t="shared" si="1"/>
        <v>3774300129.6799998</v>
      </c>
    </row>
    <row r="17" spans="1:7" ht="16.5" customHeight="1">
      <c r="A17" s="32" t="s">
        <v>13</v>
      </c>
      <c r="B17" s="6"/>
      <c r="C17" s="7">
        <v>0</v>
      </c>
      <c r="D17" s="160">
        <v>0</v>
      </c>
      <c r="E17" s="8">
        <f>E16+D17-C17</f>
        <v>3774300129.6799998</v>
      </c>
    </row>
    <row r="18" spans="1:7">
      <c r="A18" s="32" t="s">
        <v>3</v>
      </c>
      <c r="B18" s="6"/>
      <c r="C18" s="7">
        <v>0</v>
      </c>
      <c r="D18" s="33">
        <v>0</v>
      </c>
      <c r="E18" s="8">
        <f t="shared" si="1"/>
        <v>3774300129.6799998</v>
      </c>
      <c r="G18" s="2"/>
    </row>
    <row r="19" spans="1:7">
      <c r="A19" s="32" t="s">
        <v>16</v>
      </c>
      <c r="B19" s="6"/>
      <c r="C19" s="7">
        <v>0</v>
      </c>
      <c r="D19" s="33">
        <v>0</v>
      </c>
      <c r="E19" s="8">
        <f t="shared" si="1"/>
        <v>3774300129.6799998</v>
      </c>
    </row>
    <row r="20" spans="1:7" hidden="1">
      <c r="A20" s="32" t="s">
        <v>205</v>
      </c>
      <c r="B20" s="6"/>
      <c r="C20" s="7">
        <v>0</v>
      </c>
      <c r="D20" s="33">
        <v>0</v>
      </c>
      <c r="E20" s="8">
        <f t="shared" si="1"/>
        <v>3774300129.6799998</v>
      </c>
    </row>
    <row r="21" spans="1:7" hidden="1">
      <c r="A21" s="32" t="s">
        <v>18</v>
      </c>
      <c r="B21" s="6"/>
      <c r="C21" s="7">
        <v>0</v>
      </c>
      <c r="D21" s="33">
        <v>0</v>
      </c>
      <c r="E21" s="8">
        <f t="shared" si="1"/>
        <v>3774300129.6799998</v>
      </c>
      <c r="G21" s="2">
        <f>SUM(D14:D21)-SUM(C14:C21)</f>
        <v>0</v>
      </c>
    </row>
    <row r="22" spans="1:7">
      <c r="A22" s="5"/>
      <c r="B22" s="6"/>
      <c r="C22" s="7"/>
      <c r="D22" s="7"/>
      <c r="E22" s="8"/>
    </row>
    <row r="23" spans="1:7" ht="18.75">
      <c r="A23" s="117" t="s">
        <v>86</v>
      </c>
      <c r="B23" s="6"/>
      <c r="C23" s="7"/>
      <c r="D23" s="41"/>
      <c r="E23" s="8"/>
    </row>
    <row r="24" spans="1:7" ht="42" customHeight="1">
      <c r="A24" s="32" t="s">
        <v>303</v>
      </c>
      <c r="B24" s="6"/>
      <c r="C24" s="33">
        <v>15000</v>
      </c>
      <c r="D24" s="7">
        <v>0</v>
      </c>
      <c r="E24" s="8">
        <f>E21-C24+D24</f>
        <v>3774285129.6799998</v>
      </c>
    </row>
    <row r="25" spans="1:7" s="158" customFormat="1" ht="16.5" customHeight="1">
      <c r="A25" s="47" t="s">
        <v>283</v>
      </c>
      <c r="B25" s="157"/>
      <c r="C25" s="160">
        <v>0</v>
      </c>
      <c r="D25" s="7">
        <v>0</v>
      </c>
      <c r="E25" s="159">
        <f t="shared" ref="E25:E31" si="2">E24-C25+D25</f>
        <v>3774285129.6799998</v>
      </c>
    </row>
    <row r="26" spans="1:7">
      <c r="A26" s="32" t="s">
        <v>14</v>
      </c>
      <c r="B26" s="6"/>
      <c r="C26" s="33">
        <v>0</v>
      </c>
      <c r="D26" s="7">
        <v>0</v>
      </c>
      <c r="E26" s="8">
        <f t="shared" si="2"/>
        <v>3774285129.6799998</v>
      </c>
    </row>
    <row r="27" spans="1:7" ht="75.75" customHeight="1">
      <c r="A27" s="32" t="s">
        <v>302</v>
      </c>
      <c r="B27" s="6"/>
      <c r="C27" s="160">
        <v>27060</v>
      </c>
      <c r="D27" s="41">
        <v>0</v>
      </c>
      <c r="E27" s="8">
        <f>E26-C27+D27</f>
        <v>3774258069.6799998</v>
      </c>
    </row>
    <row r="28" spans="1:7" ht="18" customHeight="1">
      <c r="A28" s="32" t="s">
        <v>3</v>
      </c>
      <c r="B28" s="6"/>
      <c r="C28" s="33">
        <v>0</v>
      </c>
      <c r="D28" s="7">
        <v>0</v>
      </c>
      <c r="E28" s="8">
        <f t="shared" si="2"/>
        <v>3774258069.6799998</v>
      </c>
    </row>
    <row r="29" spans="1:7">
      <c r="A29" s="32" t="s">
        <v>16</v>
      </c>
      <c r="B29" s="6"/>
      <c r="C29" s="33">
        <v>0</v>
      </c>
      <c r="D29" s="7">
        <v>0</v>
      </c>
      <c r="E29" s="8">
        <f t="shared" si="2"/>
        <v>3774258069.6799998</v>
      </c>
    </row>
    <row r="30" spans="1:7">
      <c r="A30" s="32" t="s">
        <v>17</v>
      </c>
      <c r="B30" s="6"/>
      <c r="C30" s="33">
        <v>0</v>
      </c>
      <c r="D30" s="7">
        <v>0</v>
      </c>
      <c r="E30" s="8">
        <f t="shared" si="2"/>
        <v>3774258069.6799998</v>
      </c>
    </row>
    <row r="31" spans="1:7" ht="12" customHeight="1">
      <c r="A31" s="32" t="s">
        <v>18</v>
      </c>
      <c r="B31" s="6"/>
      <c r="C31" s="33">
        <v>0</v>
      </c>
      <c r="D31" s="7">
        <v>0</v>
      </c>
      <c r="E31" s="8">
        <f t="shared" si="2"/>
        <v>3774258069.6799998</v>
      </c>
      <c r="G31" s="2">
        <f>SUM(C24:C31)-SUM(D24:D31)</f>
        <v>42060</v>
      </c>
    </row>
    <row r="32" spans="1:7" ht="18.75">
      <c r="A32" s="167" t="s">
        <v>128</v>
      </c>
      <c r="B32" s="6"/>
      <c r="C32" s="7"/>
      <c r="D32" s="41"/>
      <c r="E32" s="8"/>
      <c r="G32" s="2">
        <f>D33-C33</f>
        <v>0</v>
      </c>
    </row>
    <row r="33" spans="1:9" ht="17.25" customHeight="1">
      <c r="A33" s="191"/>
      <c r="B33" s="6"/>
      <c r="C33" s="9">
        <v>0</v>
      </c>
      <c r="D33" s="33">
        <v>0</v>
      </c>
      <c r="E33" s="8">
        <f>E31+D33-C33</f>
        <v>3774258069.6799998</v>
      </c>
      <c r="F33" s="8">
        <v>3774258069.6799998</v>
      </c>
      <c r="I33" s="2"/>
    </row>
    <row r="34" spans="1:9">
      <c r="A34" s="34" t="s">
        <v>54</v>
      </c>
      <c r="B34" s="120" t="str">
        <f>'TOP SHEET'!D6</f>
        <v xml:space="preserve">  02.11.2019</v>
      </c>
      <c r="C34" s="7"/>
      <c r="D34" s="7"/>
      <c r="E34" s="38">
        <f>E33</f>
        <v>3774258069.6799998</v>
      </c>
      <c r="F34" s="2">
        <f>E34-F33</f>
        <v>0</v>
      </c>
    </row>
    <row r="35" spans="1:9" s="194" customFormat="1">
      <c r="A35" s="195"/>
      <c r="B35" s="199"/>
      <c r="C35" s="196"/>
      <c r="D35" s="196"/>
      <c r="E35" s="197"/>
      <c r="F35" s="2"/>
    </row>
    <row r="36" spans="1:9">
      <c r="A36" s="198"/>
    </row>
    <row r="38" spans="1:9">
      <c r="A38" s="218"/>
    </row>
    <row r="39" spans="1:9">
      <c r="A39" s="235"/>
      <c r="G39" t="s">
        <v>81</v>
      </c>
    </row>
    <row r="40" spans="1:9">
      <c r="A40" s="216"/>
      <c r="B40" s="2"/>
    </row>
    <row r="41" spans="1:9">
      <c r="A41" s="216"/>
      <c r="B41" s="2"/>
    </row>
    <row r="42" spans="1:9">
      <c r="A42" s="216"/>
      <c r="B42" s="2"/>
    </row>
    <row r="43" spans="1:9">
      <c r="A43" s="216"/>
      <c r="B43" s="2"/>
    </row>
    <row r="44" spans="1:9">
      <c r="A44" s="216"/>
      <c r="B44" s="2"/>
    </row>
    <row r="45" spans="1:9">
      <c r="A45" s="216"/>
      <c r="B45" s="2"/>
    </row>
    <row r="46" spans="1:9">
      <c r="A46" s="216"/>
      <c r="B46" s="2"/>
    </row>
    <row r="47" spans="1:9">
      <c r="A47" s="216"/>
      <c r="B47" s="2"/>
    </row>
    <row r="48" spans="1:9">
      <c r="A48" s="216"/>
      <c r="B48" s="2"/>
    </row>
    <row r="49" spans="1:2">
      <c r="A49" s="216"/>
      <c r="B49" s="4"/>
    </row>
    <row r="50" spans="1:2">
      <c r="A50" s="216"/>
      <c r="B50" s="2"/>
    </row>
    <row r="51" spans="1:2">
      <c r="A51" s="216"/>
      <c r="B51" s="2"/>
    </row>
    <row r="52" spans="1:2">
      <c r="A52" s="216"/>
      <c r="B52" s="2"/>
    </row>
    <row r="53" spans="1:2">
      <c r="A53" s="216"/>
      <c r="B53" s="2"/>
    </row>
    <row r="54" spans="1:2">
      <c r="A54" s="216"/>
      <c r="B54" s="2"/>
    </row>
    <row r="55" spans="1:2">
      <c r="A55" s="216"/>
      <c r="B55" s="2"/>
    </row>
  </sheetData>
  <printOptions horizontalCentered="1"/>
  <pageMargins left="0.7" right="0.7" top="1.25" bottom="0.75" header="0.8" footer="0.3"/>
  <pageSetup paperSize="5" orientation="portrait" r:id="rId1"/>
  <headerFooter>
    <oddHeader>&amp;L&amp;D &amp;T&amp;C&amp;"-,Bold"IBT-ATM POS ETC. A/C GL-182102101&amp;R&amp;P OF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L194"/>
  <sheetViews>
    <sheetView showWhiteSpace="0" view="pageLayout" topLeftCell="A10" workbookViewId="0">
      <selection activeCell="A24" sqref="A24"/>
    </sheetView>
  </sheetViews>
  <sheetFormatPr defaultRowHeight="15"/>
  <cols>
    <col min="1" max="1" width="41" customWidth="1"/>
    <col min="2" max="2" width="11.28515625" style="1" customWidth="1"/>
    <col min="3" max="3" width="12.85546875" style="2" customWidth="1"/>
    <col min="4" max="4" width="11.7109375" style="2" bestFit="1" customWidth="1"/>
    <col min="5" max="5" width="13.140625" style="2" customWidth="1"/>
    <col min="6" max="6" width="8.7109375" customWidth="1"/>
    <col min="7" max="7" width="16.5703125" customWidth="1"/>
    <col min="8" max="8" width="11.85546875" hidden="1" customWidth="1"/>
    <col min="11" max="11" width="9.5703125" bestFit="1" customWidth="1"/>
  </cols>
  <sheetData>
    <row r="1" spans="1:12">
      <c r="A1" s="28" t="s">
        <v>27</v>
      </c>
      <c r="B1" s="29"/>
      <c r="C1" s="30" t="s">
        <v>28</v>
      </c>
      <c r="D1" s="30" t="s">
        <v>21</v>
      </c>
      <c r="E1" s="30" t="s">
        <v>29</v>
      </c>
      <c r="K1" s="256"/>
      <c r="L1" s="256"/>
    </row>
    <row r="2" spans="1:12">
      <c r="A2" s="5" t="s">
        <v>30</v>
      </c>
      <c r="B2" s="122" t="str">
        <f>'1. IBT'!$B$2</f>
        <v>30.10.2019</v>
      </c>
      <c r="C2" s="7"/>
      <c r="D2" s="7"/>
      <c r="E2" s="81">
        <v>2774844.74</v>
      </c>
      <c r="K2" s="256"/>
      <c r="L2" s="256"/>
    </row>
    <row r="3" spans="1:12">
      <c r="A3" s="5" t="s">
        <v>31</v>
      </c>
      <c r="B3" s="6"/>
      <c r="C3" s="7"/>
      <c r="D3" s="7">
        <f>'Front Sheet'!E3</f>
        <v>7697000</v>
      </c>
      <c r="E3" s="8">
        <f>E2-D3</f>
        <v>-4922155.26</v>
      </c>
      <c r="K3" s="256"/>
      <c r="L3" s="256"/>
    </row>
    <row r="4" spans="1:12">
      <c r="A4" s="5" t="s">
        <v>79</v>
      </c>
      <c r="B4" s="6"/>
      <c r="C4" s="7">
        <f>'Front Sheet'!O8</f>
        <v>37010</v>
      </c>
      <c r="D4" s="7"/>
      <c r="E4" s="8">
        <f>E3-D4+C4</f>
        <v>-4885145.26</v>
      </c>
      <c r="K4" s="265"/>
      <c r="L4" s="256"/>
    </row>
    <row r="5" spans="1:12">
      <c r="A5" s="5" t="s">
        <v>32</v>
      </c>
      <c r="B5" s="6"/>
      <c r="C5" s="7"/>
      <c r="D5" s="7">
        <f>'Front Sheet'!E4</f>
        <v>0</v>
      </c>
      <c r="E5" s="8">
        <f>E4-D5</f>
        <v>-4885145.26</v>
      </c>
      <c r="F5" s="2"/>
      <c r="G5" s="2"/>
      <c r="K5" s="265"/>
      <c r="L5" s="256"/>
    </row>
    <row r="6" spans="1:12">
      <c r="A6" s="5" t="s">
        <v>33</v>
      </c>
      <c r="B6" s="6"/>
      <c r="C6" s="7"/>
      <c r="D6" s="7">
        <f>'Front Sheet'!E14</f>
        <v>201</v>
      </c>
      <c r="E6" s="8">
        <f>E5-D6</f>
        <v>-4885346.26</v>
      </c>
      <c r="F6" s="2"/>
      <c r="G6" s="2"/>
      <c r="K6" s="265"/>
      <c r="L6" s="256"/>
    </row>
    <row r="7" spans="1:12">
      <c r="A7" s="5" t="s">
        <v>66</v>
      </c>
      <c r="B7" s="6"/>
      <c r="C7" s="7">
        <f>'Front Sheet'!P7</f>
        <v>1488150</v>
      </c>
      <c r="D7" s="7">
        <f>'Front Sheet'!Q7</f>
        <v>825</v>
      </c>
      <c r="E7" s="8">
        <f>E6+C7-D7</f>
        <v>-3398021.26</v>
      </c>
      <c r="G7" s="2"/>
      <c r="H7" s="2">
        <f>SUM(D3:D7)-SUM(C3:C7)</f>
        <v>6172866</v>
      </c>
      <c r="K7" s="265"/>
      <c r="L7" s="256"/>
    </row>
    <row r="8" spans="1:12">
      <c r="A8" s="5"/>
      <c r="B8" s="6"/>
      <c r="C8" s="7"/>
      <c r="D8" s="7"/>
      <c r="E8" s="8"/>
      <c r="F8" s="2"/>
      <c r="K8" s="265"/>
      <c r="L8" s="256"/>
    </row>
    <row r="9" spans="1:12">
      <c r="A9" s="5" t="s">
        <v>34</v>
      </c>
      <c r="B9" s="6"/>
      <c r="C9" s="7"/>
      <c r="D9" s="7">
        <f>10*'Front Sheet'!D3</f>
        <v>7800</v>
      </c>
      <c r="E9" s="8">
        <f>E7-D9</f>
        <v>-3405821.26</v>
      </c>
      <c r="F9" s="2"/>
      <c r="G9" s="2"/>
      <c r="K9" s="265"/>
      <c r="L9" s="256"/>
    </row>
    <row r="10" spans="1:12">
      <c r="A10" s="32" t="s">
        <v>274</v>
      </c>
      <c r="B10" s="6"/>
      <c r="C10" s="9">
        <v>0</v>
      </c>
      <c r="D10" s="33">
        <v>1525.11</v>
      </c>
      <c r="E10" s="8">
        <f>E9-D10+C10</f>
        <v>-3407346.3699999996</v>
      </c>
      <c r="H10" s="2">
        <f>D10-C10</f>
        <v>1525.11</v>
      </c>
      <c r="K10" s="265"/>
      <c r="L10" s="2"/>
    </row>
    <row r="11" spans="1:12">
      <c r="A11" s="5"/>
      <c r="B11" s="6"/>
      <c r="C11" s="7"/>
      <c r="D11" s="7"/>
      <c r="E11" s="8"/>
      <c r="F11" s="2"/>
      <c r="K11" s="265"/>
      <c r="L11" s="2"/>
    </row>
    <row r="12" spans="1:12">
      <c r="A12" s="5" t="s">
        <v>35</v>
      </c>
      <c r="B12" s="6"/>
      <c r="C12" s="7">
        <f>5*'Front Sheet'!D3</f>
        <v>3900</v>
      </c>
      <c r="D12" s="7"/>
      <c r="E12" s="8">
        <f>E10+C12</f>
        <v>-3403446.3699999996</v>
      </c>
      <c r="K12" s="265"/>
      <c r="L12" s="2"/>
    </row>
    <row r="13" spans="1:12">
      <c r="A13" s="32" t="s">
        <v>178</v>
      </c>
      <c r="B13" s="6"/>
      <c r="C13" s="33">
        <v>0</v>
      </c>
      <c r="D13" s="7">
        <v>0</v>
      </c>
      <c r="E13" s="8">
        <f>E12+C13</f>
        <v>-3403446.3699999996</v>
      </c>
      <c r="K13" s="265"/>
      <c r="L13" s="265"/>
    </row>
    <row r="14" spans="1:12" ht="20.25" customHeight="1">
      <c r="A14" s="5"/>
      <c r="B14" s="6"/>
      <c r="C14" s="7"/>
      <c r="D14" s="7"/>
      <c r="E14" s="8"/>
      <c r="K14" s="265"/>
      <c r="L14" s="2"/>
    </row>
    <row r="15" spans="1:12" ht="15.75">
      <c r="A15" s="182" t="s">
        <v>206</v>
      </c>
      <c r="B15" s="6"/>
      <c r="C15" s="7"/>
      <c r="D15" s="7"/>
      <c r="E15" s="8"/>
      <c r="K15" s="269"/>
      <c r="L15" s="2"/>
    </row>
    <row r="16" spans="1:12" ht="18.75">
      <c r="A16" s="252" t="s">
        <v>285</v>
      </c>
      <c r="B16" s="6"/>
      <c r="C16" s="33">
        <v>0</v>
      </c>
      <c r="D16" s="33">
        <v>0</v>
      </c>
      <c r="E16" s="8">
        <f>E13+C16-D16</f>
        <v>-3403446.3699999996</v>
      </c>
      <c r="H16" s="2">
        <f>D16-C16</f>
        <v>0</v>
      </c>
      <c r="K16" s="265"/>
      <c r="L16" s="2"/>
    </row>
    <row r="17" spans="1:12" ht="18.75">
      <c r="A17" s="252" t="s">
        <v>288</v>
      </c>
      <c r="B17" s="6"/>
      <c r="C17" s="33">
        <v>0</v>
      </c>
      <c r="D17" s="33">
        <v>0</v>
      </c>
      <c r="E17" s="8">
        <f>E16-D17+C17</f>
        <v>-3403446.3699999996</v>
      </c>
      <c r="H17" s="2">
        <f>C17-D17</f>
        <v>0</v>
      </c>
      <c r="K17" s="2"/>
      <c r="L17" s="2"/>
    </row>
    <row r="18" spans="1:12" ht="18.75">
      <c r="A18" s="188" t="s">
        <v>267</v>
      </c>
      <c r="B18" s="6"/>
      <c r="C18" s="33">
        <v>0</v>
      </c>
      <c r="D18" s="7"/>
      <c r="E18" s="8">
        <f>E17+C18-D18</f>
        <v>-3403446.3699999996</v>
      </c>
      <c r="K18" s="265"/>
    </row>
    <row r="19" spans="1:12">
      <c r="A19" s="32" t="s">
        <v>84</v>
      </c>
      <c r="B19" s="6"/>
      <c r="C19" s="33">
        <v>0</v>
      </c>
      <c r="D19" s="33">
        <v>0</v>
      </c>
      <c r="E19" s="8">
        <f>E18+C19-D19</f>
        <v>-3403446.3699999996</v>
      </c>
      <c r="L19" s="291"/>
    </row>
    <row r="20" spans="1:12" ht="30">
      <c r="A20" s="32" t="s">
        <v>83</v>
      </c>
      <c r="B20" s="6"/>
      <c r="C20" s="7">
        <v>0</v>
      </c>
      <c r="D20" s="33">
        <v>0</v>
      </c>
      <c r="E20" s="8">
        <f>E19+C20-D20</f>
        <v>-3403446.3699999996</v>
      </c>
    </row>
    <row r="21" spans="1:12" s="169" customFormat="1" ht="41.25" customHeight="1">
      <c r="A21" s="240" t="s">
        <v>320</v>
      </c>
      <c r="B21" s="241"/>
      <c r="C21" s="250">
        <v>0</v>
      </c>
      <c r="D21" s="253">
        <v>432</v>
      </c>
      <c r="E21" s="294">
        <f>E20+C21-D21</f>
        <v>-3403878.3699999996</v>
      </c>
      <c r="H21" s="242">
        <f>C21-D21</f>
        <v>-432</v>
      </c>
    </row>
    <row r="22" spans="1:12" ht="15.75" customHeight="1">
      <c r="A22" s="238" t="s">
        <v>270</v>
      </c>
      <c r="B22" s="6"/>
      <c r="C22" s="7"/>
      <c r="D22" s="33">
        <v>0</v>
      </c>
      <c r="E22" s="8"/>
      <c r="J22" s="260"/>
      <c r="K22" s="260"/>
    </row>
    <row r="23" spans="1:12" ht="39">
      <c r="A23" s="295" t="s">
        <v>322</v>
      </c>
      <c r="B23" s="6"/>
      <c r="C23" s="9">
        <v>201</v>
      </c>
      <c r="D23" s="33">
        <v>0</v>
      </c>
      <c r="E23" s="8">
        <f>E21-D23+C23</f>
        <v>-3403677.3699999996</v>
      </c>
    </row>
    <row r="24" spans="1:12" ht="37.5">
      <c r="A24" s="246" t="s">
        <v>321</v>
      </c>
      <c r="B24" s="6"/>
      <c r="C24" s="33">
        <v>0</v>
      </c>
      <c r="D24" s="33">
        <v>37010</v>
      </c>
      <c r="E24" s="8">
        <f>E23+C24-D24</f>
        <v>-3440687.3699999996</v>
      </c>
      <c r="G24" s="81">
        <v>-3440687.37</v>
      </c>
      <c r="H24" s="2">
        <f>C24-D24</f>
        <v>-37010</v>
      </c>
    </row>
    <row r="25" spans="1:12" ht="15" customHeight="1">
      <c r="A25" s="34" t="s">
        <v>54</v>
      </c>
      <c r="B25" s="121" t="str">
        <f>'1. IBT'!$B$34</f>
        <v xml:space="preserve">  02.11.2019</v>
      </c>
      <c r="C25" s="7"/>
      <c r="D25" s="7"/>
      <c r="E25" s="38">
        <f>E24</f>
        <v>-3440687.3699999996</v>
      </c>
      <c r="G25" s="2">
        <f>E25-G24</f>
        <v>0</v>
      </c>
      <c r="H25" s="2"/>
      <c r="K25" s="257"/>
      <c r="L25" s="256"/>
    </row>
    <row r="26" spans="1:12">
      <c r="K26" s="257"/>
      <c r="L26" s="256"/>
    </row>
    <row r="27" spans="1:12" s="247" customFormat="1">
      <c r="A27" s="254"/>
      <c r="B27" s="255"/>
      <c r="C27" s="256"/>
      <c r="D27" s="2"/>
      <c r="E27" s="2"/>
      <c r="K27" s="257"/>
      <c r="L27" s="256"/>
    </row>
    <row r="28" spans="1:12">
      <c r="A28" s="257"/>
      <c r="B28" s="257"/>
      <c r="C28" s="256"/>
      <c r="K28" s="258"/>
      <c r="L28" s="256"/>
    </row>
    <row r="29" spans="1:12" s="247" customFormat="1">
      <c r="A29" s="257"/>
      <c r="B29" s="257"/>
      <c r="C29" s="256"/>
      <c r="D29" s="2"/>
      <c r="E29" s="2"/>
      <c r="K29" s="258"/>
      <c r="L29" s="256"/>
    </row>
    <row r="30" spans="1:12" s="247" customFormat="1">
      <c r="A30" s="296"/>
      <c r="B30" s="257"/>
      <c r="C30" s="256"/>
      <c r="D30" s="2"/>
      <c r="E30" s="2"/>
      <c r="K30" s="258"/>
      <c r="L30" s="256"/>
    </row>
    <row r="31" spans="1:12" s="247" customFormat="1">
      <c r="A31" s="296"/>
      <c r="B31" s="258"/>
      <c r="C31" s="256"/>
      <c r="D31" s="2"/>
      <c r="E31" s="2"/>
      <c r="K31" s="258"/>
      <c r="L31" s="256"/>
    </row>
    <row r="32" spans="1:12" s="247" customFormat="1">
      <c r="A32" s="258"/>
      <c r="B32" s="258"/>
      <c r="C32" s="256"/>
      <c r="D32" s="2"/>
      <c r="E32" s="2"/>
      <c r="K32" s="258"/>
      <c r="L32" s="256"/>
    </row>
    <row r="33" spans="1:12" s="264" customFormat="1">
      <c r="A33" s="258"/>
      <c r="B33" s="258"/>
      <c r="C33" s="256"/>
      <c r="D33" s="2"/>
      <c r="E33" s="2"/>
      <c r="K33" s="258"/>
      <c r="L33" s="256"/>
    </row>
    <row r="34" spans="1:12" s="264" customFormat="1">
      <c r="A34" s="258"/>
      <c r="B34" s="258"/>
      <c r="C34" s="256"/>
      <c r="D34" s="2"/>
      <c r="E34" s="2"/>
      <c r="K34" s="258"/>
    </row>
    <row r="35" spans="1:12" s="264" customFormat="1">
      <c r="A35" s="258"/>
      <c r="B35" s="258"/>
      <c r="C35" s="256"/>
      <c r="D35" s="2"/>
      <c r="E35" s="2"/>
      <c r="K35" s="258"/>
    </row>
    <row r="36" spans="1:12" s="264" customFormat="1">
      <c r="A36" s="258"/>
      <c r="B36" s="258"/>
      <c r="C36" s="256"/>
      <c r="D36" s="2"/>
      <c r="E36" s="2"/>
      <c r="K36" s="258"/>
    </row>
    <row r="37" spans="1:12" s="264" customFormat="1">
      <c r="A37" s="258"/>
      <c r="B37" s="258"/>
      <c r="C37" s="256"/>
      <c r="D37" s="2"/>
      <c r="E37" s="2"/>
      <c r="K37" s="258"/>
    </row>
    <row r="38" spans="1:12" s="247" customFormat="1">
      <c r="A38" s="258"/>
      <c r="B38" s="258"/>
      <c r="C38" s="256"/>
      <c r="D38" s="2"/>
      <c r="E38" s="2"/>
      <c r="K38" s="258"/>
    </row>
    <row r="39" spans="1:12" s="247" customFormat="1" ht="15.75">
      <c r="A39" s="261"/>
      <c r="B39" s="258"/>
      <c r="C39" s="256"/>
      <c r="D39" s="2"/>
      <c r="E39" s="2"/>
      <c r="K39" s="258"/>
    </row>
    <row r="40" spans="1:12" s="247" customFormat="1" ht="295.5" customHeight="1">
      <c r="A40" s="262"/>
      <c r="B40" s="259"/>
      <c r="C40" s="256"/>
      <c r="D40" s="2"/>
      <c r="E40" s="2"/>
    </row>
    <row r="41" spans="1:12">
      <c r="A41" s="258"/>
      <c r="B41" s="258"/>
      <c r="C41" s="256"/>
    </row>
    <row r="42" spans="1:12" s="247" customFormat="1">
      <c r="A42" s="243"/>
      <c r="B42" s="249"/>
      <c r="C42" s="2"/>
      <c r="D42" s="2"/>
      <c r="E42" s="2"/>
    </row>
    <row r="43" spans="1:12" s="247" customFormat="1">
      <c r="A43" s="243"/>
      <c r="B43" s="248"/>
      <c r="C43" s="2"/>
      <c r="D43" s="2"/>
      <c r="E43" s="2"/>
    </row>
    <row r="44" spans="1:12">
      <c r="A44" s="216"/>
      <c r="B44" s="213"/>
      <c r="C44" s="217"/>
      <c r="D44" s="209"/>
    </row>
    <row r="45" spans="1:12">
      <c r="A45" s="216"/>
      <c r="B45" s="213"/>
      <c r="C45" s="217"/>
      <c r="D45" s="217"/>
      <c r="E45" s="210"/>
    </row>
    <row r="46" spans="1:12">
      <c r="A46" s="216"/>
      <c r="B46" s="213"/>
      <c r="C46" s="217"/>
      <c r="D46" s="210"/>
      <c r="E46" s="210"/>
    </row>
    <row r="47" spans="1:12">
      <c r="A47" s="216"/>
      <c r="B47" s="213"/>
      <c r="C47" s="215"/>
      <c r="D47" s="211"/>
      <c r="E47" s="210"/>
    </row>
    <row r="48" spans="1:12">
      <c r="A48" s="216"/>
      <c r="B48" s="213"/>
      <c r="C48" s="217"/>
      <c r="D48" s="211"/>
      <c r="E48" s="210"/>
    </row>
    <row r="49" spans="1:5">
      <c r="A49" s="216"/>
      <c r="B49" s="213"/>
      <c r="C49" s="217"/>
      <c r="D49" s="211"/>
      <c r="E49" s="210"/>
    </row>
    <row r="50" spans="1:5">
      <c r="A50" s="216"/>
      <c r="B50" s="213"/>
      <c r="C50" s="217"/>
      <c r="D50" s="211"/>
      <c r="E50" s="210"/>
    </row>
    <row r="51" spans="1:5">
      <c r="A51" s="216"/>
      <c r="B51" s="213"/>
      <c r="C51" s="217"/>
      <c r="D51" s="211"/>
      <c r="E51" s="210"/>
    </row>
    <row r="52" spans="1:5">
      <c r="A52" s="216"/>
      <c r="B52" s="213"/>
      <c r="C52" s="217"/>
      <c r="D52" s="211"/>
      <c r="E52" s="210"/>
    </row>
    <row r="53" spans="1:5">
      <c r="A53" s="216"/>
      <c r="B53" s="247"/>
      <c r="C53" s="217"/>
      <c r="D53" s="211"/>
      <c r="E53" s="210"/>
    </row>
    <row r="54" spans="1:5">
      <c r="A54" s="216"/>
      <c r="B54" s="213"/>
      <c r="C54" s="217"/>
      <c r="D54" s="211"/>
      <c r="E54" s="210"/>
    </row>
    <row r="55" spans="1:5">
      <c r="A55" s="216"/>
      <c r="B55" s="213"/>
      <c r="C55" s="217"/>
      <c r="D55" s="211"/>
      <c r="E55" s="210"/>
    </row>
    <row r="56" spans="1:5">
      <c r="A56" s="236"/>
      <c r="B56" s="213"/>
      <c r="C56" s="217"/>
      <c r="D56" s="210"/>
      <c r="E56" s="210"/>
    </row>
    <row r="57" spans="1:5">
      <c r="A57" s="216"/>
      <c r="B57" s="213"/>
      <c r="C57" s="217"/>
      <c r="D57" s="211"/>
      <c r="E57" s="210"/>
    </row>
    <row r="58" spans="1:5">
      <c r="A58" s="216"/>
      <c r="B58" s="247"/>
      <c r="C58" s="217"/>
    </row>
    <row r="59" spans="1:5">
      <c r="A59" s="216"/>
      <c r="B59" s="247"/>
      <c r="C59" s="217"/>
    </row>
    <row r="60" spans="1:5">
      <c r="A60" s="216"/>
      <c r="B60" s="247"/>
      <c r="C60" s="217"/>
      <c r="D60" s="108"/>
    </row>
    <row r="61" spans="1:5">
      <c r="A61" s="216"/>
      <c r="B61" s="244"/>
      <c r="C61" s="217"/>
      <c r="D61" s="108"/>
    </row>
    <row r="62" spans="1:5">
      <c r="A62" s="216"/>
      <c r="B62" s="244"/>
      <c r="C62" s="217"/>
      <c r="D62" s="108"/>
    </row>
    <row r="63" spans="1:5">
      <c r="A63" s="216"/>
      <c r="B63" s="244"/>
      <c r="C63" s="217"/>
      <c r="D63" s="108"/>
    </row>
    <row r="64" spans="1:5">
      <c r="A64" s="216"/>
      <c r="B64" s="244"/>
      <c r="C64" s="217"/>
      <c r="D64" s="108"/>
    </row>
    <row r="65" spans="1:4">
      <c r="A65" s="216"/>
      <c r="B65" s="244"/>
      <c r="C65" s="217"/>
      <c r="D65" s="108"/>
    </row>
    <row r="66" spans="1:4">
      <c r="A66" s="216"/>
      <c r="B66" s="244"/>
      <c r="C66" s="217"/>
      <c r="D66" s="108"/>
    </row>
    <row r="67" spans="1:4">
      <c r="A67" s="216"/>
      <c r="B67" s="244"/>
      <c r="C67" s="217"/>
      <c r="D67" s="108"/>
    </row>
    <row r="68" spans="1:4">
      <c r="A68" s="216"/>
      <c r="B68" s="244"/>
      <c r="C68" s="217"/>
      <c r="D68" s="108"/>
    </row>
    <row r="69" spans="1:4">
      <c r="A69" s="216"/>
      <c r="B69" s="244"/>
      <c r="C69" s="217"/>
      <c r="D69" s="108"/>
    </row>
    <row r="70" spans="1:4">
      <c r="A70" s="216"/>
      <c r="B70" s="244"/>
      <c r="C70" s="217"/>
      <c r="D70" s="108"/>
    </row>
    <row r="71" spans="1:4">
      <c r="A71" s="216"/>
      <c r="B71" s="244"/>
      <c r="C71" s="217"/>
      <c r="D71" s="108"/>
    </row>
    <row r="72" spans="1:4">
      <c r="A72" s="216"/>
      <c r="B72" s="244"/>
      <c r="C72" s="217"/>
      <c r="D72" s="108"/>
    </row>
    <row r="73" spans="1:4">
      <c r="A73" s="216"/>
      <c r="B73" s="213"/>
      <c r="C73" s="217"/>
      <c r="D73" s="108"/>
    </row>
    <row r="74" spans="1:4">
      <c r="A74" s="216"/>
      <c r="B74" s="213"/>
      <c r="C74" s="217"/>
      <c r="D74" s="108"/>
    </row>
    <row r="75" spans="1:4">
      <c r="A75" s="216"/>
      <c r="B75" s="213"/>
      <c r="C75" s="217"/>
      <c r="D75" s="108"/>
    </row>
    <row r="76" spans="1:4">
      <c r="A76" s="216"/>
      <c r="B76" s="213"/>
      <c r="C76" s="217"/>
      <c r="D76" s="108"/>
    </row>
    <row r="77" spans="1:4">
      <c r="A77" s="216"/>
      <c r="B77" s="213"/>
      <c r="C77" s="217"/>
      <c r="D77" s="108"/>
    </row>
    <row r="78" spans="1:4">
      <c r="A78" s="216"/>
      <c r="B78" s="213"/>
      <c r="C78" s="217"/>
      <c r="D78" s="108"/>
    </row>
    <row r="79" spans="1:4">
      <c r="A79" s="216"/>
      <c r="B79" s="213"/>
      <c r="C79" s="217"/>
      <c r="D79" s="108"/>
    </row>
    <row r="80" spans="1:4">
      <c r="A80" s="216"/>
      <c r="B80" s="213"/>
      <c r="C80" s="217"/>
      <c r="D80" s="108"/>
    </row>
    <row r="81" spans="1:4">
      <c r="A81" s="216"/>
      <c r="B81" s="213"/>
      <c r="C81" s="217"/>
      <c r="D81" s="108"/>
    </row>
    <row r="82" spans="1:4">
      <c r="A82" s="216"/>
      <c r="B82" s="213"/>
      <c r="C82" s="217"/>
      <c r="D82" s="108"/>
    </row>
    <row r="83" spans="1:4">
      <c r="A83" s="219"/>
      <c r="B83" s="213"/>
      <c r="C83" s="217"/>
      <c r="D83" s="108"/>
    </row>
    <row r="84" spans="1:4">
      <c r="A84" s="216"/>
      <c r="B84" s="213"/>
      <c r="C84" s="217"/>
      <c r="D84" s="108"/>
    </row>
    <row r="85" spans="1:4">
      <c r="A85" s="216"/>
      <c r="B85" s="213"/>
      <c r="C85" s="217"/>
      <c r="D85" s="108"/>
    </row>
    <row r="86" spans="1:4">
      <c r="A86" s="216"/>
      <c r="B86" s="213"/>
      <c r="C86" s="217"/>
      <c r="D86" s="108"/>
    </row>
    <row r="87" spans="1:4">
      <c r="A87" s="216"/>
      <c r="B87" s="213"/>
      <c r="C87" s="217"/>
      <c r="D87" s="108"/>
    </row>
    <row r="88" spans="1:4">
      <c r="A88" s="216"/>
      <c r="B88" s="213"/>
      <c r="C88" s="217"/>
      <c r="D88"/>
    </row>
    <row r="89" spans="1:4">
      <c r="A89" s="216"/>
      <c r="B89" s="213"/>
      <c r="C89" s="217"/>
      <c r="D89" s="108"/>
    </row>
    <row r="90" spans="1:4">
      <c r="A90" s="216"/>
      <c r="B90" s="213"/>
      <c r="C90" s="217"/>
      <c r="D90" s="108"/>
    </row>
    <row r="91" spans="1:4">
      <c r="A91" s="216"/>
      <c r="B91" s="213"/>
      <c r="C91" s="217"/>
      <c r="D91" s="108"/>
    </row>
    <row r="92" spans="1:4">
      <c r="A92" s="216"/>
      <c r="B92" s="213"/>
      <c r="C92" s="217"/>
      <c r="D92" s="108"/>
    </row>
    <row r="93" spans="1:4">
      <c r="A93" s="216"/>
      <c r="B93" s="213"/>
      <c r="C93" s="217"/>
      <c r="D93" s="108"/>
    </row>
    <row r="94" spans="1:4">
      <c r="A94" s="216"/>
      <c r="B94" s="213"/>
      <c r="C94" s="217"/>
      <c r="D94" s="108"/>
    </row>
    <row r="95" spans="1:4">
      <c r="A95" s="216"/>
      <c r="B95" s="213"/>
      <c r="C95" s="217"/>
      <c r="D95" s="108"/>
    </row>
    <row r="96" spans="1:4">
      <c r="A96" s="216"/>
      <c r="B96" s="213"/>
      <c r="C96" s="217"/>
      <c r="D96" s="108"/>
    </row>
    <row r="97" spans="1:4">
      <c r="A97" s="216"/>
      <c r="B97" s="213"/>
      <c r="C97" s="217"/>
      <c r="D97" s="108"/>
    </row>
    <row r="98" spans="1:4">
      <c r="A98" s="216"/>
      <c r="B98" s="213"/>
      <c r="C98" s="217"/>
      <c r="D98" s="108"/>
    </row>
    <row r="99" spans="1:4">
      <c r="A99" s="214"/>
      <c r="B99" s="213"/>
      <c r="C99" s="217"/>
      <c r="D99" s="108"/>
    </row>
    <row r="100" spans="1:4">
      <c r="A100" s="214"/>
      <c r="B100" s="213"/>
      <c r="C100" s="217"/>
      <c r="D100" s="108"/>
    </row>
    <row r="101" spans="1:4">
      <c r="A101" s="214"/>
      <c r="B101" s="213"/>
      <c r="C101" s="217"/>
      <c r="D101"/>
    </row>
    <row r="102" spans="1:4">
      <c r="A102" s="214"/>
      <c r="B102" s="213"/>
      <c r="C102" s="217"/>
      <c r="D102" s="108"/>
    </row>
    <row r="103" spans="1:4">
      <c r="A103" s="168"/>
      <c r="B103" s="218"/>
      <c r="C103" s="218"/>
      <c r="D103" s="108"/>
    </row>
    <row r="104" spans="1:4">
      <c r="A104" s="168"/>
      <c r="C104" s="177"/>
      <c r="D104" s="108"/>
    </row>
    <row r="105" spans="1:4">
      <c r="A105" s="168"/>
      <c r="C105" s="177"/>
      <c r="D105" s="108"/>
    </row>
    <row r="106" spans="1:4">
      <c r="C106" s="177"/>
      <c r="D106" s="108"/>
    </row>
    <row r="107" spans="1:4">
      <c r="C107" s="177"/>
      <c r="D107" s="108"/>
    </row>
    <row r="108" spans="1:4">
      <c r="C108" s="177"/>
      <c r="D108" s="108"/>
    </row>
    <row r="109" spans="1:4">
      <c r="C109" s="177"/>
      <c r="D109" s="108"/>
    </row>
    <row r="110" spans="1:4">
      <c r="C110" s="177"/>
      <c r="D110" s="108"/>
    </row>
    <row r="111" spans="1:4">
      <c r="C111" s="177"/>
      <c r="D111" s="108"/>
    </row>
    <row r="112" spans="1:4">
      <c r="C112" s="177"/>
      <c r="D112" s="108"/>
    </row>
    <row r="113" spans="3:4">
      <c r="C113" s="177"/>
      <c r="D113" s="108"/>
    </row>
    <row r="114" spans="3:4">
      <c r="C114" s="177"/>
      <c r="D114" s="108"/>
    </row>
    <row r="115" spans="3:4">
      <c r="C115" s="177"/>
      <c r="D115" s="108"/>
    </row>
    <row r="116" spans="3:4">
      <c r="C116" s="177"/>
      <c r="D116" s="108"/>
    </row>
    <row r="117" spans="3:4">
      <c r="C117" s="177"/>
      <c r="D117" s="108"/>
    </row>
    <row r="118" spans="3:4">
      <c r="C118" s="177"/>
      <c r="D118" s="108"/>
    </row>
    <row r="119" spans="3:4">
      <c r="C119" s="177"/>
      <c r="D119" s="108"/>
    </row>
    <row r="120" spans="3:4">
      <c r="C120" s="177"/>
      <c r="D120" s="108"/>
    </row>
    <row r="121" spans="3:4">
      <c r="C121" s="177"/>
      <c r="D121" s="108"/>
    </row>
    <row r="122" spans="3:4">
      <c r="C122" s="177"/>
      <c r="D122" s="108"/>
    </row>
    <row r="123" spans="3:4">
      <c r="C123" s="177"/>
      <c r="D123" s="108"/>
    </row>
    <row r="124" spans="3:4">
      <c r="C124" s="177"/>
      <c r="D124"/>
    </row>
    <row r="125" spans="3:4">
      <c r="C125" s="177"/>
      <c r="D125" s="108"/>
    </row>
    <row r="126" spans="3:4">
      <c r="C126" s="177"/>
      <c r="D126" s="108"/>
    </row>
    <row r="127" spans="3:4">
      <c r="C127" s="177"/>
      <c r="D127" s="108"/>
    </row>
    <row r="128" spans="3:4">
      <c r="C128" s="177"/>
      <c r="D128" s="108"/>
    </row>
    <row r="129" spans="3:4">
      <c r="C129" s="177"/>
      <c r="D129" s="108"/>
    </row>
    <row r="130" spans="3:4">
      <c r="C130" s="177"/>
      <c r="D130" s="108"/>
    </row>
    <row r="131" spans="3:4">
      <c r="C131" s="177"/>
      <c r="D131" s="108"/>
    </row>
    <row r="132" spans="3:4">
      <c r="C132" s="177"/>
      <c r="D132" s="108"/>
    </row>
    <row r="133" spans="3:4">
      <c r="C133" s="177"/>
      <c r="D133" s="108"/>
    </row>
    <row r="134" spans="3:4">
      <c r="C134" s="177"/>
      <c r="D134" s="108"/>
    </row>
    <row r="135" spans="3:4">
      <c r="C135" s="177"/>
      <c r="D135" s="108"/>
    </row>
    <row r="136" spans="3:4">
      <c r="C136" s="177"/>
      <c r="D136" s="108"/>
    </row>
    <row r="137" spans="3:4">
      <c r="C137" s="177"/>
      <c r="D137" s="108"/>
    </row>
    <row r="138" spans="3:4">
      <c r="C138" s="177"/>
      <c r="D138" s="108"/>
    </row>
    <row r="139" spans="3:4">
      <c r="C139" s="177"/>
      <c r="D139" s="108"/>
    </row>
    <row r="140" spans="3:4">
      <c r="C140" s="177"/>
      <c r="D140" s="108"/>
    </row>
    <row r="141" spans="3:4">
      <c r="C141" s="177"/>
      <c r="D141" s="108"/>
    </row>
    <row r="142" spans="3:4">
      <c r="C142" s="177"/>
      <c r="D142" s="108"/>
    </row>
    <row r="143" spans="3:4">
      <c r="C143" s="177"/>
      <c r="D143" s="108"/>
    </row>
    <row r="144" spans="3:4">
      <c r="C144" s="177"/>
      <c r="D144" s="108"/>
    </row>
    <row r="145" spans="3:4">
      <c r="C145" s="177"/>
      <c r="D145" s="108"/>
    </row>
    <row r="146" spans="3:4">
      <c r="C146" s="177"/>
      <c r="D146" s="108"/>
    </row>
    <row r="147" spans="3:4">
      <c r="C147" s="177"/>
      <c r="D147" s="108"/>
    </row>
    <row r="148" spans="3:4">
      <c r="C148" s="177"/>
      <c r="D148" s="108"/>
    </row>
    <row r="149" spans="3:4">
      <c r="C149" s="177"/>
      <c r="D149" s="108"/>
    </row>
    <row r="150" spans="3:4">
      <c r="C150" s="177"/>
      <c r="D150" s="108"/>
    </row>
    <row r="151" spans="3:4">
      <c r="C151" s="177"/>
      <c r="D151"/>
    </row>
    <row r="152" spans="3:4">
      <c r="C152" s="177"/>
      <c r="D152" s="108"/>
    </row>
    <row r="153" spans="3:4">
      <c r="C153" s="177"/>
      <c r="D153" s="108"/>
    </row>
    <row r="154" spans="3:4">
      <c r="C154" s="177"/>
      <c r="D154" s="108"/>
    </row>
    <row r="155" spans="3:4">
      <c r="C155" s="177"/>
      <c r="D155" s="108"/>
    </row>
    <row r="156" spans="3:4">
      <c r="C156" s="177"/>
      <c r="D156" s="108"/>
    </row>
    <row r="157" spans="3:4">
      <c r="C157" s="177"/>
      <c r="D157" s="108"/>
    </row>
    <row r="158" spans="3:4">
      <c r="C158" s="177"/>
      <c r="D158" s="108"/>
    </row>
    <row r="159" spans="3:4">
      <c r="C159" s="177"/>
      <c r="D159"/>
    </row>
    <row r="160" spans="3:4">
      <c r="C160" s="177"/>
      <c r="D160" s="108"/>
    </row>
    <row r="161" spans="3:4">
      <c r="C161" s="177"/>
      <c r="D161" s="108"/>
    </row>
    <row r="162" spans="3:4">
      <c r="C162" s="177"/>
      <c r="D162" s="108"/>
    </row>
    <row r="163" spans="3:4">
      <c r="C163" s="177"/>
      <c r="D163" s="108"/>
    </row>
    <row r="164" spans="3:4">
      <c r="C164" s="177"/>
      <c r="D164" s="108"/>
    </row>
    <row r="165" spans="3:4">
      <c r="C165" s="177"/>
      <c r="D165" s="108"/>
    </row>
    <row r="166" spans="3:4">
      <c r="C166" s="177"/>
      <c r="D166"/>
    </row>
    <row r="167" spans="3:4">
      <c r="C167" s="177"/>
      <c r="D167" s="108"/>
    </row>
    <row r="168" spans="3:4">
      <c r="C168" s="177"/>
      <c r="D168" s="108"/>
    </row>
    <row r="169" spans="3:4">
      <c r="C169" s="177"/>
      <c r="D169" s="108"/>
    </row>
    <row r="170" spans="3:4">
      <c r="C170" s="177"/>
      <c r="D170" s="108"/>
    </row>
    <row r="171" spans="3:4">
      <c r="C171" s="177"/>
      <c r="D171" s="108"/>
    </row>
    <row r="172" spans="3:4">
      <c r="C172" s="177"/>
      <c r="D172" s="108"/>
    </row>
    <row r="173" spans="3:4">
      <c r="C173" s="177"/>
      <c r="D173" s="108"/>
    </row>
    <row r="174" spans="3:4">
      <c r="C174" s="177"/>
      <c r="D174" s="108"/>
    </row>
    <row r="175" spans="3:4">
      <c r="C175" s="177"/>
      <c r="D175" s="108"/>
    </row>
    <row r="176" spans="3:4">
      <c r="C176" s="177"/>
      <c r="D176" s="108"/>
    </row>
    <row r="177" spans="3:4">
      <c r="C177" s="177"/>
      <c r="D177" s="108"/>
    </row>
    <row r="178" spans="3:4">
      <c r="C178" s="177"/>
      <c r="D178" s="108"/>
    </row>
    <row r="179" spans="3:4">
      <c r="C179" s="177"/>
      <c r="D179" s="108"/>
    </row>
    <row r="180" spans="3:4">
      <c r="C180" s="177"/>
      <c r="D180" s="108"/>
    </row>
    <row r="181" spans="3:4">
      <c r="C181" s="177"/>
      <c r="D181" s="108"/>
    </row>
    <row r="182" spans="3:4">
      <c r="C182" s="177"/>
      <c r="D182" s="108"/>
    </row>
    <row r="183" spans="3:4">
      <c r="C183" s="177"/>
      <c r="D183" s="108"/>
    </row>
    <row r="184" spans="3:4">
      <c r="C184" s="177"/>
      <c r="D184" s="108"/>
    </row>
    <row r="185" spans="3:4">
      <c r="C185" s="177"/>
      <c r="D185" s="108"/>
    </row>
    <row r="186" spans="3:4">
      <c r="C186" s="177"/>
      <c r="D186" s="108"/>
    </row>
    <row r="187" spans="3:4">
      <c r="C187" s="177"/>
      <c r="D187" s="108"/>
    </row>
    <row r="188" spans="3:4">
      <c r="C188" s="177"/>
      <c r="D188" s="108"/>
    </row>
    <row r="189" spans="3:4">
      <c r="C189" s="177"/>
      <c r="D189" s="108"/>
    </row>
    <row r="190" spans="3:4">
      <c r="C190" s="177"/>
      <c r="D190" s="108"/>
    </row>
    <row r="191" spans="3:4">
      <c r="C191" s="177"/>
      <c r="D191" s="108"/>
    </row>
    <row r="192" spans="3:4">
      <c r="C192" s="177"/>
      <c r="D192" s="108"/>
    </row>
    <row r="193" spans="3:4">
      <c r="C193" s="177"/>
      <c r="D193" s="108"/>
    </row>
    <row r="194" spans="3:4">
      <c r="C194" s="177"/>
      <c r="D194" s="108"/>
    </row>
  </sheetData>
  <printOptions horizontalCentered="1"/>
  <pageMargins left="0.7" right="0.7" top="1.25" bottom="0.75" header="0.8" footer="0.3"/>
  <pageSetup paperSize="5" orientation="portrait" r:id="rId1"/>
  <headerFooter>
    <oddHeader>&amp;L&amp;D &amp;T&amp;C&amp;"-,Bold"Q-CASH SETTLEMENT A/C GL-115120101&amp;R PAGE &amp;P OF &amp;N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89"/>
  <sheetViews>
    <sheetView view="pageLayout" topLeftCell="A13" workbookViewId="0">
      <selection activeCell="A23" sqref="A23"/>
    </sheetView>
  </sheetViews>
  <sheetFormatPr defaultRowHeight="15"/>
  <cols>
    <col min="1" max="1" width="40" customWidth="1"/>
    <col min="2" max="2" width="9.5703125" style="1" customWidth="1"/>
    <col min="3" max="3" width="12.5703125" style="2" bestFit="1" customWidth="1"/>
    <col min="4" max="4" width="12.85546875" style="2" customWidth="1"/>
    <col min="5" max="5" width="14.140625" style="2" customWidth="1"/>
    <col min="7" max="7" width="14.85546875" customWidth="1"/>
    <col min="8" max="8" width="0.140625" customWidth="1"/>
  </cols>
  <sheetData>
    <row r="1" spans="1:11">
      <c r="A1" s="28" t="s">
        <v>27</v>
      </c>
      <c r="B1" s="29"/>
      <c r="C1" s="30" t="s">
        <v>28</v>
      </c>
      <c r="D1" s="30" t="s">
        <v>21</v>
      </c>
      <c r="E1" s="30" t="s">
        <v>29</v>
      </c>
    </row>
    <row r="2" spans="1:11">
      <c r="A2" s="5" t="s">
        <v>30</v>
      </c>
      <c r="B2" s="181" t="str">
        <f>'1. IBT'!$B$2</f>
        <v>30.10.2019</v>
      </c>
      <c r="C2" s="7"/>
      <c r="D2" s="7"/>
      <c r="E2" s="82">
        <v>31735159.420000002</v>
      </c>
    </row>
    <row r="3" spans="1:11">
      <c r="A3" s="5" t="s">
        <v>42</v>
      </c>
      <c r="B3" s="6"/>
      <c r="C3" s="7"/>
      <c r="D3" s="7">
        <f>'Front Sheet'!E5</f>
        <v>8973500</v>
      </c>
      <c r="E3" s="7">
        <f>E2+D3</f>
        <v>40708659.420000002</v>
      </c>
    </row>
    <row r="4" spans="1:11">
      <c r="A4" s="5" t="s">
        <v>43</v>
      </c>
      <c r="B4" s="6"/>
      <c r="C4" s="7"/>
      <c r="D4" s="7">
        <f>'Front Sheet'!E6</f>
        <v>406021.79</v>
      </c>
      <c r="E4" s="7">
        <f>E3+D4</f>
        <v>41114681.210000001</v>
      </c>
    </row>
    <row r="5" spans="1:11">
      <c r="A5" s="5" t="s">
        <v>41</v>
      </c>
      <c r="B5" s="6"/>
      <c r="C5" s="7"/>
      <c r="D5" s="7">
        <f>'Front Sheet'!E10</f>
        <v>545</v>
      </c>
      <c r="E5" s="7">
        <f>E4+D5</f>
        <v>41115226.210000001</v>
      </c>
    </row>
    <row r="6" spans="1:11">
      <c r="A6" s="5" t="s">
        <v>82</v>
      </c>
      <c r="B6" s="6"/>
      <c r="C6" s="7">
        <f>'Front Sheet'!H12</f>
        <v>35</v>
      </c>
      <c r="D6" s="7"/>
      <c r="E6" s="7">
        <f>E5+D6-C6</f>
        <v>41115191.210000001</v>
      </c>
    </row>
    <row r="7" spans="1:11">
      <c r="A7" s="5" t="s">
        <v>44</v>
      </c>
      <c r="B7" s="6"/>
      <c r="C7" s="7">
        <f>'Front Sheet'!H13</f>
        <v>0</v>
      </c>
      <c r="D7" s="7">
        <f>'Front Sheet'!E11</f>
        <v>45</v>
      </c>
      <c r="E7" s="7">
        <f>E6+D7-C7</f>
        <v>41115236.210000001</v>
      </c>
    </row>
    <row r="8" spans="1:11">
      <c r="A8" s="5" t="s">
        <v>67</v>
      </c>
      <c r="B8" s="6"/>
      <c r="C8" s="7">
        <f>'Front Sheet'!H9</f>
        <v>372840</v>
      </c>
      <c r="D8" s="7"/>
      <c r="E8" s="7">
        <f>E7-C8+D8</f>
        <v>40742396.210000001</v>
      </c>
      <c r="H8" s="2">
        <f>SUM(D3:D9)-SUM(C3:C9)</f>
        <v>9007236.7899999991</v>
      </c>
    </row>
    <row r="9" spans="1:11">
      <c r="A9" s="5"/>
      <c r="B9" s="6"/>
      <c r="C9" s="7"/>
      <c r="D9" s="7"/>
      <c r="E9" s="7"/>
    </row>
    <row r="10" spans="1:11">
      <c r="A10" s="5" t="s">
        <v>45</v>
      </c>
      <c r="B10" s="6"/>
      <c r="C10" s="7"/>
      <c r="D10" s="7">
        <f>'Front Sheet'!D5*20</f>
        <v>21480</v>
      </c>
      <c r="E10" s="7">
        <f>E8-C10+D10</f>
        <v>40763876.210000001</v>
      </c>
      <c r="H10" s="2"/>
    </row>
    <row r="11" spans="1:11">
      <c r="A11" s="32" t="s">
        <v>273</v>
      </c>
      <c r="B11" s="6"/>
      <c r="C11" s="36">
        <v>446.17</v>
      </c>
      <c r="D11" s="7">
        <v>0</v>
      </c>
      <c r="E11" s="7">
        <f>E10-C11+D11</f>
        <v>40763430.039999999</v>
      </c>
      <c r="H11" s="2">
        <f>C11-D11</f>
        <v>446.17</v>
      </c>
    </row>
    <row r="12" spans="1:11">
      <c r="A12" s="5"/>
      <c r="B12" s="6"/>
      <c r="C12" s="7"/>
      <c r="D12" s="7"/>
      <c r="E12" s="7"/>
    </row>
    <row r="13" spans="1:11">
      <c r="A13" s="34" t="s">
        <v>36</v>
      </c>
      <c r="B13" s="6"/>
      <c r="C13" s="7"/>
      <c r="D13" s="7"/>
      <c r="E13" s="7"/>
    </row>
    <row r="14" spans="1:11" ht="34.5" customHeight="1">
      <c r="A14" s="188" t="s">
        <v>313</v>
      </c>
      <c r="B14" s="6"/>
      <c r="C14" s="9">
        <v>0</v>
      </c>
      <c r="D14" s="33">
        <v>0</v>
      </c>
      <c r="E14" s="7">
        <f>E11+D14-C14</f>
        <v>40763430.039999999</v>
      </c>
      <c r="G14" s="2"/>
      <c r="H14" s="2">
        <f>D14-C14+D16-C16</f>
        <v>0</v>
      </c>
    </row>
    <row r="15" spans="1:11">
      <c r="A15" s="5" t="s">
        <v>61</v>
      </c>
      <c r="B15" s="6"/>
      <c r="C15" s="7"/>
      <c r="D15" s="33">
        <v>0</v>
      </c>
      <c r="E15" s="7">
        <f>E14+D15</f>
        <v>40763430.039999999</v>
      </c>
      <c r="K15" s="266"/>
    </row>
    <row r="16" spans="1:11" ht="15" customHeight="1">
      <c r="A16" s="32" t="s">
        <v>286</v>
      </c>
      <c r="B16" s="6"/>
      <c r="C16" s="7">
        <v>0</v>
      </c>
      <c r="D16" s="33">
        <v>0</v>
      </c>
      <c r="E16" s="7">
        <f>E15+D16-C16</f>
        <v>40763430.039999999</v>
      </c>
    </row>
    <row r="17" spans="1:8" ht="79.5">
      <c r="A17" s="187" t="s">
        <v>312</v>
      </c>
      <c r="B17" s="6"/>
      <c r="C17" s="33">
        <v>27080</v>
      </c>
      <c r="D17" s="9">
        <v>0</v>
      </c>
      <c r="E17" s="7">
        <f>E16-C17+D17</f>
        <v>40736350.039999999</v>
      </c>
      <c r="H17" s="2">
        <f>C17-D17</f>
        <v>27080</v>
      </c>
    </row>
    <row r="18" spans="1:8" ht="30">
      <c r="A18" s="32" t="s">
        <v>62</v>
      </c>
      <c r="B18" s="6"/>
      <c r="C18" s="33">
        <v>0</v>
      </c>
      <c r="D18" s="7"/>
      <c r="E18" s="7">
        <f>E17-C18</f>
        <v>40736350.039999999</v>
      </c>
    </row>
    <row r="19" spans="1:8" ht="30.75" customHeight="1">
      <c r="A19" s="47" t="s">
        <v>271</v>
      </c>
      <c r="B19" s="6"/>
      <c r="C19" s="33">
        <v>0</v>
      </c>
      <c r="D19" s="7">
        <v>0</v>
      </c>
      <c r="E19" s="7">
        <f>E18-C19+D19</f>
        <v>40736350.039999999</v>
      </c>
    </row>
    <row r="20" spans="1:8" ht="52.5">
      <c r="A20" s="188" t="s">
        <v>323</v>
      </c>
      <c r="B20" s="6"/>
      <c r="C20" s="33">
        <v>7545</v>
      </c>
      <c r="D20" s="9">
        <v>0</v>
      </c>
      <c r="E20" s="7">
        <f>E19-C20+D20</f>
        <v>40728805.039999999</v>
      </c>
      <c r="H20" s="2">
        <f>D20-C20</f>
        <v>-7545</v>
      </c>
    </row>
    <row r="21" spans="1:8">
      <c r="A21" s="90" t="s">
        <v>184</v>
      </c>
      <c r="B21" s="6"/>
      <c r="C21" s="189"/>
      <c r="D21" s="7"/>
      <c r="E21" s="7"/>
      <c r="H21" s="2"/>
    </row>
    <row r="22" spans="1:8" ht="15" customHeight="1">
      <c r="A22" s="35" t="s">
        <v>311</v>
      </c>
      <c r="B22" s="6"/>
      <c r="C22" s="33">
        <v>0</v>
      </c>
      <c r="D22" s="9">
        <v>0</v>
      </c>
      <c r="E22" s="7">
        <f>E20+D22-C22</f>
        <v>40728805.039999999</v>
      </c>
      <c r="G22" s="82">
        <v>40728840.039999999</v>
      </c>
      <c r="H22" s="2">
        <f>C22-D22</f>
        <v>0</v>
      </c>
    </row>
    <row r="23" spans="1:8" ht="39" customHeight="1">
      <c r="A23" s="35" t="s">
        <v>324</v>
      </c>
      <c r="B23" s="6"/>
      <c r="C23" s="33">
        <v>35</v>
      </c>
      <c r="D23" s="9">
        <v>0</v>
      </c>
      <c r="E23" s="7">
        <f>E22+C23-D23</f>
        <v>40728840.039999999</v>
      </c>
      <c r="G23" s="180"/>
      <c r="H23" s="2">
        <f>C23-D23</f>
        <v>35</v>
      </c>
    </row>
    <row r="24" spans="1:8" ht="15.75" customHeight="1">
      <c r="A24" s="34" t="s">
        <v>54</v>
      </c>
      <c r="B24" s="43" t="str">
        <f>'1. IBT'!$B$34</f>
        <v xml:space="preserve">  02.11.2019</v>
      </c>
      <c r="C24" s="7"/>
      <c r="D24" s="7"/>
      <c r="E24" s="44">
        <f>E23</f>
        <v>40728840.039999999</v>
      </c>
      <c r="G24" s="2">
        <f>E24-G22</f>
        <v>0</v>
      </c>
    </row>
    <row r="26" spans="1:8">
      <c r="A26" s="298"/>
      <c r="B26" s="212"/>
      <c r="C26" s="224"/>
      <c r="G26" s="2"/>
    </row>
    <row r="27" spans="1:8">
      <c r="A27" s="233"/>
      <c r="B27" s="212"/>
      <c r="C27" s="224"/>
      <c r="G27" s="172"/>
    </row>
    <row r="28" spans="1:8">
      <c r="A28" s="233"/>
      <c r="B28" s="212"/>
      <c r="C28" s="224"/>
      <c r="G28" s="220"/>
    </row>
    <row r="29" spans="1:8">
      <c r="A29" s="297"/>
      <c r="B29" s="212"/>
      <c r="C29" s="224"/>
      <c r="G29" s="221"/>
    </row>
    <row r="30" spans="1:8" s="291" customFormat="1">
      <c r="A30" s="168"/>
      <c r="B30" s="212"/>
      <c r="C30" s="224"/>
      <c r="D30" s="2"/>
      <c r="E30" s="2"/>
      <c r="G30" s="221"/>
    </row>
    <row r="31" spans="1:8" s="291" customFormat="1">
      <c r="A31" s="168"/>
      <c r="B31" s="212"/>
      <c r="C31" s="224"/>
      <c r="D31" s="2"/>
      <c r="E31" s="2"/>
      <c r="G31" s="221"/>
    </row>
    <row r="32" spans="1:8" s="291" customFormat="1">
      <c r="A32" s="168"/>
      <c r="B32" s="212"/>
      <c r="C32" s="224"/>
      <c r="D32" s="2"/>
      <c r="E32" s="2"/>
      <c r="G32" s="221"/>
    </row>
    <row r="33" spans="1:7" s="291" customFormat="1">
      <c r="A33" s="168"/>
      <c r="B33" s="212"/>
      <c r="C33" s="224"/>
      <c r="D33" s="2"/>
      <c r="E33" s="2"/>
      <c r="G33" s="221"/>
    </row>
    <row r="34" spans="1:7" ht="15" customHeight="1">
      <c r="A34" s="263"/>
      <c r="B34" s="212"/>
      <c r="C34" s="224"/>
      <c r="G34" s="222"/>
    </row>
    <row r="35" spans="1:7" s="291" customFormat="1" ht="13.5" customHeight="1">
      <c r="A35" s="263"/>
      <c r="B35" s="212"/>
      <c r="C35" s="224"/>
      <c r="D35" s="2"/>
      <c r="E35" s="2"/>
      <c r="G35" s="222"/>
    </row>
    <row r="36" spans="1:7" s="291" customFormat="1" ht="18.75" customHeight="1">
      <c r="A36" s="263"/>
      <c r="B36" s="212"/>
      <c r="C36" s="224"/>
      <c r="D36" s="2"/>
      <c r="E36" s="2"/>
      <c r="G36" s="222"/>
    </row>
    <row r="37" spans="1:7" s="291" customFormat="1" ht="18.75" customHeight="1">
      <c r="A37" s="263"/>
      <c r="B37" s="212"/>
      <c r="C37" s="224"/>
      <c r="D37" s="2"/>
      <c r="E37" s="2"/>
      <c r="G37" s="222"/>
    </row>
    <row r="38" spans="1:7" s="291" customFormat="1" ht="18.75" customHeight="1">
      <c r="A38" s="263"/>
      <c r="B38" s="212"/>
      <c r="C38" s="224"/>
      <c r="D38" s="2"/>
      <c r="E38" s="2"/>
      <c r="G38" s="222"/>
    </row>
    <row r="39" spans="1:7" s="291" customFormat="1" ht="18.75" customHeight="1">
      <c r="A39" s="263"/>
      <c r="B39" s="212"/>
      <c r="C39" s="224"/>
      <c r="D39" s="2"/>
      <c r="E39" s="2"/>
      <c r="G39" s="222"/>
    </row>
    <row r="40" spans="1:7" s="291" customFormat="1" ht="18.75" customHeight="1">
      <c r="A40" s="263"/>
      <c r="B40" s="212"/>
      <c r="C40" s="224"/>
      <c r="D40" s="2"/>
      <c r="E40" s="2"/>
      <c r="G40" s="222"/>
    </row>
    <row r="41" spans="1:7" s="291" customFormat="1" ht="18.75" customHeight="1">
      <c r="A41" s="263"/>
      <c r="B41" s="212"/>
      <c r="C41" s="224"/>
      <c r="D41" s="2"/>
      <c r="E41" s="2"/>
      <c r="G41" s="222"/>
    </row>
    <row r="42" spans="1:7">
      <c r="A42" s="233"/>
      <c r="B42" s="212"/>
      <c r="C42" s="224"/>
    </row>
    <row r="43" spans="1:7" ht="15" customHeight="1">
      <c r="A43" s="233"/>
      <c r="B43" s="212"/>
      <c r="C43" s="224"/>
    </row>
    <row r="44" spans="1:7">
      <c r="A44" s="233"/>
      <c r="B44" s="212"/>
      <c r="C44" s="224"/>
      <c r="G44" s="172"/>
    </row>
    <row r="45" spans="1:7">
      <c r="A45" s="293"/>
      <c r="B45" s="292"/>
      <c r="C45" s="224"/>
      <c r="G45" s="172"/>
    </row>
    <row r="46" spans="1:7">
      <c r="A46" s="233"/>
      <c r="B46" s="212"/>
      <c r="C46" s="224"/>
      <c r="G46" s="172"/>
    </row>
    <row r="47" spans="1:7">
      <c r="A47" s="233"/>
      <c r="B47" s="212"/>
      <c r="C47" s="224"/>
      <c r="G47" s="172"/>
    </row>
    <row r="48" spans="1:7">
      <c r="A48" s="233"/>
      <c r="B48" s="212"/>
      <c r="C48" s="224"/>
      <c r="G48" s="221"/>
    </row>
    <row r="49" spans="1:4" ht="16.5" customHeight="1">
      <c r="A49" s="233"/>
      <c r="B49" s="212"/>
      <c r="C49" s="224"/>
    </row>
    <row r="50" spans="1:4" ht="15" customHeight="1">
      <c r="A50" s="233"/>
      <c r="B50" s="212"/>
      <c r="C50" s="224"/>
    </row>
    <row r="51" spans="1:4">
      <c r="A51" s="233"/>
      <c r="B51" s="212"/>
      <c r="C51" s="224"/>
    </row>
    <row r="52" spans="1:4">
      <c r="A52" s="233"/>
      <c r="B52" s="212"/>
      <c r="C52" s="224"/>
    </row>
    <row r="53" spans="1:4">
      <c r="A53" s="233"/>
      <c r="B53" s="212"/>
      <c r="C53" s="224"/>
    </row>
    <row r="54" spans="1:4">
      <c r="A54" s="233"/>
      <c r="B54" s="212"/>
      <c r="C54" s="224"/>
    </row>
    <row r="55" spans="1:4">
      <c r="A55" s="233"/>
      <c r="B55" s="212"/>
      <c r="C55" s="224"/>
    </row>
    <row r="56" spans="1:4">
      <c r="A56" s="233"/>
      <c r="B56" s="212"/>
      <c r="C56" s="224"/>
    </row>
    <row r="57" spans="1:4">
      <c r="A57" s="168"/>
      <c r="B57" s="224"/>
      <c r="C57" s="224"/>
      <c r="D57" s="168"/>
    </row>
    <row r="58" spans="1:4">
      <c r="A58" s="233"/>
      <c r="B58" s="212"/>
      <c r="C58" s="224"/>
    </row>
    <row r="59" spans="1:4">
      <c r="A59" s="237"/>
      <c r="B59" s="212"/>
      <c r="C59" s="224"/>
      <c r="D59" s="223"/>
    </row>
    <row r="60" spans="1:4">
      <c r="A60" s="233"/>
      <c r="B60" s="212"/>
      <c r="C60" s="224"/>
      <c r="D60" s="223"/>
    </row>
    <row r="61" spans="1:4">
      <c r="A61" s="233"/>
      <c r="B61" s="212"/>
      <c r="C61" s="224"/>
      <c r="D61" s="223"/>
    </row>
    <row r="62" spans="1:4">
      <c r="A62" s="233"/>
      <c r="B62" s="212"/>
      <c r="C62" s="224"/>
      <c r="D62" s="223"/>
    </row>
    <row r="63" spans="1:4">
      <c r="A63" s="233"/>
      <c r="B63" s="212"/>
      <c r="D63" s="223"/>
    </row>
    <row r="64" spans="1:4">
      <c r="A64" s="233"/>
      <c r="B64" s="212"/>
      <c r="C64" s="212"/>
      <c r="D64" s="223"/>
    </row>
    <row r="65" spans="1:4">
      <c r="A65" s="233"/>
      <c r="B65" s="212"/>
      <c r="D65" s="223"/>
    </row>
    <row r="66" spans="1:4">
      <c r="A66" s="233"/>
      <c r="B66" s="212"/>
    </row>
    <row r="67" spans="1:4">
      <c r="A67" s="233"/>
      <c r="B67" s="212"/>
      <c r="C67" s="212"/>
      <c r="D67" s="223"/>
    </row>
    <row r="68" spans="1:4">
      <c r="A68" s="233"/>
      <c r="B68" s="212"/>
      <c r="D68" s="223"/>
    </row>
    <row r="69" spans="1:4">
      <c r="A69" s="233"/>
      <c r="B69" s="212"/>
      <c r="C69" s="212"/>
      <c r="D69" s="223"/>
    </row>
    <row r="70" spans="1:4">
      <c r="A70" s="233"/>
      <c r="B70" s="212"/>
      <c r="D70" s="223"/>
    </row>
    <row r="71" spans="1:4">
      <c r="A71" s="233"/>
      <c r="B71" s="212"/>
      <c r="C71" s="217"/>
      <c r="D71" s="223"/>
    </row>
    <row r="72" spans="1:4">
      <c r="A72" s="172"/>
      <c r="B72" s="215"/>
      <c r="C72" s="217"/>
      <c r="D72" s="223"/>
    </row>
    <row r="73" spans="1:4">
      <c r="A73" s="2"/>
      <c r="B73" s="215"/>
      <c r="C73" s="217"/>
      <c r="D73" s="223"/>
    </row>
    <row r="74" spans="1:4">
      <c r="A74" s="216"/>
      <c r="B74" s="212"/>
      <c r="C74" s="217"/>
      <c r="D74" s="223"/>
    </row>
    <row r="75" spans="1:4">
      <c r="A75" s="216"/>
      <c r="B75" s="212"/>
      <c r="C75" s="217"/>
      <c r="D75" s="223"/>
    </row>
    <row r="76" spans="1:4">
      <c r="A76" s="216"/>
      <c r="B76" s="212"/>
      <c r="C76" s="217"/>
      <c r="D76" s="223"/>
    </row>
    <row r="77" spans="1:4">
      <c r="A77" s="216"/>
      <c r="B77" s="212"/>
      <c r="C77" s="217"/>
      <c r="D77" s="223"/>
    </row>
    <row r="78" spans="1:4">
      <c r="A78" s="216"/>
      <c r="B78" s="212"/>
      <c r="C78" s="215"/>
      <c r="D78" s="223"/>
    </row>
    <row r="79" spans="1:4">
      <c r="A79" s="216"/>
      <c r="B79" s="212"/>
      <c r="C79" s="217"/>
      <c r="D79" s="223"/>
    </row>
    <row r="80" spans="1:4">
      <c r="A80" s="216"/>
      <c r="B80" s="215"/>
      <c r="C80" s="217"/>
      <c r="D80" s="223"/>
    </row>
    <row r="81" spans="1:4">
      <c r="A81" s="216"/>
      <c r="B81" s="215"/>
      <c r="C81" s="217"/>
      <c r="D81" s="223"/>
    </row>
    <row r="82" spans="1:4">
      <c r="A82" s="216"/>
      <c r="B82" s="215"/>
      <c r="C82" s="217"/>
      <c r="D82" s="223"/>
    </row>
    <row r="83" spans="1:4">
      <c r="A83" s="172"/>
      <c r="B83" s="215"/>
      <c r="C83" s="217"/>
      <c r="D83" s="223"/>
    </row>
    <row r="84" spans="1:4">
      <c r="A84" s="172"/>
      <c r="B84" s="215"/>
      <c r="C84" s="217"/>
      <c r="D84" s="223"/>
    </row>
    <row r="85" spans="1:4">
      <c r="A85" s="172"/>
      <c r="B85" s="215"/>
      <c r="C85" s="217"/>
      <c r="D85" s="168"/>
    </row>
    <row r="86" spans="1:4">
      <c r="A86" s="172"/>
      <c r="B86" s="215"/>
      <c r="C86" s="215"/>
      <c r="D86" s="168"/>
    </row>
    <row r="87" spans="1:4">
      <c r="A87" s="172"/>
      <c r="B87" s="215"/>
      <c r="C87" s="217"/>
      <c r="D87" s="168"/>
    </row>
    <row r="88" spans="1:4">
      <c r="A88" s="172"/>
      <c r="B88" s="215"/>
      <c r="C88" s="217"/>
      <c r="D88" s="224"/>
    </row>
    <row r="89" spans="1:4">
      <c r="A89" s="172"/>
      <c r="B89" s="215"/>
      <c r="C89" s="217"/>
      <c r="D89" s="224"/>
    </row>
    <row r="90" spans="1:4">
      <c r="A90" s="172"/>
      <c r="B90" s="215"/>
      <c r="C90" s="215"/>
      <c r="D90" s="224"/>
    </row>
    <row r="91" spans="1:4">
      <c r="A91" s="172"/>
      <c r="B91" s="215"/>
      <c r="C91" s="217"/>
      <c r="D91" s="224"/>
    </row>
    <row r="92" spans="1:4">
      <c r="A92" s="172"/>
      <c r="B92" s="215"/>
      <c r="C92" s="217"/>
      <c r="D92" s="224"/>
    </row>
    <row r="93" spans="1:4">
      <c r="A93" s="172"/>
      <c r="B93" s="215"/>
      <c r="C93" s="217"/>
      <c r="D93" s="224"/>
    </row>
    <row r="94" spans="1:4">
      <c r="A94" s="215"/>
      <c r="B94" s="215"/>
      <c r="C94" s="217"/>
      <c r="D94" s="224"/>
    </row>
    <row r="95" spans="1:4">
      <c r="A95" s="215"/>
      <c r="B95" s="215"/>
      <c r="C95" s="217"/>
      <c r="D95" s="224"/>
    </row>
    <row r="96" spans="1:4">
      <c r="B96"/>
      <c r="C96" s="108"/>
    </row>
    <row r="97" spans="2:3">
      <c r="B97"/>
      <c r="C97" s="108"/>
    </row>
    <row r="98" spans="2:3">
      <c r="B98"/>
      <c r="C98" s="108"/>
    </row>
    <row r="99" spans="2:3">
      <c r="B99"/>
      <c r="C99" s="108"/>
    </row>
    <row r="100" spans="2:3">
      <c r="B100"/>
      <c r="C100" s="108"/>
    </row>
    <row r="101" spans="2:3">
      <c r="B101"/>
      <c r="C101" s="108"/>
    </row>
    <row r="102" spans="2:3">
      <c r="B102"/>
      <c r="C102"/>
    </row>
    <row r="103" spans="2:3">
      <c r="B103"/>
      <c r="C103" s="108"/>
    </row>
    <row r="104" spans="2:3">
      <c r="B104"/>
      <c r="C104" s="108"/>
    </row>
    <row r="105" spans="2:3">
      <c r="B105"/>
      <c r="C105" s="108"/>
    </row>
    <row r="106" spans="2:3">
      <c r="B106"/>
      <c r="C106" s="108"/>
    </row>
    <row r="107" spans="2:3">
      <c r="B107"/>
      <c r="C107" s="108"/>
    </row>
    <row r="108" spans="2:3">
      <c r="B108"/>
      <c r="C108" s="108"/>
    </row>
    <row r="109" spans="2:3">
      <c r="B109"/>
      <c r="C109" s="108"/>
    </row>
    <row r="110" spans="2:3">
      <c r="B110"/>
      <c r="C110" s="108"/>
    </row>
    <row r="111" spans="2:3">
      <c r="B111"/>
      <c r="C111" s="108"/>
    </row>
    <row r="112" spans="2:3">
      <c r="B112"/>
      <c r="C112" s="108"/>
    </row>
    <row r="113" spans="1:3">
      <c r="A113" s="185"/>
      <c r="B113" s="7"/>
      <c r="C113" s="108"/>
    </row>
    <row r="114" spans="1:3">
      <c r="A114" s="185"/>
      <c r="B114" s="5"/>
      <c r="C114" s="108"/>
    </row>
    <row r="115" spans="1:3">
      <c r="B115"/>
      <c r="C115" s="108"/>
    </row>
    <row r="116" spans="1:3">
      <c r="B116"/>
      <c r="C116" s="108"/>
    </row>
    <row r="117" spans="1:3">
      <c r="B117"/>
      <c r="C117" s="108"/>
    </row>
    <row r="118" spans="1:3">
      <c r="B118"/>
      <c r="C118" s="108"/>
    </row>
    <row r="119" spans="1:3">
      <c r="B119"/>
      <c r="C119" s="108"/>
    </row>
    <row r="120" spans="1:3">
      <c r="B120"/>
      <c r="C120" s="108"/>
    </row>
    <row r="121" spans="1:3">
      <c r="B121"/>
      <c r="C121" s="108"/>
    </row>
    <row r="122" spans="1:3">
      <c r="B122"/>
      <c r="C122" s="108"/>
    </row>
    <row r="123" spans="1:3">
      <c r="B123"/>
      <c r="C123" s="108"/>
    </row>
    <row r="124" spans="1:3">
      <c r="B124"/>
      <c r="C124" s="108"/>
    </row>
    <row r="125" spans="1:3">
      <c r="B125"/>
      <c r="C125" s="108"/>
    </row>
    <row r="126" spans="1:3">
      <c r="B126"/>
      <c r="C126" s="108"/>
    </row>
    <row r="127" spans="1:3">
      <c r="B127"/>
      <c r="C127" s="108"/>
    </row>
    <row r="128" spans="1:3">
      <c r="B128"/>
      <c r="C128"/>
    </row>
    <row r="129" spans="2:3">
      <c r="B129"/>
      <c r="C129" s="108"/>
    </row>
    <row r="130" spans="2:3">
      <c r="B130"/>
      <c r="C130" s="108"/>
    </row>
    <row r="131" spans="2:3">
      <c r="B131"/>
      <c r="C131" s="108"/>
    </row>
    <row r="132" spans="2:3">
      <c r="B132"/>
      <c r="C132"/>
    </row>
    <row r="133" spans="2:3">
      <c r="B133"/>
      <c r="C133" s="108"/>
    </row>
    <row r="134" spans="2:3">
      <c r="B134"/>
      <c r="C134" s="108"/>
    </row>
    <row r="135" spans="2:3">
      <c r="B135"/>
      <c r="C135" s="108"/>
    </row>
    <row r="136" spans="2:3">
      <c r="B136"/>
      <c r="C136" s="108"/>
    </row>
    <row r="137" spans="2:3">
      <c r="B137"/>
      <c r="C137" s="108"/>
    </row>
    <row r="138" spans="2:3">
      <c r="B138"/>
      <c r="C138" s="108"/>
    </row>
    <row r="139" spans="2:3">
      <c r="B139"/>
      <c r="C139" s="108"/>
    </row>
    <row r="140" spans="2:3">
      <c r="B140"/>
      <c r="C140" s="108"/>
    </row>
    <row r="141" spans="2:3">
      <c r="B141"/>
      <c r="C141" s="108"/>
    </row>
    <row r="142" spans="2:3">
      <c r="B142"/>
      <c r="C142" s="108"/>
    </row>
    <row r="143" spans="2:3">
      <c r="B143"/>
      <c r="C143" s="108"/>
    </row>
    <row r="144" spans="2:3">
      <c r="B144"/>
      <c r="C144" s="108"/>
    </row>
    <row r="145" spans="2:3">
      <c r="B145"/>
      <c r="C145" s="108"/>
    </row>
    <row r="146" spans="2:3">
      <c r="B146"/>
      <c r="C146" s="108"/>
    </row>
    <row r="147" spans="2:3">
      <c r="B147"/>
      <c r="C147" s="108"/>
    </row>
    <row r="148" spans="2:3">
      <c r="B148"/>
      <c r="C148" s="108"/>
    </row>
    <row r="149" spans="2:3">
      <c r="B149"/>
      <c r="C149" s="108"/>
    </row>
    <row r="150" spans="2:3">
      <c r="B150"/>
      <c r="C150" s="108"/>
    </row>
    <row r="151" spans="2:3">
      <c r="B151"/>
      <c r="C151" s="108"/>
    </row>
    <row r="152" spans="2:3">
      <c r="B152"/>
      <c r="C152" s="108"/>
    </row>
    <row r="153" spans="2:3">
      <c r="B153"/>
      <c r="C153" s="108"/>
    </row>
    <row r="154" spans="2:3">
      <c r="B154"/>
      <c r="C154" s="108"/>
    </row>
    <row r="155" spans="2:3">
      <c r="B155"/>
      <c r="C155" s="108"/>
    </row>
    <row r="156" spans="2:3">
      <c r="B156"/>
      <c r="C156"/>
    </row>
    <row r="157" spans="2:3">
      <c r="B157"/>
      <c r="C157" s="108"/>
    </row>
    <row r="158" spans="2:3">
      <c r="B158"/>
      <c r="C158" s="108"/>
    </row>
    <row r="159" spans="2:3">
      <c r="B159"/>
      <c r="C159" s="108"/>
    </row>
    <row r="160" spans="2:3">
      <c r="B160"/>
      <c r="C160" s="108"/>
    </row>
    <row r="161" spans="2:3">
      <c r="B161"/>
      <c r="C161" s="108"/>
    </row>
    <row r="162" spans="2:3">
      <c r="B162"/>
      <c r="C162" s="108"/>
    </row>
    <row r="163" spans="2:3">
      <c r="B163"/>
      <c r="C163" s="108"/>
    </row>
    <row r="164" spans="2:3">
      <c r="B164"/>
      <c r="C164" s="108"/>
    </row>
    <row r="165" spans="2:3">
      <c r="B165"/>
      <c r="C165" s="108"/>
    </row>
    <row r="166" spans="2:3">
      <c r="B166"/>
      <c r="C166" s="108"/>
    </row>
    <row r="167" spans="2:3">
      <c r="B167"/>
      <c r="C167" s="108"/>
    </row>
    <row r="168" spans="2:3">
      <c r="B168"/>
      <c r="C168" s="108"/>
    </row>
    <row r="169" spans="2:3">
      <c r="B169"/>
      <c r="C169" s="108"/>
    </row>
    <row r="170" spans="2:3">
      <c r="B170"/>
      <c r="C170" s="108"/>
    </row>
    <row r="171" spans="2:3">
      <c r="B171"/>
      <c r="C171"/>
    </row>
    <row r="172" spans="2:3">
      <c r="B172"/>
      <c r="C172" s="108"/>
    </row>
    <row r="173" spans="2:3">
      <c r="B173"/>
      <c r="C173" s="108"/>
    </row>
    <row r="174" spans="2:3">
      <c r="B174"/>
      <c r="C174" s="108"/>
    </row>
    <row r="175" spans="2:3">
      <c r="B175"/>
      <c r="C175" s="108"/>
    </row>
    <row r="176" spans="2:3">
      <c r="B176"/>
      <c r="C176" s="108"/>
    </row>
    <row r="177" spans="2:3">
      <c r="B177"/>
      <c r="C177" s="108"/>
    </row>
    <row r="178" spans="2:3">
      <c r="B178"/>
      <c r="C178"/>
    </row>
    <row r="179" spans="2:3">
      <c r="B179"/>
      <c r="C179" s="108"/>
    </row>
    <row r="180" spans="2:3">
      <c r="B180"/>
      <c r="C180" s="108"/>
    </row>
    <row r="181" spans="2:3">
      <c r="B181"/>
      <c r="C181" s="108"/>
    </row>
    <row r="182" spans="2:3">
      <c r="B182"/>
      <c r="C182" s="108"/>
    </row>
    <row r="183" spans="2:3">
      <c r="B183"/>
      <c r="C183" s="108"/>
    </row>
    <row r="184" spans="2:3">
      <c r="B184"/>
      <c r="C184" s="108"/>
    </row>
    <row r="185" spans="2:3">
      <c r="B185"/>
      <c r="C185" s="108"/>
    </row>
    <row r="186" spans="2:3">
      <c r="B186"/>
      <c r="C186" s="108"/>
    </row>
    <row r="187" spans="2:3">
      <c r="B187"/>
      <c r="C187" s="108"/>
    </row>
    <row r="188" spans="2:3">
      <c r="B188"/>
      <c r="C188" s="108"/>
    </row>
    <row r="189" spans="2:3">
      <c r="B189"/>
      <c r="C189" s="108"/>
    </row>
    <row r="190" spans="2:3">
      <c r="B190"/>
      <c r="C190" s="108"/>
    </row>
    <row r="191" spans="2:3">
      <c r="B191"/>
      <c r="C191" s="108"/>
    </row>
    <row r="192" spans="2:3">
      <c r="B192"/>
      <c r="C192" s="108"/>
    </row>
    <row r="193" spans="2:3">
      <c r="B193"/>
      <c r="C193" s="108"/>
    </row>
    <row r="194" spans="2:3">
      <c r="B194"/>
      <c r="C194"/>
    </row>
    <row r="195" spans="2:3">
      <c r="B195"/>
      <c r="C195" s="108"/>
    </row>
    <row r="196" spans="2:3">
      <c r="B196"/>
      <c r="C196" s="108"/>
    </row>
    <row r="197" spans="2:3">
      <c r="B197"/>
      <c r="C197" s="108"/>
    </row>
    <row r="198" spans="2:3">
      <c r="B198"/>
      <c r="C198" s="108"/>
    </row>
    <row r="199" spans="2:3">
      <c r="B199"/>
      <c r="C199" s="108"/>
    </row>
    <row r="200" spans="2:3">
      <c r="B200"/>
      <c r="C200" s="108"/>
    </row>
    <row r="201" spans="2:3">
      <c r="B201"/>
      <c r="C201" s="108"/>
    </row>
    <row r="202" spans="2:3">
      <c r="B202"/>
      <c r="C202" s="108"/>
    </row>
    <row r="203" spans="2:3">
      <c r="B203"/>
      <c r="C203" s="108"/>
    </row>
    <row r="204" spans="2:3">
      <c r="B204"/>
      <c r="C204" s="108"/>
    </row>
    <row r="205" spans="2:3">
      <c r="B205"/>
      <c r="C205" s="108"/>
    </row>
    <row r="206" spans="2:3">
      <c r="B206"/>
      <c r="C206" s="108"/>
    </row>
    <row r="207" spans="2:3">
      <c r="B207"/>
      <c r="C207" s="108"/>
    </row>
    <row r="208" spans="2:3">
      <c r="B208"/>
      <c r="C208" s="108"/>
    </row>
    <row r="209" spans="2:3">
      <c r="B209"/>
      <c r="C209" s="108"/>
    </row>
    <row r="210" spans="2:3">
      <c r="B210"/>
      <c r="C210" s="108"/>
    </row>
    <row r="211" spans="2:3">
      <c r="B211"/>
      <c r="C211" s="108"/>
    </row>
    <row r="212" spans="2:3">
      <c r="B212"/>
      <c r="C212" s="108"/>
    </row>
    <row r="213" spans="2:3">
      <c r="B213"/>
      <c r="C213" s="108"/>
    </row>
    <row r="214" spans="2:3">
      <c r="B214"/>
      <c r="C214"/>
    </row>
    <row r="215" spans="2:3">
      <c r="B215"/>
      <c r="C215" s="108"/>
    </row>
    <row r="216" spans="2:3">
      <c r="B216"/>
      <c r="C216" s="108"/>
    </row>
    <row r="217" spans="2:3">
      <c r="B217"/>
      <c r="C217" s="108"/>
    </row>
    <row r="218" spans="2:3">
      <c r="B218"/>
      <c r="C218" s="108"/>
    </row>
    <row r="219" spans="2:3">
      <c r="B219"/>
      <c r="C219" s="108"/>
    </row>
    <row r="220" spans="2:3">
      <c r="B220"/>
      <c r="C220" s="108"/>
    </row>
    <row r="221" spans="2:3">
      <c r="B221"/>
      <c r="C221" s="108"/>
    </row>
    <row r="222" spans="2:3">
      <c r="B222"/>
      <c r="C222" s="108"/>
    </row>
    <row r="223" spans="2:3">
      <c r="B223"/>
      <c r="C223" s="108"/>
    </row>
    <row r="224" spans="2:3">
      <c r="B224"/>
      <c r="C224" s="108"/>
    </row>
    <row r="225" spans="2:3">
      <c r="B225"/>
      <c r="C225" s="108"/>
    </row>
    <row r="226" spans="2:3">
      <c r="B226"/>
      <c r="C226" s="108"/>
    </row>
    <row r="227" spans="2:3">
      <c r="B227"/>
      <c r="C227" s="108"/>
    </row>
    <row r="228" spans="2:3">
      <c r="B228"/>
      <c r="C228" s="108"/>
    </row>
    <row r="229" spans="2:3">
      <c r="B229"/>
      <c r="C229" s="108"/>
    </row>
    <row r="230" spans="2:3">
      <c r="B230"/>
      <c r="C230" s="108"/>
    </row>
    <row r="231" spans="2:3">
      <c r="B231"/>
      <c r="C231" s="108"/>
    </row>
    <row r="232" spans="2:3">
      <c r="B232"/>
      <c r="C232" s="108"/>
    </row>
    <row r="233" spans="2:3">
      <c r="B233"/>
      <c r="C233" s="108"/>
    </row>
    <row r="234" spans="2:3">
      <c r="B234"/>
      <c r="C234" s="108"/>
    </row>
    <row r="235" spans="2:3">
      <c r="B235"/>
      <c r="C235" s="108"/>
    </row>
    <row r="236" spans="2:3">
      <c r="B236"/>
      <c r="C236" s="108"/>
    </row>
    <row r="237" spans="2:3">
      <c r="B237"/>
      <c r="C237" s="108"/>
    </row>
    <row r="238" spans="2:3">
      <c r="B238"/>
      <c r="C238" s="108"/>
    </row>
    <row r="239" spans="2:3">
      <c r="B239"/>
      <c r="C239" s="108"/>
    </row>
    <row r="240" spans="2:3">
      <c r="B240"/>
      <c r="C240" s="108"/>
    </row>
    <row r="241" spans="2:3">
      <c r="B241"/>
      <c r="C241" s="108"/>
    </row>
    <row r="242" spans="2:3">
      <c r="B242"/>
      <c r="C242" s="108"/>
    </row>
    <row r="243" spans="2:3">
      <c r="B243"/>
      <c r="C243" s="108"/>
    </row>
    <row r="244" spans="2:3">
      <c r="B244"/>
      <c r="C244" s="108"/>
    </row>
    <row r="245" spans="2:3">
      <c r="B245"/>
      <c r="C245" s="108"/>
    </row>
    <row r="246" spans="2:3">
      <c r="B246"/>
      <c r="C246" s="108"/>
    </row>
    <row r="247" spans="2:3">
      <c r="B247"/>
      <c r="C247" s="108"/>
    </row>
    <row r="248" spans="2:3">
      <c r="B248"/>
      <c r="C248" s="108"/>
    </row>
    <row r="249" spans="2:3">
      <c r="B249"/>
      <c r="C249" s="108"/>
    </row>
    <row r="250" spans="2:3">
      <c r="B250"/>
      <c r="C250" s="108"/>
    </row>
    <row r="251" spans="2:3">
      <c r="B251"/>
      <c r="C251" s="108"/>
    </row>
    <row r="252" spans="2:3">
      <c r="B252"/>
      <c r="C252" s="108"/>
    </row>
    <row r="253" spans="2:3">
      <c r="B253"/>
      <c r="C253" s="108"/>
    </row>
    <row r="254" spans="2:3">
      <c r="B254"/>
      <c r="C254" s="108"/>
    </row>
    <row r="262" spans="1:3">
      <c r="A262" s="172"/>
      <c r="B262"/>
      <c r="C262" s="108"/>
    </row>
    <row r="263" spans="1:3">
      <c r="A263" s="172"/>
      <c r="B263"/>
      <c r="C263"/>
    </row>
    <row r="264" spans="1:3">
      <c r="A264" s="172"/>
      <c r="B264"/>
      <c r="C264" s="108"/>
    </row>
    <row r="265" spans="1:3">
      <c r="A265" s="172"/>
      <c r="B265"/>
      <c r="C265"/>
    </row>
    <row r="266" spans="1:3">
      <c r="A266" s="172"/>
      <c r="B266"/>
      <c r="C266" s="108"/>
    </row>
    <row r="267" spans="1:3">
      <c r="A267" s="172"/>
      <c r="B267"/>
      <c r="C267" s="108"/>
    </row>
    <row r="268" spans="1:3">
      <c r="A268" s="172"/>
      <c r="B268"/>
      <c r="C268"/>
    </row>
    <row r="269" spans="1:3">
      <c r="A269" s="172"/>
      <c r="B269"/>
      <c r="C269" s="108"/>
    </row>
    <row r="270" spans="1:3">
      <c r="A270" s="172"/>
      <c r="B270"/>
      <c r="C270" s="108"/>
    </row>
    <row r="271" spans="1:3">
      <c r="A271" s="172"/>
      <c r="B271"/>
      <c r="C271" s="108"/>
    </row>
    <row r="272" spans="1:3">
      <c r="A272" s="172"/>
      <c r="B272"/>
      <c r="C272" s="108"/>
    </row>
    <row r="273" spans="1:3">
      <c r="A273" s="172"/>
      <c r="B273"/>
      <c r="C273" s="108"/>
    </row>
    <row r="274" spans="1:3">
      <c r="A274" s="172"/>
      <c r="B274"/>
      <c r="C274"/>
    </row>
    <row r="275" spans="1:3">
      <c r="B275"/>
      <c r="C275"/>
    </row>
    <row r="276" spans="1:3">
      <c r="B276"/>
      <c r="C276" s="108"/>
    </row>
    <row r="279" spans="1:3">
      <c r="A279" s="2"/>
      <c r="B279"/>
      <c r="C279" s="108"/>
    </row>
    <row r="280" spans="1:3">
      <c r="A280" s="2"/>
      <c r="B280"/>
      <c r="C280" s="108"/>
    </row>
    <row r="281" spans="1:3">
      <c r="A281" s="2"/>
      <c r="B281"/>
      <c r="C281" s="108"/>
    </row>
    <row r="282" spans="1:3">
      <c r="A282" s="2"/>
      <c r="B282"/>
      <c r="C282" s="108"/>
    </row>
    <row r="283" spans="1:3">
      <c r="A283" s="2"/>
      <c r="B283"/>
      <c r="C283"/>
    </row>
    <row r="284" spans="1:3">
      <c r="A284" s="2"/>
      <c r="B284"/>
      <c r="C284" s="108"/>
    </row>
    <row r="285" spans="1:3">
      <c r="A285" s="2"/>
      <c r="B285"/>
      <c r="C285" s="108"/>
    </row>
    <row r="286" spans="1:3">
      <c r="A286" s="2"/>
      <c r="B286"/>
      <c r="C286" s="108"/>
    </row>
    <row r="287" spans="1:3">
      <c r="A287" s="2"/>
      <c r="B287"/>
      <c r="C287" s="108"/>
    </row>
    <row r="288" spans="1:3">
      <c r="A288" s="2"/>
      <c r="B288"/>
      <c r="C288" s="108"/>
    </row>
    <row r="289" spans="2:3">
      <c r="B289"/>
      <c r="C289" s="108"/>
    </row>
  </sheetData>
  <printOptions horizontalCentered="1"/>
  <pageMargins left="0.7" right="0.7" top="1.25" bottom="0.75" header="0.8" footer="0.3"/>
  <pageSetup paperSize="5" orientation="portrait" r:id="rId1"/>
  <headerFooter>
    <oddHeader>&amp;L&amp;D &amp;T&amp;CNPSB SETTLEMENT A/CGL-105101121&amp;RPAGE &amp;P OF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K24"/>
  <sheetViews>
    <sheetView view="pageLayout" topLeftCell="A10" zoomScale="85" zoomScalePageLayoutView="85" workbookViewId="0">
      <selection activeCell="A16" sqref="A16"/>
    </sheetView>
  </sheetViews>
  <sheetFormatPr defaultColWidth="9.140625" defaultRowHeight="15"/>
  <cols>
    <col min="1" max="1" width="45.5703125" customWidth="1"/>
    <col min="2" max="2" width="9.42578125" style="1" customWidth="1"/>
    <col min="3" max="3" width="9.5703125" style="2" bestFit="1" customWidth="1"/>
    <col min="4" max="5" width="10.5703125" style="2" bestFit="1" customWidth="1"/>
    <col min="7" max="7" width="11.7109375" bestFit="1" customWidth="1"/>
    <col min="8" max="8" width="0.28515625" customWidth="1"/>
  </cols>
  <sheetData>
    <row r="1" spans="1:11" s="3" customFormat="1">
      <c r="A1" s="28" t="s">
        <v>27</v>
      </c>
      <c r="B1" s="29"/>
      <c r="C1" s="30" t="s">
        <v>28</v>
      </c>
      <c r="D1" s="30" t="s">
        <v>21</v>
      </c>
      <c r="E1" s="30" t="s">
        <v>29</v>
      </c>
    </row>
    <row r="2" spans="1:11">
      <c r="A2" s="5" t="s">
        <v>30</v>
      </c>
      <c r="B2" s="45" t="str">
        <f>'1. IBT'!$B$2</f>
        <v>30.10.2019</v>
      </c>
      <c r="C2" s="7"/>
      <c r="D2" s="7"/>
      <c r="E2" s="7">
        <v>748210.87</v>
      </c>
    </row>
    <row r="3" spans="1:11">
      <c r="A3" s="5" t="s">
        <v>37</v>
      </c>
      <c r="B3" s="6"/>
      <c r="C3" s="7"/>
      <c r="D3" s="7">
        <f>'Front Sheet'!D3*5</f>
        <v>3900</v>
      </c>
      <c r="E3" s="7">
        <f>E2+D3</f>
        <v>752110.87</v>
      </c>
    </row>
    <row r="4" spans="1:11">
      <c r="A4" s="5" t="s">
        <v>73</v>
      </c>
      <c r="B4" s="6"/>
      <c r="C4" s="7"/>
      <c r="D4" s="7">
        <f>'Front Sheet'!I7</f>
        <v>825</v>
      </c>
      <c r="E4" s="7">
        <f>E3+D4</f>
        <v>752935.87</v>
      </c>
    </row>
    <row r="5" spans="1:11">
      <c r="A5" s="5" t="s">
        <v>69</v>
      </c>
      <c r="B5" s="6"/>
      <c r="C5" s="7"/>
      <c r="D5" s="7">
        <f>'Front Sheet'!I12</f>
        <v>35</v>
      </c>
      <c r="E5" s="7">
        <f>E4+D5</f>
        <v>752970.87</v>
      </c>
    </row>
    <row r="6" spans="1:11">
      <c r="A6" s="5" t="s">
        <v>71</v>
      </c>
      <c r="B6" s="6"/>
      <c r="C6" s="7"/>
      <c r="D6" s="7">
        <f>'Front Sheet'!I13</f>
        <v>0</v>
      </c>
      <c r="E6" s="7">
        <f>E5+D6</f>
        <v>752970.87</v>
      </c>
    </row>
    <row r="7" spans="1:11">
      <c r="A7" s="5" t="s">
        <v>74</v>
      </c>
      <c r="B7" s="6"/>
      <c r="C7" s="7"/>
      <c r="D7" s="7">
        <f>'Front Sheet'!I9</f>
        <v>840</v>
      </c>
      <c r="E7" s="7">
        <f>E6+D7</f>
        <v>753810.87</v>
      </c>
    </row>
    <row r="8" spans="1:11">
      <c r="A8" s="5" t="s">
        <v>80</v>
      </c>
      <c r="B8" s="6"/>
      <c r="C8" s="7"/>
      <c r="D8" s="7">
        <f>'Front Sheet'!I8</f>
        <v>10</v>
      </c>
      <c r="E8" s="7">
        <f>E7+D8-C8</f>
        <v>753820.87</v>
      </c>
      <c r="H8" s="2">
        <f>SUM(D3:D8)-SUM(C3:C8)</f>
        <v>5610</v>
      </c>
      <c r="K8" s="269"/>
    </row>
    <row r="9" spans="1:11">
      <c r="A9" s="5"/>
      <c r="B9" s="6"/>
      <c r="C9" s="7"/>
      <c r="D9" s="7"/>
      <c r="E9" s="7"/>
    </row>
    <row r="10" spans="1:11">
      <c r="A10" s="32" t="s">
        <v>175</v>
      </c>
      <c r="B10" s="6"/>
      <c r="C10" s="7"/>
      <c r="D10" s="46">
        <v>0</v>
      </c>
      <c r="E10" s="7">
        <f>E8-C10+D10</f>
        <v>753820.87</v>
      </c>
      <c r="H10" s="2">
        <f>D10</f>
        <v>0</v>
      </c>
    </row>
    <row r="11" spans="1:11">
      <c r="A11" s="32" t="s">
        <v>174</v>
      </c>
      <c r="B11" s="6"/>
      <c r="C11" s="7">
        <v>0</v>
      </c>
      <c r="D11" s="7">
        <f>'3. NPSB Shadow'!C11</f>
        <v>446.17</v>
      </c>
      <c r="E11" s="7">
        <f>E10+D11-C11</f>
        <v>754267.04</v>
      </c>
      <c r="H11" s="2">
        <f>D11-C11</f>
        <v>446.17</v>
      </c>
    </row>
    <row r="12" spans="1:11">
      <c r="A12" s="35" t="s">
        <v>36</v>
      </c>
      <c r="B12" s="6"/>
      <c r="C12" s="7">
        <v>0</v>
      </c>
      <c r="D12" s="7"/>
      <c r="E12" s="7">
        <f>E11+D12-C12</f>
        <v>754267.04</v>
      </c>
    </row>
    <row r="13" spans="1:11" ht="18.75">
      <c r="A13" s="188" t="s">
        <v>287</v>
      </c>
      <c r="B13" s="6"/>
      <c r="C13" s="9">
        <v>0</v>
      </c>
      <c r="D13" s="33">
        <v>0</v>
      </c>
      <c r="E13" s="7">
        <f>E12+D13-C13</f>
        <v>754267.04</v>
      </c>
      <c r="H13" s="2">
        <f>D13-C13</f>
        <v>0</v>
      </c>
    </row>
    <row r="14" spans="1:11" ht="18.75">
      <c r="A14" s="188" t="s">
        <v>314</v>
      </c>
      <c r="B14" s="6"/>
      <c r="C14" s="33">
        <v>0</v>
      </c>
      <c r="D14" s="201">
        <v>0</v>
      </c>
      <c r="E14" s="7">
        <f>E13-C14+D14</f>
        <v>754267.04</v>
      </c>
      <c r="G14" s="193"/>
      <c r="H14" s="2">
        <f>C14-D14</f>
        <v>0</v>
      </c>
      <c r="J14" s="260"/>
    </row>
    <row r="15" spans="1:11" ht="33.75" customHeight="1">
      <c r="A15" s="188" t="s">
        <v>326</v>
      </c>
      <c r="B15" s="6"/>
      <c r="C15" s="33">
        <v>0</v>
      </c>
      <c r="D15" s="9">
        <v>5</v>
      </c>
      <c r="E15" s="7">
        <f>E14-C15+D15</f>
        <v>754272.04</v>
      </c>
      <c r="H15" s="2">
        <f>D15-C15</f>
        <v>5</v>
      </c>
    </row>
    <row r="16" spans="1:11" ht="96.75" customHeight="1">
      <c r="A16" s="240" t="s">
        <v>325</v>
      </c>
      <c r="B16" s="6"/>
      <c r="C16" s="9">
        <v>45</v>
      </c>
      <c r="D16" s="33">
        <v>0</v>
      </c>
      <c r="E16" s="7">
        <f>E15+D16-C16</f>
        <v>754227.04</v>
      </c>
      <c r="G16" s="7">
        <v>754227.04</v>
      </c>
      <c r="H16" s="2">
        <f>D16-C16</f>
        <v>-45</v>
      </c>
    </row>
    <row r="17" spans="1:11" ht="17.25" customHeight="1">
      <c r="A17" s="34" t="s">
        <v>54</v>
      </c>
      <c r="B17" s="37" t="str">
        <f>'1. IBT'!$B$34</f>
        <v xml:space="preserve">  02.11.2019</v>
      </c>
      <c r="C17" s="7"/>
      <c r="D17" s="7"/>
      <c r="E17" s="44">
        <f>E16</f>
        <v>754227.04</v>
      </c>
      <c r="G17" s="2">
        <f>E17-G16</f>
        <v>0</v>
      </c>
      <c r="H17" s="2"/>
    </row>
    <row r="19" spans="1:11">
      <c r="A19" s="239"/>
    </row>
    <row r="20" spans="1:11">
      <c r="K20" s="251"/>
    </row>
    <row r="24" spans="1:11">
      <c r="C24" s="4"/>
    </row>
  </sheetData>
  <printOptions horizontalCentered="1"/>
  <pageMargins left="0.7" right="0.7" top="1.25" bottom="0.75" header="0.8" footer="0.3"/>
  <pageSetup paperSize="5" orientation="portrait" r:id="rId1"/>
  <headerFooter>
    <oddHeader>&amp;L&amp;D &amp;T&amp;CINCOME ATM POS ETC A/C GL-625101112&amp;RPAGE &amp;P OF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110"/>
  <sheetViews>
    <sheetView showWhiteSpace="0" view="pageLayout" topLeftCell="A16" workbookViewId="0">
      <selection activeCell="A23" sqref="A23"/>
    </sheetView>
  </sheetViews>
  <sheetFormatPr defaultColWidth="9.140625" defaultRowHeight="15"/>
  <cols>
    <col min="1" max="1" width="39.7109375" customWidth="1"/>
    <col min="2" max="2" width="9.140625" style="1" customWidth="1"/>
    <col min="3" max="3" width="9.5703125" style="2" bestFit="1" customWidth="1"/>
    <col min="4" max="5" width="10.5703125" style="2" bestFit="1" customWidth="1"/>
    <col min="7" max="7" width="13.42578125" customWidth="1"/>
    <col min="8" max="8" width="9.140625" hidden="1" customWidth="1"/>
  </cols>
  <sheetData>
    <row r="1" spans="1:9" s="3" customFormat="1">
      <c r="A1" s="28" t="s">
        <v>27</v>
      </c>
      <c r="B1" s="29"/>
      <c r="C1" s="30" t="s">
        <v>28</v>
      </c>
      <c r="D1" s="30" t="s">
        <v>21</v>
      </c>
      <c r="E1" s="30" t="s">
        <v>29</v>
      </c>
    </row>
    <row r="2" spans="1:9">
      <c r="A2" s="5" t="s">
        <v>30</v>
      </c>
      <c r="B2" s="31" t="str">
        <f>'1. IBT'!$B$2</f>
        <v>30.10.2019</v>
      </c>
      <c r="C2" s="7"/>
      <c r="D2" s="7"/>
      <c r="E2" s="81">
        <v>987257.98</v>
      </c>
    </row>
    <row r="3" spans="1:9">
      <c r="A3" s="5" t="s">
        <v>39</v>
      </c>
      <c r="B3" s="6"/>
      <c r="C3" s="7">
        <f>'Front Sheet'!D3*2.5</f>
        <v>1950</v>
      </c>
      <c r="D3" s="7"/>
      <c r="E3" s="8">
        <f>E2+C3</f>
        <v>989207.98</v>
      </c>
    </row>
    <row r="4" spans="1:9">
      <c r="A4" s="5" t="s">
        <v>40</v>
      </c>
      <c r="B4" s="6"/>
      <c r="C4" s="7">
        <f>'Front Sheet'!D5*7.5</f>
        <v>8055</v>
      </c>
      <c r="D4" s="7"/>
      <c r="E4" s="8">
        <f>E3+C4</f>
        <v>997262.98</v>
      </c>
    </row>
    <row r="5" spans="1:9">
      <c r="A5" s="5" t="s">
        <v>78</v>
      </c>
      <c r="B5" s="6"/>
      <c r="C5" s="7">
        <f>'Front Sheet'!K9</f>
        <v>210</v>
      </c>
      <c r="D5" s="7"/>
      <c r="E5" s="8">
        <f>E4+C5-D5</f>
        <v>997472.98</v>
      </c>
    </row>
    <row r="6" spans="1:9">
      <c r="A6" s="5" t="s">
        <v>77</v>
      </c>
      <c r="B6" s="6"/>
      <c r="C6" s="7">
        <f>'Front Sheet'!K7</f>
        <v>412.5</v>
      </c>
      <c r="D6" s="7"/>
      <c r="E6" s="8">
        <f>E5+C6-D6</f>
        <v>997885.48</v>
      </c>
    </row>
    <row r="7" spans="1:9">
      <c r="A7" s="5" t="s">
        <v>69</v>
      </c>
      <c r="B7" s="6"/>
      <c r="C7" s="7">
        <f>'Front Sheet'!K12</f>
        <v>14</v>
      </c>
      <c r="D7" s="7"/>
      <c r="E7" s="8">
        <f>E6+C7</f>
        <v>997899.48</v>
      </c>
    </row>
    <row r="8" spans="1:9">
      <c r="A8" s="5" t="s">
        <v>71</v>
      </c>
      <c r="B8" s="6"/>
      <c r="C8" s="7">
        <f>'Front Sheet'!K13</f>
        <v>0</v>
      </c>
      <c r="D8" s="7"/>
      <c r="E8" s="8">
        <f>E7+C8</f>
        <v>997899.48</v>
      </c>
      <c r="H8" s="2">
        <f>SUM(C3:C8)-SUM(D3:D8)</f>
        <v>10641.5</v>
      </c>
      <c r="I8" s="2"/>
    </row>
    <row r="9" spans="1:9">
      <c r="A9" s="32" t="s">
        <v>263</v>
      </c>
      <c r="B9" s="6"/>
      <c r="C9" s="33">
        <v>0</v>
      </c>
      <c r="D9" s="7"/>
      <c r="E9" s="8">
        <f>E8+C9</f>
        <v>997899.48</v>
      </c>
      <c r="G9" s="2"/>
      <c r="H9" s="2">
        <f>C9</f>
        <v>0</v>
      </c>
    </row>
    <row r="10" spans="1:9">
      <c r="A10" s="32" t="s">
        <v>268</v>
      </c>
      <c r="B10" s="6"/>
      <c r="C10" s="33">
        <v>223.11</v>
      </c>
      <c r="D10" s="7">
        <v>0</v>
      </c>
      <c r="E10" s="8">
        <f>E9+C10-D10</f>
        <v>998122.59</v>
      </c>
      <c r="H10" s="2">
        <f>C10-D10</f>
        <v>223.11</v>
      </c>
    </row>
    <row r="11" spans="1:9">
      <c r="A11" s="34" t="s">
        <v>36</v>
      </c>
      <c r="B11" s="6"/>
      <c r="C11" s="7"/>
      <c r="D11" s="7"/>
      <c r="E11" s="8"/>
    </row>
    <row r="12" spans="1:9" ht="21" customHeight="1">
      <c r="A12" s="187" t="s">
        <v>301</v>
      </c>
      <c r="B12" s="6"/>
      <c r="C12" s="33">
        <v>0</v>
      </c>
      <c r="D12" s="7">
        <v>0</v>
      </c>
      <c r="E12" s="8">
        <f>E10+C12-D12</f>
        <v>998122.59</v>
      </c>
      <c r="H12" s="2">
        <f>C12-D12</f>
        <v>0</v>
      </c>
    </row>
    <row r="13" spans="1:9" ht="31.5">
      <c r="A13" s="187" t="s">
        <v>316</v>
      </c>
      <c r="B13" s="6"/>
      <c r="C13" s="33">
        <v>0</v>
      </c>
      <c r="D13" s="7">
        <v>0</v>
      </c>
      <c r="E13" s="8">
        <f>E12+C13-D13</f>
        <v>998122.59</v>
      </c>
      <c r="H13" s="2">
        <f>C13-D13</f>
        <v>0</v>
      </c>
    </row>
    <row r="14" spans="1:9">
      <c r="A14" s="5"/>
      <c r="B14" s="6"/>
      <c r="C14" s="7"/>
      <c r="D14" s="7"/>
      <c r="E14" s="8"/>
    </row>
    <row r="15" spans="1:9" ht="18.75" customHeight="1">
      <c r="A15" s="187" t="s">
        <v>289</v>
      </c>
      <c r="B15" s="6"/>
      <c r="C15" s="7">
        <v>0</v>
      </c>
      <c r="D15" s="33">
        <v>0</v>
      </c>
      <c r="E15" s="8">
        <f>E13-D15+C15</f>
        <v>998122.59</v>
      </c>
      <c r="H15" s="2">
        <f>D15-C15</f>
        <v>0</v>
      </c>
    </row>
    <row r="16" spans="1:9" ht="78" customHeight="1">
      <c r="A16" s="187" t="s">
        <v>315</v>
      </c>
      <c r="B16" s="6"/>
      <c r="C16" s="7">
        <v>0</v>
      </c>
      <c r="D16" s="33">
        <v>30</v>
      </c>
      <c r="E16" s="8">
        <f>E15-D16+C16</f>
        <v>998092.59</v>
      </c>
      <c r="H16" s="2">
        <f>D16-C16</f>
        <v>30</v>
      </c>
    </row>
    <row r="17" spans="1:8" ht="52.5">
      <c r="A17" s="240" t="s">
        <v>328</v>
      </c>
      <c r="B17" s="6"/>
      <c r="C17" s="9">
        <v>2</v>
      </c>
      <c r="D17" s="33">
        <v>15</v>
      </c>
      <c r="E17" s="8">
        <f>E16-D17+C17</f>
        <v>998079.59</v>
      </c>
      <c r="H17" s="2">
        <f>D17-C17</f>
        <v>13</v>
      </c>
    </row>
    <row r="18" spans="1:8">
      <c r="A18" s="34" t="s">
        <v>46</v>
      </c>
      <c r="B18" s="6"/>
      <c r="C18" s="7"/>
      <c r="D18" s="7"/>
      <c r="E18" s="8"/>
    </row>
    <row r="19" spans="1:8">
      <c r="A19" s="34" t="s">
        <v>264</v>
      </c>
      <c r="B19" s="6"/>
      <c r="C19" s="7">
        <v>0</v>
      </c>
      <c r="D19" s="7"/>
      <c r="E19" s="8">
        <f>E17+C19</f>
        <v>998079.59</v>
      </c>
    </row>
    <row r="20" spans="1:8">
      <c r="A20" s="5" t="s">
        <v>47</v>
      </c>
      <c r="B20" s="6"/>
      <c r="C20" s="33">
        <v>0</v>
      </c>
      <c r="D20" s="7"/>
      <c r="E20" s="8">
        <f>E19+C20</f>
        <v>998079.59</v>
      </c>
    </row>
    <row r="21" spans="1:8">
      <c r="A21" s="5" t="s">
        <v>48</v>
      </c>
      <c r="B21" s="6"/>
      <c r="C21" s="33">
        <v>0</v>
      </c>
      <c r="D21" s="7"/>
      <c r="E21" s="8">
        <f>E20+C21</f>
        <v>998079.59</v>
      </c>
    </row>
    <row r="22" spans="1:8">
      <c r="A22" s="5" t="s">
        <v>49</v>
      </c>
      <c r="B22" s="6"/>
      <c r="C22" s="33">
        <v>0</v>
      </c>
      <c r="D22" s="7"/>
      <c r="E22" s="8">
        <f>E21+C22</f>
        <v>998079.59</v>
      </c>
    </row>
    <row r="23" spans="1:8" ht="54">
      <c r="A23" s="187" t="s">
        <v>327</v>
      </c>
      <c r="B23" s="6"/>
      <c r="C23" s="33">
        <v>0</v>
      </c>
      <c r="D23" s="9">
        <v>14</v>
      </c>
      <c r="E23" s="8">
        <f>E22+C23-D23</f>
        <v>998065.59</v>
      </c>
      <c r="G23" s="2"/>
      <c r="H23" s="2">
        <f>D23-C23</f>
        <v>14</v>
      </c>
    </row>
    <row r="24" spans="1:8">
      <c r="A24" s="191"/>
      <c r="B24" s="6"/>
      <c r="C24" s="7"/>
      <c r="D24" s="7"/>
      <c r="E24" s="8"/>
      <c r="G24" s="81">
        <v>998065.59</v>
      </c>
    </row>
    <row r="25" spans="1:8">
      <c r="A25" s="34" t="s">
        <v>54</v>
      </c>
      <c r="B25" s="37" t="str">
        <f>'1. IBT'!$B$34</f>
        <v xml:space="preserve">  02.11.2019</v>
      </c>
      <c r="C25" s="7"/>
      <c r="D25" s="7"/>
      <c r="E25" s="42">
        <f>E23</f>
        <v>998065.59</v>
      </c>
      <c r="G25" s="2">
        <f>E25-G24</f>
        <v>0</v>
      </c>
    </row>
    <row r="31" spans="1:8">
      <c r="A31" s="233"/>
      <c r="B31" s="2"/>
    </row>
    <row r="32" spans="1:8">
      <c r="A32" s="233"/>
      <c r="B32" s="2"/>
      <c r="C32" s="4"/>
      <c r="D32" s="4"/>
    </row>
    <row r="33" spans="1:2">
      <c r="A33" s="233"/>
      <c r="B33" s="2"/>
    </row>
    <row r="34" spans="1:2">
      <c r="A34" s="233"/>
      <c r="B34" s="2"/>
    </row>
    <row r="35" spans="1:2">
      <c r="A35" s="233"/>
      <c r="B35" s="2"/>
    </row>
    <row r="36" spans="1:2">
      <c r="A36" s="233"/>
      <c r="B36" s="2"/>
    </row>
    <row r="37" spans="1:2">
      <c r="A37" s="233"/>
      <c r="B37" s="2"/>
    </row>
    <row r="38" spans="1:2">
      <c r="A38" s="233"/>
      <c r="B38" s="2"/>
    </row>
    <row r="39" spans="1:2">
      <c r="A39" s="233"/>
      <c r="B39" s="2"/>
    </row>
    <row r="40" spans="1:2">
      <c r="A40" s="233"/>
      <c r="B40" s="2"/>
    </row>
    <row r="41" spans="1:2">
      <c r="A41" s="233"/>
      <c r="B41" s="2"/>
    </row>
    <row r="42" spans="1:2">
      <c r="A42" s="233"/>
      <c r="B42" s="2"/>
    </row>
    <row r="43" spans="1:2">
      <c r="A43" s="233"/>
      <c r="B43" s="2"/>
    </row>
    <row r="44" spans="1:2">
      <c r="A44" s="233"/>
      <c r="B44" s="2"/>
    </row>
    <row r="45" spans="1:2">
      <c r="A45" s="233"/>
      <c r="B45" s="2"/>
    </row>
    <row r="46" spans="1:2">
      <c r="A46" s="233"/>
      <c r="B46" s="2"/>
    </row>
    <row r="47" spans="1:2">
      <c r="A47" s="233"/>
      <c r="B47" s="2"/>
    </row>
    <row r="48" spans="1:2">
      <c r="A48" s="233"/>
      <c r="B48" s="2"/>
    </row>
    <row r="49" spans="1:2">
      <c r="A49" s="233"/>
      <c r="B49" s="2"/>
    </row>
    <row r="56" spans="1:2">
      <c r="A56" t="s">
        <v>209</v>
      </c>
      <c r="B56"/>
    </row>
    <row r="57" spans="1:2">
      <c r="A57" t="s">
        <v>210</v>
      </c>
      <c r="B57">
        <v>7.5</v>
      </c>
    </row>
    <row r="58" spans="1:2">
      <c r="A58" t="s">
        <v>211</v>
      </c>
      <c r="B58"/>
    </row>
    <row r="59" spans="1:2">
      <c r="A59" t="s">
        <v>212</v>
      </c>
      <c r="B59">
        <v>7.5</v>
      </c>
    </row>
    <row r="60" spans="1:2">
      <c r="A60" t="s">
        <v>213</v>
      </c>
      <c r="B60"/>
    </row>
    <row r="61" spans="1:2">
      <c r="A61" t="s">
        <v>214</v>
      </c>
      <c r="B61">
        <v>7.5</v>
      </c>
    </row>
    <row r="62" spans="1:2">
      <c r="A62" t="s">
        <v>215</v>
      </c>
      <c r="B62"/>
    </row>
    <row r="63" spans="1:2">
      <c r="A63" t="s">
        <v>216</v>
      </c>
      <c r="B63">
        <v>7.5</v>
      </c>
    </row>
    <row r="64" spans="1:2">
      <c r="A64" t="s">
        <v>217</v>
      </c>
      <c r="B64"/>
    </row>
    <row r="65" spans="1:2">
      <c r="A65" t="s">
        <v>218</v>
      </c>
      <c r="B65">
        <v>7.5</v>
      </c>
    </row>
    <row r="66" spans="1:2">
      <c r="A66" t="s">
        <v>219</v>
      </c>
      <c r="B66"/>
    </row>
    <row r="67" spans="1:2">
      <c r="A67" t="s">
        <v>220</v>
      </c>
      <c r="B67">
        <v>7.5</v>
      </c>
    </row>
    <row r="68" spans="1:2">
      <c r="A68" t="s">
        <v>221</v>
      </c>
      <c r="B68"/>
    </row>
    <row r="69" spans="1:2">
      <c r="A69" t="s">
        <v>222</v>
      </c>
      <c r="B69">
        <v>7.5</v>
      </c>
    </row>
    <row r="70" spans="1:2">
      <c r="A70" t="s">
        <v>223</v>
      </c>
      <c r="B70"/>
    </row>
    <row r="71" spans="1:2">
      <c r="A71" t="s">
        <v>224</v>
      </c>
      <c r="B71">
        <v>7.5</v>
      </c>
    </row>
    <row r="72" spans="1:2">
      <c r="A72" t="s">
        <v>225</v>
      </c>
      <c r="B72"/>
    </row>
    <row r="73" spans="1:2">
      <c r="A73" t="s">
        <v>226</v>
      </c>
      <c r="B73">
        <v>7.5</v>
      </c>
    </row>
    <row r="74" spans="1:2">
      <c r="A74" t="s">
        <v>227</v>
      </c>
      <c r="B74"/>
    </row>
    <row r="75" spans="1:2">
      <c r="A75" t="s">
        <v>228</v>
      </c>
      <c r="B75">
        <v>7.5</v>
      </c>
    </row>
    <row r="76" spans="1:2">
      <c r="A76" t="s">
        <v>229</v>
      </c>
      <c r="B76"/>
    </row>
    <row r="77" spans="1:2">
      <c r="A77" t="s">
        <v>230</v>
      </c>
      <c r="B77">
        <v>7.5</v>
      </c>
    </row>
    <row r="78" spans="1:2">
      <c r="A78" t="s">
        <v>231</v>
      </c>
      <c r="B78"/>
    </row>
    <row r="79" spans="1:2">
      <c r="A79" t="s">
        <v>232</v>
      </c>
      <c r="B79">
        <v>7.5</v>
      </c>
    </row>
    <row r="80" spans="1:2">
      <c r="A80" t="s">
        <v>233</v>
      </c>
      <c r="B80"/>
    </row>
    <row r="81" spans="1:2">
      <c r="A81" t="s">
        <v>234</v>
      </c>
      <c r="B81">
        <v>7.5</v>
      </c>
    </row>
    <row r="82" spans="1:2">
      <c r="A82" t="s">
        <v>235</v>
      </c>
      <c r="B82"/>
    </row>
    <row r="83" spans="1:2">
      <c r="A83" t="s">
        <v>236</v>
      </c>
      <c r="B83">
        <v>7.5</v>
      </c>
    </row>
    <row r="84" spans="1:2">
      <c r="A84" t="s">
        <v>237</v>
      </c>
      <c r="B84"/>
    </row>
    <row r="85" spans="1:2">
      <c r="A85" t="s">
        <v>238</v>
      </c>
      <c r="B85">
        <v>7.5</v>
      </c>
    </row>
    <row r="86" spans="1:2">
      <c r="A86" t="s">
        <v>239</v>
      </c>
      <c r="B86"/>
    </row>
    <row r="87" spans="1:2">
      <c r="A87" t="s">
        <v>240</v>
      </c>
      <c r="B87">
        <v>7.5</v>
      </c>
    </row>
    <row r="88" spans="1:2">
      <c r="A88" t="s">
        <v>241</v>
      </c>
      <c r="B88"/>
    </row>
    <row r="89" spans="1:2">
      <c r="A89" t="s">
        <v>242</v>
      </c>
      <c r="B89">
        <v>7.5</v>
      </c>
    </row>
    <row r="90" spans="1:2">
      <c r="A90" t="s">
        <v>243</v>
      </c>
      <c r="B90"/>
    </row>
    <row r="91" spans="1:2">
      <c r="A91" t="s">
        <v>244</v>
      </c>
      <c r="B91">
        <v>7.5</v>
      </c>
    </row>
    <row r="92" spans="1:2">
      <c r="A92" t="s">
        <v>245</v>
      </c>
      <c r="B92"/>
    </row>
    <row r="93" spans="1:2">
      <c r="A93" t="s">
        <v>246</v>
      </c>
      <c r="B93">
        <v>7.5</v>
      </c>
    </row>
    <row r="94" spans="1:2">
      <c r="A94" t="s">
        <v>247</v>
      </c>
      <c r="B94"/>
    </row>
    <row r="95" spans="1:2">
      <c r="A95" t="s">
        <v>248</v>
      </c>
      <c r="B95">
        <v>7.5</v>
      </c>
    </row>
    <row r="96" spans="1:2" ht="31.5" customHeight="1">
      <c r="A96" s="186" t="s">
        <v>261</v>
      </c>
      <c r="B96">
        <v>90</v>
      </c>
    </row>
    <row r="97" spans="1:3" ht="31.5" customHeight="1">
      <c r="A97" s="186" t="s">
        <v>262</v>
      </c>
      <c r="B97">
        <v>9.2899999999999991</v>
      </c>
    </row>
    <row r="98" spans="1:3">
      <c r="B98"/>
    </row>
    <row r="99" spans="1:3">
      <c r="A99" t="s">
        <v>249</v>
      </c>
      <c r="B99"/>
    </row>
    <row r="100" spans="1:3">
      <c r="A100" t="s">
        <v>250</v>
      </c>
      <c r="B100"/>
      <c r="C100">
        <f>SUM(B56:B99)</f>
        <v>249.29</v>
      </c>
    </row>
    <row r="101" spans="1:3">
      <c r="A101" t="s">
        <v>251</v>
      </c>
      <c r="B101"/>
    </row>
    <row r="102" spans="1:3">
      <c r="A102" t="s">
        <v>252</v>
      </c>
      <c r="B102"/>
    </row>
    <row r="103" spans="1:3">
      <c r="A103" t="s">
        <v>253</v>
      </c>
      <c r="B103"/>
    </row>
    <row r="104" spans="1:3">
      <c r="A104" t="s">
        <v>254</v>
      </c>
      <c r="B104"/>
    </row>
    <row r="105" spans="1:3">
      <c r="A105" t="s">
        <v>255</v>
      </c>
      <c r="B105"/>
    </row>
    <row r="106" spans="1:3">
      <c r="A106" t="s">
        <v>256</v>
      </c>
      <c r="B106"/>
    </row>
    <row r="107" spans="1:3">
      <c r="A107" t="s">
        <v>257</v>
      </c>
      <c r="B107"/>
    </row>
    <row r="108" spans="1:3">
      <c r="A108" t="s">
        <v>258</v>
      </c>
      <c r="B108"/>
    </row>
    <row r="109" spans="1:3">
      <c r="A109" s="185" t="s">
        <v>259</v>
      </c>
      <c r="B109" s="7">
        <v>171979.73</v>
      </c>
    </row>
    <row r="110" spans="1:3">
      <c r="A110" s="185" t="s">
        <v>260</v>
      </c>
      <c r="B110" s="5">
        <v>198.58</v>
      </c>
    </row>
  </sheetData>
  <printOptions horizontalCentered="1"/>
  <pageMargins left="0.7" right="0.7" top="1.25" bottom="0.75" header="0.8" footer="0.3"/>
  <pageSetup paperSize="5" orientation="portrait" r:id="rId1"/>
  <headerFooter>
    <oddHeader>&amp;L&amp;D &amp;T&amp;C&amp;"-,Bold"EXPENSE ATM POS ETC A/C GL-545101134&amp;RPAGE &amp;P OF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O30"/>
  <sheetViews>
    <sheetView showWhiteSpace="0" view="pageLayout" topLeftCell="A10" workbookViewId="0">
      <selection activeCell="K19" sqref="K19"/>
    </sheetView>
  </sheetViews>
  <sheetFormatPr defaultColWidth="9.140625" defaultRowHeight="15"/>
  <cols>
    <col min="1" max="1" width="42.7109375" customWidth="1"/>
    <col min="2" max="2" width="9.140625" style="1" customWidth="1"/>
    <col min="3" max="3" width="9.5703125" style="2" bestFit="1" customWidth="1"/>
    <col min="4" max="5" width="10.5703125" style="2" bestFit="1" customWidth="1"/>
    <col min="7" max="7" width="9.140625" customWidth="1"/>
    <col min="8" max="8" width="0.28515625" customWidth="1"/>
    <col min="9" max="9" width="7.7109375" customWidth="1"/>
  </cols>
  <sheetData>
    <row r="1" spans="1:9" s="3" customFormat="1">
      <c r="A1" s="28" t="s">
        <v>27</v>
      </c>
      <c r="B1" s="29"/>
      <c r="C1" s="30" t="s">
        <v>28</v>
      </c>
      <c r="D1" s="30" t="s">
        <v>21</v>
      </c>
      <c r="E1" s="30" t="s">
        <v>29</v>
      </c>
    </row>
    <row r="2" spans="1:9">
      <c r="A2" s="5" t="s">
        <v>30</v>
      </c>
      <c r="B2" s="31" t="str">
        <f>'1. IBT'!$B$2</f>
        <v>30.10.2019</v>
      </c>
      <c r="C2" s="7"/>
      <c r="D2" s="7"/>
      <c r="E2" s="80">
        <v>1375.32</v>
      </c>
    </row>
    <row r="3" spans="1:9">
      <c r="A3" s="5" t="s">
        <v>37</v>
      </c>
      <c r="B3" s="6"/>
      <c r="C3" s="7"/>
      <c r="D3" s="7">
        <f>('Front Sheet'!D3+'Front Sheet'!D5)*2.5</f>
        <v>4635</v>
      </c>
      <c r="E3" s="7">
        <f>E2+D3</f>
        <v>6010.32</v>
      </c>
    </row>
    <row r="4" spans="1:9">
      <c r="A4" s="5" t="s">
        <v>75</v>
      </c>
      <c r="B4" s="6"/>
      <c r="C4" s="7"/>
      <c r="D4" s="7">
        <f>'Front Sheet'!L7</f>
        <v>412.5</v>
      </c>
      <c r="E4" s="7">
        <f>E3+D4</f>
        <v>6422.82</v>
      </c>
    </row>
    <row r="5" spans="1:9">
      <c r="A5" s="5" t="s">
        <v>69</v>
      </c>
      <c r="B5" s="6"/>
      <c r="C5" s="7"/>
      <c r="D5" s="7">
        <f>'Front Sheet'!L12</f>
        <v>14</v>
      </c>
      <c r="E5" s="7">
        <f>E4+D5</f>
        <v>6436.82</v>
      </c>
    </row>
    <row r="6" spans="1:9">
      <c r="A6" s="5" t="s">
        <v>71</v>
      </c>
      <c r="B6" s="6"/>
      <c r="C6" s="7"/>
      <c r="D6" s="7">
        <f>'Front Sheet'!L13</f>
        <v>0</v>
      </c>
      <c r="E6" s="7">
        <f>E5+D6</f>
        <v>6436.82</v>
      </c>
    </row>
    <row r="7" spans="1:9">
      <c r="A7" s="5" t="s">
        <v>76</v>
      </c>
      <c r="B7" s="6"/>
      <c r="C7" s="7"/>
      <c r="D7" s="7">
        <f>'Front Sheet'!L9</f>
        <v>210</v>
      </c>
      <c r="E7" s="7">
        <f>E6+D7</f>
        <v>6646.82</v>
      </c>
      <c r="H7" s="2">
        <f>SUM(D3:D9)-SUM(C3:C9)</f>
        <v>5494.61</v>
      </c>
    </row>
    <row r="8" spans="1:9">
      <c r="A8" s="5" t="s">
        <v>55</v>
      </c>
      <c r="B8" s="6"/>
      <c r="C8" s="7"/>
      <c r="D8" s="7">
        <f>'5. Expense'!C9</f>
        <v>0</v>
      </c>
      <c r="E8" s="7">
        <f>E7+D8-C8</f>
        <v>6646.82</v>
      </c>
    </row>
    <row r="9" spans="1:9">
      <c r="A9" s="5" t="s">
        <v>56</v>
      </c>
      <c r="B9" s="6"/>
      <c r="C9" s="7">
        <f>'5. Expense'!D10</f>
        <v>0</v>
      </c>
      <c r="D9" s="7">
        <f>'5. Expense'!C10</f>
        <v>223.11</v>
      </c>
      <c r="E9" s="7">
        <f>E8+D9-C9</f>
        <v>6869.9299999999994</v>
      </c>
    </row>
    <row r="10" spans="1:9">
      <c r="A10" s="5"/>
      <c r="B10" s="6"/>
      <c r="C10" s="7"/>
      <c r="D10" s="7"/>
      <c r="E10" s="7"/>
    </row>
    <row r="11" spans="1:9">
      <c r="A11" s="5" t="s">
        <v>38</v>
      </c>
      <c r="B11" s="6"/>
      <c r="C11" s="7">
        <f>'2. Qcash Shadow'!D10</f>
        <v>1525.11</v>
      </c>
      <c r="D11" s="7">
        <f>'2. Qcash Shadow'!C10</f>
        <v>0</v>
      </c>
      <c r="E11" s="7">
        <f>E9-C11+D11</f>
        <v>5344.82</v>
      </c>
      <c r="H11" s="2">
        <f>C11-D11</f>
        <v>1525.11</v>
      </c>
    </row>
    <row r="12" spans="1:9">
      <c r="A12" s="5"/>
      <c r="B12" s="6"/>
      <c r="C12" s="7"/>
      <c r="D12" s="7"/>
      <c r="E12" s="7"/>
    </row>
    <row r="13" spans="1:9">
      <c r="A13" s="34" t="s">
        <v>36</v>
      </c>
      <c r="B13" s="6"/>
      <c r="C13" s="7"/>
      <c r="D13" s="7"/>
      <c r="E13" s="7"/>
    </row>
    <row r="14" spans="1:9" ht="24.75" customHeight="1">
      <c r="A14" s="188" t="s">
        <v>318</v>
      </c>
      <c r="B14" s="6"/>
      <c r="C14" s="7">
        <v>0</v>
      </c>
      <c r="D14" s="33">
        <v>0</v>
      </c>
      <c r="E14" s="7">
        <f>E11+D14-C14</f>
        <v>5344.82</v>
      </c>
      <c r="H14" s="2">
        <f>D14-C14</f>
        <v>0</v>
      </c>
    </row>
    <row r="15" spans="1:9" ht="81" customHeight="1">
      <c r="A15" s="188" t="s">
        <v>317</v>
      </c>
      <c r="B15" s="6"/>
      <c r="C15" s="33">
        <v>10</v>
      </c>
      <c r="D15" s="7">
        <v>0</v>
      </c>
      <c r="E15" s="7">
        <f>E14-C15+D15</f>
        <v>5334.82</v>
      </c>
      <c r="H15" s="2">
        <f>C15-D15</f>
        <v>10</v>
      </c>
      <c r="I15" s="5"/>
    </row>
    <row r="16" spans="1:9" ht="30">
      <c r="A16" s="188" t="s">
        <v>329</v>
      </c>
      <c r="B16" s="6"/>
      <c r="C16" s="33">
        <v>0</v>
      </c>
      <c r="D16" s="9">
        <v>2</v>
      </c>
      <c r="E16" s="7">
        <f>E15-C16+D16</f>
        <v>5336.82</v>
      </c>
      <c r="H16" s="2">
        <f>D16-C16</f>
        <v>2</v>
      </c>
    </row>
    <row r="17" spans="1:15" ht="54">
      <c r="A17" s="187" t="s">
        <v>327</v>
      </c>
      <c r="B17" s="6"/>
      <c r="C17" s="245">
        <v>14</v>
      </c>
      <c r="D17" s="200">
        <v>0</v>
      </c>
      <c r="E17" s="7">
        <f>E16-C17+D17</f>
        <v>5322.82</v>
      </c>
      <c r="G17" s="80">
        <v>5322.82</v>
      </c>
      <c r="H17" s="2">
        <f>D17-C17</f>
        <v>-14</v>
      </c>
    </row>
    <row r="18" spans="1:15" ht="21.75" customHeight="1">
      <c r="A18" s="34" t="s">
        <v>54</v>
      </c>
      <c r="B18" s="37" t="str">
        <f>'1. IBT'!$B$34</f>
        <v xml:space="preserve">  02.11.2019</v>
      </c>
      <c r="C18" s="7"/>
      <c r="D18" s="7"/>
      <c r="E18" s="44">
        <f>E17</f>
        <v>5322.82</v>
      </c>
      <c r="G18" s="2">
        <f>E18-G17</f>
        <v>0</v>
      </c>
    </row>
    <row r="20" spans="1:15">
      <c r="O20" s="267"/>
    </row>
    <row r="21" spans="1:15">
      <c r="B21" s="2"/>
    </row>
    <row r="22" spans="1:15">
      <c r="B22" s="2"/>
    </row>
    <row r="23" spans="1:15">
      <c r="B23" s="2"/>
    </row>
    <row r="24" spans="1:15">
      <c r="B24" s="2"/>
      <c r="C24" s="4"/>
      <c r="D24" s="4"/>
    </row>
    <row r="25" spans="1:15">
      <c r="B25" s="2"/>
    </row>
    <row r="26" spans="1:15">
      <c r="B26" s="2"/>
    </row>
    <row r="27" spans="1:15">
      <c r="B27" s="2"/>
    </row>
    <row r="28" spans="1:15">
      <c r="B28" s="2"/>
    </row>
    <row r="29" spans="1:15">
      <c r="B29" s="2"/>
    </row>
    <row r="30" spans="1:15">
      <c r="B30" s="2"/>
    </row>
  </sheetData>
  <printOptions horizontalCentered="1"/>
  <pageMargins left="0.7" right="0.7" top="0.75" bottom="0.75" header="0.3" footer="0.3"/>
  <pageSetup paperSize="5" orientation="portrait" r:id="rId1"/>
  <headerFooter>
    <oddHeader>&amp;L&amp;D &amp;T&amp;C&amp;"-,Bold"Q-CASH COMMISSION A/C GL-390137101&amp;RPAGE &amp;P OF 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H13"/>
  <sheetViews>
    <sheetView showWhiteSpace="0" view="pageLayout" workbookViewId="0">
      <selection activeCell="O15" sqref="O15"/>
    </sheetView>
  </sheetViews>
  <sheetFormatPr defaultColWidth="9.140625" defaultRowHeight="15"/>
  <cols>
    <col min="1" max="1" width="39" customWidth="1"/>
    <col min="2" max="2" width="9.42578125" style="1" customWidth="1"/>
    <col min="3" max="3" width="10.5703125" style="2" customWidth="1"/>
    <col min="4" max="4" width="11.7109375" style="2" customWidth="1"/>
    <col min="5" max="5" width="13.85546875" style="2" customWidth="1"/>
    <col min="7" max="7" width="9.28515625" hidden="1" customWidth="1"/>
    <col min="8" max="8" width="9.140625" hidden="1" customWidth="1"/>
    <col min="9" max="12" width="0" hidden="1" customWidth="1"/>
  </cols>
  <sheetData>
    <row r="1" spans="1:8" s="3" customFormat="1">
      <c r="A1" s="28" t="s">
        <v>27</v>
      </c>
      <c r="B1" s="29"/>
      <c r="C1" s="30" t="s">
        <v>28</v>
      </c>
      <c r="D1" s="30" t="s">
        <v>21</v>
      </c>
      <c r="E1" s="30" t="s">
        <v>29</v>
      </c>
    </row>
    <row r="2" spans="1:8">
      <c r="A2" s="5" t="s">
        <v>30</v>
      </c>
      <c r="B2" s="31" t="str">
        <f>'1. IBT'!$B$2</f>
        <v>30.10.2019</v>
      </c>
      <c r="C2" s="7"/>
      <c r="D2" s="7"/>
      <c r="E2" s="80">
        <v>10648.5</v>
      </c>
    </row>
    <row r="3" spans="1:8">
      <c r="A3" s="5" t="s">
        <v>37</v>
      </c>
      <c r="B3" s="6"/>
      <c r="C3" s="7"/>
      <c r="D3" s="7">
        <f>'Front Sheet'!D3*1.5</f>
        <v>1170</v>
      </c>
      <c r="E3" s="7">
        <f>E2+D3</f>
        <v>11818.5</v>
      </c>
      <c r="H3" s="2">
        <f>D3</f>
        <v>1170</v>
      </c>
    </row>
    <row r="4" spans="1:8">
      <c r="A4" s="5"/>
      <c r="B4" s="6"/>
      <c r="C4" s="7"/>
      <c r="D4" s="7"/>
      <c r="E4" s="7"/>
    </row>
    <row r="5" spans="1:8">
      <c r="A5" s="34" t="s">
        <v>36</v>
      </c>
      <c r="B5" s="6"/>
      <c r="C5" s="7"/>
      <c r="D5" s="7"/>
      <c r="E5" s="7"/>
    </row>
    <row r="6" spans="1:8" ht="18.75">
      <c r="A6" s="188" t="s">
        <v>287</v>
      </c>
      <c r="B6" s="6"/>
      <c r="C6" s="7">
        <v>0</v>
      </c>
      <c r="D6" s="33">
        <v>0</v>
      </c>
      <c r="E6" s="7">
        <f>E3+D6-C6</f>
        <v>11818.5</v>
      </c>
      <c r="H6" s="2">
        <f>D6-C6</f>
        <v>0</v>
      </c>
    </row>
    <row r="7" spans="1:8" ht="18.75">
      <c r="A7" s="188" t="s">
        <v>290</v>
      </c>
      <c r="B7" s="6"/>
      <c r="C7" s="33">
        <v>0</v>
      </c>
      <c r="D7" s="7">
        <v>0</v>
      </c>
      <c r="E7" s="7">
        <f>E6-C7+D7</f>
        <v>11818.5</v>
      </c>
      <c r="H7" s="2">
        <f>C7-D7</f>
        <v>0</v>
      </c>
    </row>
    <row r="8" spans="1:8" ht="18.75">
      <c r="A8" s="188" t="s">
        <v>284</v>
      </c>
      <c r="B8" s="6"/>
      <c r="C8" s="33">
        <v>0</v>
      </c>
      <c r="D8" s="7">
        <v>0</v>
      </c>
      <c r="E8" s="7">
        <f>E7-C8+D8</f>
        <v>11818.5</v>
      </c>
      <c r="H8" s="2">
        <f>C8-D8</f>
        <v>0</v>
      </c>
    </row>
    <row r="9" spans="1:8" ht="29.25" customHeight="1">
      <c r="A9" s="32" t="s">
        <v>282</v>
      </c>
      <c r="B9" s="6"/>
      <c r="C9" s="33"/>
      <c r="D9" s="7">
        <v>0</v>
      </c>
      <c r="E9" s="7">
        <f>E8+D9-C9</f>
        <v>11818.5</v>
      </c>
      <c r="H9" s="2">
        <f>C9</f>
        <v>0</v>
      </c>
    </row>
    <row r="10" spans="1:8" ht="18.75">
      <c r="A10" s="187" t="s">
        <v>319</v>
      </c>
      <c r="B10" s="6"/>
      <c r="C10" s="7"/>
      <c r="D10" s="33">
        <v>0</v>
      </c>
      <c r="E10" s="7">
        <f>E9+D10-C10</f>
        <v>11818.5</v>
      </c>
      <c r="F10" s="80">
        <v>11818.5</v>
      </c>
      <c r="H10" s="2">
        <f>D10-C10</f>
        <v>0</v>
      </c>
    </row>
    <row r="11" spans="1:8" ht="16.5" customHeight="1">
      <c r="A11" s="34" t="s">
        <v>54</v>
      </c>
      <c r="B11" s="37" t="str">
        <f>'1. IBT'!$B$34</f>
        <v xml:space="preserve">  02.11.2019</v>
      </c>
      <c r="C11" s="7"/>
      <c r="D11" s="7"/>
      <c r="E11" s="44">
        <f>E10</f>
        <v>11818.5</v>
      </c>
      <c r="F11" s="2">
        <f>F10-E11</f>
        <v>0</v>
      </c>
      <c r="G11" s="2" t="s">
        <v>81</v>
      </c>
    </row>
    <row r="13" spans="1:8">
      <c r="A13" s="217"/>
    </row>
  </sheetData>
  <printOptions horizontalCentered="1"/>
  <pageMargins left="0.7" right="0.7" top="1.25" bottom="0.75" header="0.8" footer="0.3"/>
  <pageSetup paperSize="5" orientation="portrait" r:id="rId1"/>
  <headerFooter>
    <oddHeader>&amp;L&amp;D &amp;T&amp;C&amp;"-,Bold"VAT-ATM POS ETC. A/C GL-390136110&amp;RPAGE 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TOP SHEET</vt:lpstr>
      <vt:lpstr>Front Sheet</vt:lpstr>
      <vt:lpstr>1. IBT</vt:lpstr>
      <vt:lpstr>2. Qcash Shadow</vt:lpstr>
      <vt:lpstr>3. NPSB Shadow</vt:lpstr>
      <vt:lpstr>4. Income</vt:lpstr>
      <vt:lpstr>5. Expense</vt:lpstr>
      <vt:lpstr>6. Q-CASH Commission</vt:lpstr>
      <vt:lpstr>7. VAT</vt:lpstr>
      <vt:lpstr>VOUCHER</vt:lpstr>
      <vt:lpstr>SUMM REPORT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Kawsar Mustafiz</dc:creator>
  <cp:lastModifiedBy>user5</cp:lastModifiedBy>
  <cp:lastPrinted>2019-10-31T07:59:00Z</cp:lastPrinted>
  <dcterms:created xsi:type="dcterms:W3CDTF">2017-04-17T04:43:46Z</dcterms:created>
  <dcterms:modified xsi:type="dcterms:W3CDTF">2019-11-04T08:35:50Z</dcterms:modified>
</cp:coreProperties>
</file>