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1" documentId="13_ncr:1_{A8EB7278-9713-4FD0-9044-5C2223080298}" xr6:coauthVersionLast="47" xr6:coauthVersionMax="47" xr10:uidLastSave="{288BF4B2-F2A9-4679-9832-495F01270E4C}"/>
  <bookViews>
    <workbookView xWindow="-80" yWindow="-80" windowWidth="19360" windowHeight="10360" xr2:uid="{00000000-000D-0000-FFFF-FFFF00000000}"/>
  </bookViews>
  <sheets>
    <sheet name="Sheet1" sheetId="4" r:id="rId1"/>
  </sheets>
  <definedNames>
    <definedName name="_Hlk99272863" localSheetId="0">Sheet1!$Y$6</definedName>
    <definedName name="OLE_LINK3" localSheetId="0">Sheet1!$Y$23</definedName>
    <definedName name="OLE_LINK5" localSheetId="0">Sheet1!$Y$17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 l="1"/>
  <c r="G23" i="4" l="1"/>
  <c r="G286" i="4" l="1"/>
  <c r="G334" i="4"/>
  <c r="G288" i="4"/>
  <c r="G287" i="4"/>
  <c r="G285" i="4"/>
  <c r="G283" i="4"/>
  <c r="G284" i="4" s="1"/>
  <c r="G282" i="4"/>
  <c r="G279" i="4"/>
  <c r="G278" i="4"/>
  <c r="G275" i="4"/>
  <c r="G272" i="4"/>
  <c r="G273" i="4" s="1"/>
  <c r="G271" i="4"/>
  <c r="G268" i="4"/>
  <c r="G269" i="4" s="1"/>
  <c r="G320" i="4"/>
  <c r="G270" i="4" l="1"/>
  <c r="G274" i="4"/>
  <c r="G291" i="4"/>
  <c r="G290" i="4" s="1"/>
  <c r="G280" i="4"/>
  <c r="G281" i="4" s="1"/>
  <c r="G276" i="4"/>
  <c r="G277" i="4" s="1"/>
  <c r="G321" i="4"/>
  <c r="G292" i="4" l="1"/>
  <c r="G294" i="4" l="1"/>
  <c r="G293" i="4"/>
  <c r="G296" i="4"/>
  <c r="G295" i="4"/>
  <c r="G150" i="4" l="1"/>
  <c r="G148" i="4"/>
  <c r="G226" i="4" l="1"/>
  <c r="G168" i="4"/>
  <c r="G223" i="4"/>
  <c r="G158" i="4"/>
  <c r="G127" i="4"/>
  <c r="G92" i="4"/>
  <c r="G101" i="4" s="1"/>
  <c r="G39" i="4"/>
  <c r="G24" i="4"/>
  <c r="G29" i="4" s="1"/>
  <c r="G176" i="4" l="1"/>
  <c r="G177" i="4"/>
  <c r="G235" i="4"/>
  <c r="G237" i="4"/>
  <c r="G234" i="4"/>
  <c r="G240" i="4"/>
  <c r="G246" i="4"/>
  <c r="G244" i="4"/>
  <c r="G245" i="4"/>
  <c r="G241" i="4"/>
  <c r="G243" i="4"/>
  <c r="G248" i="4"/>
  <c r="G247" i="4"/>
  <c r="G242" i="4"/>
  <c r="G179" i="4"/>
  <c r="G209" i="4"/>
  <c r="G192" i="4"/>
  <c r="G184" i="4"/>
  <c r="G217" i="4"/>
  <c r="G215" i="4"/>
  <c r="G185" i="4"/>
  <c r="G199" i="4"/>
  <c r="G208" i="4"/>
  <c r="G191" i="4"/>
  <c r="G183" i="4"/>
  <c r="G216" i="4"/>
  <c r="G182" i="4"/>
  <c r="G213" i="4"/>
  <c r="G194" i="4"/>
  <c r="G207" i="4"/>
  <c r="G190" i="4"/>
  <c r="G218" i="4"/>
  <c r="G195" i="4"/>
  <c r="G206" i="4"/>
  <c r="G189" i="4"/>
  <c r="G181" i="4"/>
  <c r="G214" i="4"/>
  <c r="G202" i="4"/>
  <c r="G200" i="4"/>
  <c r="G212" i="4"/>
  <c r="G210" i="4"/>
  <c r="G188" i="4"/>
  <c r="G187" i="4"/>
  <c r="G186" i="4"/>
  <c r="G204" i="4" s="1"/>
  <c r="G219" i="4"/>
  <c r="G193" i="4"/>
  <c r="G171" i="4"/>
  <c r="G229" i="4"/>
  <c r="G228" i="4"/>
  <c r="G232" i="4"/>
  <c r="G172" i="4"/>
  <c r="G231" i="4"/>
  <c r="G233" i="4"/>
  <c r="G236" i="4"/>
  <c r="G230" i="4"/>
  <c r="G238" i="4"/>
  <c r="G178" i="4"/>
  <c r="G211" i="4"/>
  <c r="G180" i="4"/>
  <c r="G174" i="4"/>
  <c r="G173" i="4"/>
  <c r="G175" i="4"/>
  <c r="G170" i="4"/>
  <c r="L7" i="4"/>
  <c r="N7" i="4"/>
  <c r="G333" i="4"/>
  <c r="G327" i="4"/>
  <c r="G323" i="4"/>
  <c r="G319" i="4"/>
  <c r="G151" i="4"/>
  <c r="G84" i="4"/>
  <c r="G30" i="4"/>
  <c r="S109" i="4" l="1"/>
  <c r="S116" i="4"/>
  <c r="S117" i="4"/>
  <c r="S118" i="4"/>
  <c r="S119" i="4"/>
  <c r="S120" i="4"/>
  <c r="S121" i="4"/>
  <c r="S111" i="4"/>
  <c r="S112" i="4"/>
  <c r="G336" i="4" l="1"/>
  <c r="G331" i="4"/>
  <c r="G109" i="4"/>
  <c r="G108" i="4"/>
  <c r="G107" i="4"/>
  <c r="G82" i="4"/>
  <c r="G116" i="4" l="1"/>
  <c r="G117" i="4" s="1"/>
  <c r="G115" i="4"/>
  <c r="G332" i="4"/>
  <c r="G324" i="4"/>
  <c r="G110" i="4"/>
  <c r="G111" i="4"/>
  <c r="G325" i="4" l="1"/>
  <c r="B34" i="4"/>
  <c r="G54" i="4" s="1"/>
  <c r="G225" i="4"/>
  <c r="G239" i="4" s="1"/>
  <c r="G160" i="4"/>
  <c r="G203" i="4" s="1"/>
  <c r="G205" i="4" s="1"/>
  <c r="H150" i="4"/>
  <c r="H148" i="4" s="1"/>
  <c r="H116" i="4" s="1"/>
  <c r="G71" i="4"/>
  <c r="S9" i="4" l="1"/>
  <c r="S44" i="4"/>
  <c r="S11" i="4"/>
  <c r="S10" i="4"/>
  <c r="S15" i="4"/>
  <c r="S14" i="4"/>
  <c r="S12" i="4"/>
  <c r="S13" i="4"/>
  <c r="S16" i="4"/>
  <c r="S72" i="4"/>
  <c r="S73" i="4"/>
  <c r="S74" i="4"/>
  <c r="S75" i="4"/>
  <c r="S76" i="4"/>
  <c r="S77" i="4"/>
  <c r="S78" i="4"/>
  <c r="N69" i="4"/>
  <c r="L69" i="4"/>
  <c r="N68" i="4"/>
  <c r="L68" i="4"/>
  <c r="N67" i="4"/>
  <c r="L67" i="4"/>
  <c r="N66" i="4"/>
  <c r="S139" i="4" s="1"/>
  <c r="L66" i="4"/>
  <c r="N65" i="4"/>
  <c r="L65" i="4"/>
  <c r="N64" i="4"/>
  <c r="L64" i="4"/>
  <c r="N63" i="4"/>
  <c r="L63" i="4"/>
  <c r="N62" i="4"/>
  <c r="L62" i="4"/>
  <c r="N61" i="4"/>
  <c r="S43" i="4" s="1"/>
  <c r="L61" i="4"/>
  <c r="Q43" i="4" s="1"/>
  <c r="N60" i="4"/>
  <c r="S60" i="4" s="1"/>
  <c r="L60" i="4"/>
  <c r="Q60" i="4" s="1"/>
  <c r="N59" i="4"/>
  <c r="S24" i="4" s="1"/>
  <c r="L59" i="4"/>
  <c r="Q24" i="4" s="1"/>
  <c r="N58" i="4"/>
  <c r="S59" i="4" s="1"/>
  <c r="L58" i="4"/>
  <c r="Q59" i="4" s="1"/>
  <c r="N57" i="4"/>
  <c r="S22" i="4" s="1"/>
  <c r="L57" i="4"/>
  <c r="Q22" i="4" s="1"/>
  <c r="N56" i="4"/>
  <c r="S86" i="4" s="1"/>
  <c r="L56" i="4"/>
  <c r="Q86" i="4" s="1"/>
  <c r="N55" i="4"/>
  <c r="S58" i="4" s="1"/>
  <c r="L55" i="4"/>
  <c r="Q58" i="4" s="1"/>
  <c r="N54" i="4"/>
  <c r="S21" i="4" s="1"/>
  <c r="L54" i="4"/>
  <c r="Q21" i="4" s="1"/>
  <c r="N53" i="4"/>
  <c r="S85" i="4" s="1"/>
  <c r="L53" i="4"/>
  <c r="Q85" i="4" s="1"/>
  <c r="N52" i="4"/>
  <c r="S57" i="4" s="1"/>
  <c r="L52" i="4"/>
  <c r="Q57" i="4" s="1"/>
  <c r="N51" i="4"/>
  <c r="S56" i="4" s="1"/>
  <c r="L51" i="4"/>
  <c r="Q56" i="4" s="1"/>
  <c r="N50" i="4"/>
  <c r="S20" i="4" s="1"/>
  <c r="L50" i="4"/>
  <c r="Q20" i="4" s="1"/>
  <c r="N49" i="4"/>
  <c r="S84" i="4" s="1"/>
  <c r="L49" i="4"/>
  <c r="Q84" i="4" s="1"/>
  <c r="N48" i="4"/>
  <c r="S55" i="4" s="1"/>
  <c r="L48" i="4"/>
  <c r="Q55" i="4" s="1"/>
  <c r="N47" i="4"/>
  <c r="S105" i="4" s="1"/>
  <c r="L47" i="4"/>
  <c r="Q105" i="4" s="1"/>
  <c r="N46" i="4"/>
  <c r="S83" i="4" s="1"/>
  <c r="L46" i="4"/>
  <c r="Q83" i="4" s="1"/>
  <c r="N45" i="4"/>
  <c r="S41" i="4" s="1"/>
  <c r="L45" i="4"/>
  <c r="Q41" i="4" s="1"/>
  <c r="N44" i="4"/>
  <c r="S54" i="4" s="1"/>
  <c r="L44" i="4"/>
  <c r="Q54" i="4" s="1"/>
  <c r="N43" i="4"/>
  <c r="S39" i="4" s="1"/>
  <c r="L43" i="4"/>
  <c r="Q39" i="4" s="1"/>
  <c r="N42" i="4"/>
  <c r="S53" i="4" s="1"/>
  <c r="L42" i="4"/>
  <c r="Q53" i="4" s="1"/>
  <c r="N41" i="4"/>
  <c r="S8" i="4" s="1"/>
  <c r="L41" i="4"/>
  <c r="Q8" i="4" s="1"/>
  <c r="L8" i="4"/>
  <c r="Q45" i="4" s="1"/>
  <c r="N8" i="4"/>
  <c r="S45" i="4" s="1"/>
  <c r="L9" i="4"/>
  <c r="Q38" i="4" s="1"/>
  <c r="N9" i="4"/>
  <c r="S38" i="4" s="1"/>
  <c r="L10" i="4"/>
  <c r="Q46" i="4" s="1"/>
  <c r="N10" i="4"/>
  <c r="S46" i="4" s="1"/>
  <c r="L11" i="4"/>
  <c r="Q40" i="4" s="1"/>
  <c r="N11" i="4"/>
  <c r="S40" i="4" s="1"/>
  <c r="L12" i="4"/>
  <c r="Q79" i="4" s="1"/>
  <c r="N12" i="4"/>
  <c r="S79" i="4" s="1"/>
  <c r="L13" i="4"/>
  <c r="Q104" i="4" s="1"/>
  <c r="N13" i="4"/>
  <c r="S104" i="4" s="1"/>
  <c r="L14" i="4"/>
  <c r="Q47" i="4" s="1"/>
  <c r="N14" i="4"/>
  <c r="S47" i="4" s="1"/>
  <c r="L15" i="4"/>
  <c r="Q80" i="4" s="1"/>
  <c r="N15" i="4"/>
  <c r="S80" i="4" s="1"/>
  <c r="L16" i="4"/>
  <c r="Q17" i="4" s="1"/>
  <c r="N16" i="4"/>
  <c r="S17" i="4" s="1"/>
  <c r="L17" i="4"/>
  <c r="Q48" i="4" s="1"/>
  <c r="N17" i="4"/>
  <c r="S48" i="4" s="1"/>
  <c r="L18" i="4"/>
  <c r="Q49" i="4" s="1"/>
  <c r="N18" i="4"/>
  <c r="S49" i="4" s="1"/>
  <c r="L19" i="4"/>
  <c r="Q81" i="4" s="1"/>
  <c r="N19" i="4"/>
  <c r="S81" i="4" s="1"/>
  <c r="L20" i="4"/>
  <c r="Q18" i="4" s="1"/>
  <c r="N20" i="4"/>
  <c r="S18" i="4" s="1"/>
  <c r="L21" i="4"/>
  <c r="Q50" i="4" s="1"/>
  <c r="N21" i="4"/>
  <c r="S50" i="4" s="1"/>
  <c r="L22" i="4"/>
  <c r="Q82" i="4" s="1"/>
  <c r="N22" i="4"/>
  <c r="S82" i="4" s="1"/>
  <c r="L23" i="4"/>
  <c r="Q19" i="4" s="1"/>
  <c r="N23" i="4"/>
  <c r="S19" i="4" s="1"/>
  <c r="L24" i="4"/>
  <c r="Q51" i="4" s="1"/>
  <c r="N24" i="4"/>
  <c r="S51" i="4" s="1"/>
  <c r="Q23" i="4"/>
  <c r="N25" i="4"/>
  <c r="S23" i="4" s="1"/>
  <c r="L26" i="4"/>
  <c r="Q52" i="4" s="1"/>
  <c r="N26" i="4"/>
  <c r="S52" i="4" s="1"/>
  <c r="L27" i="4"/>
  <c r="Q42" i="4" s="1"/>
  <c r="N27" i="4"/>
  <c r="S42" i="4" s="1"/>
  <c r="L28" i="4"/>
  <c r="N28" i="4"/>
  <c r="L29" i="4"/>
  <c r="N29" i="4"/>
  <c r="L30" i="4"/>
  <c r="N30" i="4"/>
  <c r="S147" i="4" s="1"/>
  <c r="L31" i="4"/>
  <c r="N31" i="4"/>
  <c r="L32" i="4"/>
  <c r="N32" i="4"/>
  <c r="L33" i="4"/>
  <c r="Q132" i="4" s="1"/>
  <c r="N33" i="4"/>
  <c r="L34" i="4"/>
  <c r="N34" i="4"/>
  <c r="L35" i="4"/>
  <c r="N35" i="4"/>
  <c r="S144" i="4" s="1"/>
  <c r="S7" i="4"/>
  <c r="Q7" i="4"/>
  <c r="N131" i="4"/>
  <c r="S99" i="4" s="1"/>
  <c r="N132" i="4"/>
  <c r="S100" i="4" s="1"/>
  <c r="N133" i="4"/>
  <c r="S101" i="4" s="1"/>
  <c r="N134" i="4"/>
  <c r="S102" i="4" s="1"/>
  <c r="N135" i="4"/>
  <c r="S103" i="4" s="1"/>
  <c r="N136" i="4"/>
  <c r="S108" i="4" s="1"/>
  <c r="N137" i="4"/>
  <c r="S28" i="4" s="1"/>
  <c r="N138" i="4"/>
  <c r="S30" i="4" s="1"/>
  <c r="N139" i="4"/>
  <c r="S32" i="4" s="1"/>
  <c r="N140" i="4"/>
  <c r="S26" i="4" s="1"/>
  <c r="N141" i="4"/>
  <c r="S71" i="4" s="1"/>
  <c r="N142" i="4"/>
  <c r="N143" i="4"/>
  <c r="N144" i="4"/>
  <c r="S150" i="4" s="1"/>
  <c r="N145" i="4"/>
  <c r="S152" i="4" s="1"/>
  <c r="N146" i="4"/>
  <c r="S154" i="4" s="1"/>
  <c r="N147" i="4"/>
  <c r="N148" i="4"/>
  <c r="N149" i="4"/>
  <c r="N150" i="4"/>
  <c r="N151" i="4"/>
  <c r="N130" i="4"/>
  <c r="L131" i="4"/>
  <c r="Q99" i="4" s="1"/>
  <c r="L132" i="4"/>
  <c r="Q100" i="4" s="1"/>
  <c r="L133" i="4"/>
  <c r="Q101" i="4" s="1"/>
  <c r="L134" i="4"/>
  <c r="Q102" i="4" s="1"/>
  <c r="L135" i="4"/>
  <c r="Q103" i="4" s="1"/>
  <c r="L136" i="4"/>
  <c r="Q108" i="4" s="1"/>
  <c r="L137" i="4"/>
  <c r="Q28" i="4" s="1"/>
  <c r="L138" i="4"/>
  <c r="Q30" i="4" s="1"/>
  <c r="L139" i="4"/>
  <c r="Q32" i="4" s="1"/>
  <c r="L140" i="4"/>
  <c r="Q26" i="4" s="1"/>
  <c r="L141" i="4"/>
  <c r="Q71" i="4" s="1"/>
  <c r="L142" i="4"/>
  <c r="L143" i="4"/>
  <c r="L144" i="4"/>
  <c r="Q150" i="4" s="1"/>
  <c r="L145" i="4"/>
  <c r="Q152" i="4" s="1"/>
  <c r="L146" i="4"/>
  <c r="Q154" i="4" s="1"/>
  <c r="L147" i="4"/>
  <c r="L148" i="4"/>
  <c r="L149" i="4"/>
  <c r="L150" i="4"/>
  <c r="L151" i="4"/>
  <c r="Q129" i="4" s="1"/>
  <c r="L130" i="4"/>
  <c r="N75" i="4"/>
  <c r="S87" i="4" s="1"/>
  <c r="N76" i="4"/>
  <c r="S88" i="4" s="1"/>
  <c r="N77" i="4"/>
  <c r="S89" i="4" s="1"/>
  <c r="N78" i="4"/>
  <c r="S90" i="4" s="1"/>
  <c r="N79" i="4"/>
  <c r="S91" i="4" s="1"/>
  <c r="N80" i="4"/>
  <c r="S106" i="4" s="1"/>
  <c r="N81" i="4"/>
  <c r="S27" i="4" s="1"/>
  <c r="N82" i="4"/>
  <c r="S29" i="4" s="1"/>
  <c r="N83" i="4"/>
  <c r="S31" i="4" s="1"/>
  <c r="N84" i="4"/>
  <c r="S25" i="4" s="1"/>
  <c r="N85" i="4"/>
  <c r="S61" i="4" s="1"/>
  <c r="N86" i="4"/>
  <c r="S92" i="4" s="1"/>
  <c r="N87" i="4"/>
  <c r="S62" i="4" s="1"/>
  <c r="N88" i="4"/>
  <c r="S37" i="4" s="1"/>
  <c r="N89" i="4"/>
  <c r="S33" i="4" s="1"/>
  <c r="N90" i="4"/>
  <c r="S34" i="4" s="1"/>
  <c r="N91" i="4"/>
  <c r="S35" i="4" s="1"/>
  <c r="N92" i="4"/>
  <c r="S36" i="4" s="1"/>
  <c r="N93" i="4"/>
  <c r="S93" i="4" s="1"/>
  <c r="N94" i="4"/>
  <c r="S94" i="4" s="1"/>
  <c r="N95" i="4"/>
  <c r="S95" i="4" s="1"/>
  <c r="N96" i="4"/>
  <c r="S96" i="4" s="1"/>
  <c r="N97" i="4"/>
  <c r="S97" i="4" s="1"/>
  <c r="N98" i="4"/>
  <c r="S98" i="4" s="1"/>
  <c r="N99" i="4"/>
  <c r="S107" i="4" s="1"/>
  <c r="N100" i="4"/>
  <c r="S63" i="4" s="1"/>
  <c r="N101" i="4"/>
  <c r="S64" i="4" s="1"/>
  <c r="N102" i="4"/>
  <c r="S65" i="4" s="1"/>
  <c r="N103" i="4"/>
  <c r="S66" i="4" s="1"/>
  <c r="N104" i="4"/>
  <c r="S67" i="4" s="1"/>
  <c r="N105" i="4"/>
  <c r="S68" i="4" s="1"/>
  <c r="N106" i="4"/>
  <c r="S69" i="4" s="1"/>
  <c r="N107" i="4"/>
  <c r="S70" i="4" s="1"/>
  <c r="N108" i="4"/>
  <c r="N109" i="4"/>
  <c r="N110" i="4"/>
  <c r="N111" i="4"/>
  <c r="N112" i="4"/>
  <c r="N113" i="4"/>
  <c r="N114" i="4"/>
  <c r="N115" i="4"/>
  <c r="N116" i="4"/>
  <c r="N117" i="4"/>
  <c r="N118" i="4"/>
  <c r="S151" i="4" s="1"/>
  <c r="N119" i="4"/>
  <c r="S153" i="4" s="1"/>
  <c r="N120" i="4"/>
  <c r="S155" i="4" s="1"/>
  <c r="N121" i="4"/>
  <c r="N122" i="4"/>
  <c r="N123" i="4"/>
  <c r="N124" i="4"/>
  <c r="L75" i="4"/>
  <c r="Q87" i="4" s="1"/>
  <c r="L76" i="4"/>
  <c r="Q88" i="4" s="1"/>
  <c r="L77" i="4"/>
  <c r="Q89" i="4" s="1"/>
  <c r="L78" i="4"/>
  <c r="Q90" i="4" s="1"/>
  <c r="L79" i="4"/>
  <c r="Q91" i="4" s="1"/>
  <c r="L80" i="4"/>
  <c r="Q106" i="4" s="1"/>
  <c r="L81" i="4"/>
  <c r="Q27" i="4" s="1"/>
  <c r="L82" i="4"/>
  <c r="Q29" i="4" s="1"/>
  <c r="L83" i="4"/>
  <c r="Q31" i="4" s="1"/>
  <c r="L84" i="4"/>
  <c r="Q25" i="4" s="1"/>
  <c r="L85" i="4"/>
  <c r="Q61" i="4" s="1"/>
  <c r="L86" i="4"/>
  <c r="Q92" i="4" s="1"/>
  <c r="L87" i="4"/>
  <c r="Q62" i="4" s="1"/>
  <c r="L88" i="4"/>
  <c r="Q37" i="4" s="1"/>
  <c r="L89" i="4"/>
  <c r="Q33" i="4" s="1"/>
  <c r="L90" i="4"/>
  <c r="Q34" i="4" s="1"/>
  <c r="L91" i="4"/>
  <c r="Q35" i="4" s="1"/>
  <c r="L92" i="4"/>
  <c r="Q36" i="4" s="1"/>
  <c r="L93" i="4"/>
  <c r="Q93" i="4" s="1"/>
  <c r="L94" i="4"/>
  <c r="Q94" i="4" s="1"/>
  <c r="L95" i="4"/>
  <c r="Q95" i="4" s="1"/>
  <c r="L96" i="4"/>
  <c r="Q96" i="4" s="1"/>
  <c r="L97" i="4"/>
  <c r="Q97" i="4" s="1"/>
  <c r="L98" i="4"/>
  <c r="Q98" i="4" s="1"/>
  <c r="L99" i="4"/>
  <c r="Q107" i="4" s="1"/>
  <c r="L100" i="4"/>
  <c r="Q63" i="4" s="1"/>
  <c r="L101" i="4"/>
  <c r="Q64" i="4" s="1"/>
  <c r="L102" i="4"/>
  <c r="Q65" i="4" s="1"/>
  <c r="L103" i="4"/>
  <c r="Q66" i="4" s="1"/>
  <c r="L104" i="4"/>
  <c r="Q67" i="4" s="1"/>
  <c r="L105" i="4"/>
  <c r="Q68" i="4" s="1"/>
  <c r="L106" i="4"/>
  <c r="Q69" i="4" s="1"/>
  <c r="L107" i="4"/>
  <c r="Q70" i="4" s="1"/>
  <c r="L108" i="4"/>
  <c r="L109" i="4"/>
  <c r="Q110" i="4" s="1"/>
  <c r="L110" i="4"/>
  <c r="L111" i="4"/>
  <c r="L112" i="4"/>
  <c r="L113" i="4"/>
  <c r="L114" i="4"/>
  <c r="L115" i="4"/>
  <c r="L116" i="4"/>
  <c r="L117" i="4"/>
  <c r="L118" i="4"/>
  <c r="Q151" i="4" s="1"/>
  <c r="L119" i="4"/>
  <c r="Q153" i="4" s="1"/>
  <c r="L120" i="4"/>
  <c r="Q155" i="4" s="1"/>
  <c r="L121" i="4"/>
  <c r="L122" i="4"/>
  <c r="L123" i="4"/>
  <c r="L124" i="4"/>
  <c r="N74" i="4"/>
  <c r="L74" i="4"/>
  <c r="Q145" i="4" l="1"/>
  <c r="S130" i="4"/>
  <c r="S124" i="4"/>
  <c r="S126" i="4"/>
  <c r="Q127" i="4"/>
  <c r="Q146" i="4"/>
  <c r="Q134" i="4"/>
  <c r="Q136" i="4"/>
  <c r="S145" i="4"/>
  <c r="S122" i="4"/>
  <c r="S129" i="4"/>
  <c r="S125" i="4"/>
  <c r="Q144" i="4"/>
  <c r="Q126" i="4"/>
  <c r="S127" i="4"/>
  <c r="S146" i="4"/>
  <c r="S110" i="4"/>
  <c r="Q128" i="4"/>
  <c r="Q142" i="4"/>
  <c r="Q135" i="4"/>
  <c r="S134" i="4"/>
  <c r="S128" i="4"/>
  <c r="S143" i="4"/>
  <c r="S140" i="4"/>
  <c r="Q139" i="4"/>
  <c r="Q122" i="4"/>
  <c r="S148" i="4"/>
  <c r="Q123" i="4"/>
  <c r="S136" i="4"/>
  <c r="S142" i="4"/>
  <c r="Q125" i="4"/>
  <c r="S131" i="4"/>
  <c r="Q140" i="4"/>
  <c r="Q147" i="4"/>
  <c r="Q156" i="4"/>
  <c r="Q138" i="4"/>
  <c r="Q113" i="4"/>
  <c r="S135" i="4"/>
  <c r="Q143" i="4"/>
  <c r="S137" i="4"/>
  <c r="S132" i="4"/>
  <c r="S114" i="4"/>
  <c r="Q115" i="4"/>
  <c r="Q133" i="4"/>
  <c r="S123" i="4"/>
  <c r="Q131" i="4"/>
  <c r="S156" i="4"/>
  <c r="Q114" i="4"/>
  <c r="S115" i="4"/>
  <c r="S133" i="4"/>
  <c r="S149" i="4"/>
  <c r="S141" i="4"/>
  <c r="Q149" i="4"/>
  <c r="Q130" i="4"/>
  <c r="Q124" i="4"/>
  <c r="S113" i="4"/>
  <c r="Q137" i="4"/>
  <c r="S138" i="4"/>
  <c r="Q148" i="4"/>
  <c r="Q141" i="4"/>
  <c r="G330" i="4"/>
  <c r="G335" i="4"/>
  <c r="G326" i="4"/>
  <c r="G316" i="4"/>
  <c r="G339" i="4" s="1"/>
  <c r="G322" i="4" l="1"/>
  <c r="G318" i="4"/>
  <c r="G317" i="4"/>
  <c r="G338" i="4"/>
  <c r="G328" i="4"/>
  <c r="G166" i="4"/>
  <c r="G201" i="4" s="1"/>
  <c r="G162" i="4"/>
  <c r="G196" i="4" s="1"/>
  <c r="G157" i="4"/>
  <c r="H151" i="4"/>
  <c r="G130" i="4"/>
  <c r="G129" i="4"/>
  <c r="G128" i="4"/>
  <c r="G126" i="4"/>
  <c r="G125" i="4"/>
  <c r="G123" i="4"/>
  <c r="G122" i="4"/>
  <c r="G133" i="4" s="1"/>
  <c r="G70" i="4"/>
  <c r="G69" i="4"/>
  <c r="G68" i="4"/>
  <c r="G55" i="4"/>
  <c r="G53" i="4"/>
  <c r="L183" i="4"/>
  <c r="L182" i="4"/>
  <c r="L181" i="4"/>
  <c r="L180" i="4"/>
  <c r="L179" i="4"/>
  <c r="L178" i="4"/>
  <c r="L177" i="4"/>
  <c r="L176" i="4"/>
  <c r="L175" i="4"/>
  <c r="G40" i="4"/>
  <c r="L174" i="4"/>
  <c r="Q78" i="4" s="1"/>
  <c r="G38" i="4"/>
  <c r="L173" i="4"/>
  <c r="Q77" i="4" s="1"/>
  <c r="L172" i="4"/>
  <c r="Q76" i="4" s="1"/>
  <c r="L171" i="4"/>
  <c r="Q75" i="4" s="1"/>
  <c r="L170" i="4"/>
  <c r="Q74" i="4" s="1"/>
  <c r="L169" i="4"/>
  <c r="Q73" i="4" s="1"/>
  <c r="L168" i="4"/>
  <c r="Q72" i="4" s="1"/>
  <c r="L167" i="4"/>
  <c r="Q16" i="4" s="1"/>
  <c r="L166" i="4"/>
  <c r="Q13" i="4" s="1"/>
  <c r="L165" i="4"/>
  <c r="Q12" i="4" s="1"/>
  <c r="L164" i="4"/>
  <c r="Q14" i="4" s="1"/>
  <c r="L163" i="4"/>
  <c r="Q15" i="4" s="1"/>
  <c r="L162" i="4"/>
  <c r="Q10" i="4" s="1"/>
  <c r="L161" i="4"/>
  <c r="Q11" i="4" s="1"/>
  <c r="G25" i="4"/>
  <c r="L160" i="4"/>
  <c r="Q44" i="4" s="1"/>
  <c r="L159" i="4"/>
  <c r="Q9" i="4" s="1"/>
  <c r="L158" i="4"/>
  <c r="L157" i="4"/>
  <c r="G329" i="4" l="1"/>
  <c r="G340" i="4" s="1"/>
  <c r="G56" i="4"/>
  <c r="G67" i="4" s="1"/>
  <c r="G44" i="4"/>
  <c r="G26" i="4"/>
  <c r="G32" i="4" s="1"/>
  <c r="G31" i="4" s="1"/>
  <c r="G41" i="4"/>
  <c r="G59" i="4"/>
  <c r="G131" i="4"/>
  <c r="G134" i="4" s="1"/>
  <c r="G163" i="4"/>
  <c r="G197" i="4" s="1"/>
  <c r="G72" i="4"/>
  <c r="G45" i="4"/>
  <c r="G73" i="4"/>
  <c r="G60" i="4"/>
  <c r="Q117" i="4"/>
  <c r="Q119" i="4"/>
  <c r="Q120" i="4"/>
  <c r="Q118" i="4"/>
  <c r="Q121" i="4"/>
  <c r="Q109" i="4"/>
  <c r="Q111" i="4"/>
  <c r="Q116" i="4"/>
  <c r="Q112" i="4"/>
  <c r="H117" i="4"/>
  <c r="H109" i="4"/>
  <c r="M183" i="4"/>
  <c r="M175" i="4"/>
  <c r="G124" i="4"/>
  <c r="G164" i="4" l="1"/>
  <c r="G198" i="4" s="1"/>
  <c r="G47" i="4"/>
  <c r="G46" i="4" s="1"/>
  <c r="G62" i="4"/>
  <c r="G61" i="4" s="1"/>
  <c r="G66" i="4"/>
  <c r="G344" i="4"/>
  <c r="G342" i="4"/>
  <c r="G343" i="4"/>
  <c r="G341" i="4"/>
  <c r="G65" i="4"/>
  <c r="G74" i="4" s="1"/>
  <c r="G79" i="4" s="1"/>
  <c r="G86" i="4" s="1"/>
  <c r="G136" i="4"/>
  <c r="G138" i="4" s="1"/>
  <c r="G139" i="4" s="1"/>
  <c r="G141" i="4" s="1"/>
  <c r="G142" i="4" s="1"/>
  <c r="G144" i="4" s="1"/>
  <c r="G149" i="4" s="1"/>
  <c r="G76" i="4"/>
  <c r="G81" i="4" s="1"/>
  <c r="G88" i="4" s="1"/>
  <c r="G75" i="4"/>
  <c r="G80" i="4" s="1"/>
  <c r="G87" i="4" s="1"/>
  <c r="R112" i="4"/>
  <c r="R109" i="4"/>
  <c r="W34" i="4" s="1"/>
  <c r="H115" i="4"/>
  <c r="M173" i="4" s="1"/>
  <c r="R77" i="4" s="1"/>
  <c r="H111" i="4"/>
  <c r="H110" i="4"/>
  <c r="M163" i="4" s="1"/>
  <c r="R15" i="4" s="1"/>
  <c r="W14" i="4" s="1"/>
  <c r="M182" i="4"/>
  <c r="H102" i="4"/>
  <c r="M164" i="4" l="1"/>
  <c r="R14" i="4" s="1"/>
  <c r="W12" i="4" s="1"/>
  <c r="H149" i="4"/>
  <c r="M174" i="4" s="1"/>
  <c r="R78" i="4" s="1"/>
  <c r="R111" i="4"/>
  <c r="W36" i="4" s="1"/>
  <c r="G112" i="4" l="1"/>
  <c r="H112" i="4" s="1"/>
  <c r="M165" i="4" s="1"/>
  <c r="R12" i="4" s="1"/>
  <c r="W11" i="4" s="1"/>
  <c r="G114" i="4" l="1"/>
  <c r="H114" i="4" l="1"/>
  <c r="G83" i="4"/>
  <c r="M167" i="4" l="1"/>
  <c r="R16" i="4" s="1"/>
  <c r="W15" i="4" s="1"/>
  <c r="G113" i="4" l="1"/>
  <c r="H113" i="4" s="1"/>
  <c r="M166" i="4" s="1"/>
  <c r="R13" i="4" s="1"/>
  <c r="W13" i="4" s="1"/>
  <c r="G97" i="4" l="1"/>
  <c r="G99" i="4" l="1"/>
  <c r="G102" i="4" s="1"/>
  <c r="H101" i="4" s="1"/>
  <c r="M172" i="4" s="1"/>
  <c r="R76" i="4" s="1"/>
  <c r="G100" i="4"/>
  <c r="H99" i="4" l="1"/>
  <c r="H100" i="4"/>
  <c r="H85" i="4" l="1"/>
  <c r="H84" i="4" s="1"/>
  <c r="M171" i="4" s="1"/>
  <c r="R75" i="4" s="1"/>
  <c r="M162" i="4"/>
  <c r="R10" i="4" s="1"/>
  <c r="W9" i="4" s="1"/>
  <c r="H88" i="4"/>
  <c r="M181" i="4" s="1"/>
  <c r="R121" i="4" s="1"/>
  <c r="H86" i="4"/>
  <c r="M179" i="4" s="1"/>
  <c r="R119" i="4" s="1"/>
  <c r="H87" i="4"/>
  <c r="M180" i="4" s="1"/>
  <c r="R120" i="4" s="1"/>
  <c r="H82" i="4"/>
  <c r="M160" i="4" s="1"/>
  <c r="R44" i="4" s="1"/>
  <c r="W30" i="4" s="1"/>
  <c r="H80" i="4"/>
  <c r="H46" i="4" s="1"/>
  <c r="H47" i="4" s="1"/>
  <c r="M177" i="4" s="1"/>
  <c r="H83" i="4"/>
  <c r="M161" i="4" s="1"/>
  <c r="R11" i="4" s="1"/>
  <c r="W10" i="4" s="1"/>
  <c r="H79" i="4" l="1"/>
  <c r="H31" i="4" s="1"/>
  <c r="H30" i="4" s="1"/>
  <c r="M168" i="4" s="1"/>
  <c r="R72" i="4" s="1"/>
  <c r="H81" i="4"/>
  <c r="H61" i="4" s="1"/>
  <c r="H59" i="4" s="1"/>
  <c r="M159" i="4" s="1"/>
  <c r="R9" i="4" s="1"/>
  <c r="W26" i="4" s="1"/>
  <c r="H32" i="4"/>
  <c r="M176" i="4" s="1"/>
  <c r="R116" i="4" s="1"/>
  <c r="H45" i="4"/>
  <c r="M169" i="4" s="1"/>
  <c r="R73" i="4" s="1"/>
  <c r="H44" i="4"/>
  <c r="H239" i="4" s="1"/>
  <c r="H29" i="4"/>
  <c r="M157" i="4" s="1"/>
  <c r="R117" i="4"/>
  <c r="H60" i="4" l="1"/>
  <c r="M170" i="4" s="1"/>
  <c r="R74" i="4" s="1"/>
  <c r="H62" i="4"/>
  <c r="M178" i="4" s="1"/>
  <c r="R118" i="4" s="1"/>
  <c r="W38" i="4" s="1"/>
  <c r="M158" i="4"/>
  <c r="H203" i="4"/>
  <c r="H201" i="4" s="1"/>
  <c r="H208" i="4"/>
  <c r="M113" i="4" s="1"/>
  <c r="H185" i="4"/>
  <c r="H193" i="4"/>
  <c r="H200" i="4"/>
  <c r="M142" i="4"/>
  <c r="H237" i="4"/>
  <c r="M140" i="4" s="1"/>
  <c r="R26" i="4" s="1"/>
  <c r="H236" i="4"/>
  <c r="M139" i="4" s="1"/>
  <c r="R32" i="4" s="1"/>
  <c r="H233" i="4"/>
  <c r="M136" i="4" s="1"/>
  <c r="R108" i="4" s="1"/>
  <c r="H238" i="4"/>
  <c r="M141" i="4" s="1"/>
  <c r="R71" i="4" s="1"/>
  <c r="H240" i="4"/>
  <c r="M143" i="4" s="1"/>
  <c r="H244" i="4"/>
  <c r="M147" i="4" s="1"/>
  <c r="H229" i="4"/>
  <c r="M132" i="4" s="1"/>
  <c r="R100" i="4" s="1"/>
  <c r="H228" i="4"/>
  <c r="M131" i="4" s="1"/>
  <c r="R99" i="4" s="1"/>
  <c r="H232" i="4"/>
  <c r="M135" i="4" s="1"/>
  <c r="R103" i="4" s="1"/>
  <c r="H246" i="4"/>
  <c r="M149" i="4" s="1"/>
  <c r="H247" i="4"/>
  <c r="M150" i="4" s="1"/>
  <c r="H231" i="4"/>
  <c r="M134" i="4" s="1"/>
  <c r="R102" i="4" s="1"/>
  <c r="H227" i="4"/>
  <c r="H248" i="4"/>
  <c r="M151" i="4" s="1"/>
  <c r="H235" i="4"/>
  <c r="M138" i="4" s="1"/>
  <c r="R30" i="4" s="1"/>
  <c r="H241" i="4"/>
  <c r="M144" i="4" s="1"/>
  <c r="R150" i="4" s="1"/>
  <c r="H234" i="4"/>
  <c r="M137" i="4" s="1"/>
  <c r="R28" i="4" s="1"/>
  <c r="H230" i="4"/>
  <c r="M133" i="4" s="1"/>
  <c r="R101" i="4" s="1"/>
  <c r="H243" i="4"/>
  <c r="M146" i="4" s="1"/>
  <c r="R154" i="4" s="1"/>
  <c r="H242" i="4"/>
  <c r="M145" i="4" s="1"/>
  <c r="R152" i="4" s="1"/>
  <c r="H245" i="4"/>
  <c r="M148" i="4" s="1"/>
  <c r="H197" i="4" l="1"/>
  <c r="H214" i="4"/>
  <c r="M119" i="4" s="1"/>
  <c r="R153" i="4" s="1"/>
  <c r="H190" i="4"/>
  <c r="H179" i="4"/>
  <c r="M84" i="4" s="1"/>
  <c r="R25" i="4" s="1"/>
  <c r="H172" i="4"/>
  <c r="M77" i="4" s="1"/>
  <c r="R89" i="4" s="1"/>
  <c r="H184" i="4"/>
  <c r="M89" i="4" s="1"/>
  <c r="R33" i="4" s="1"/>
  <c r="W21" i="4" s="1"/>
  <c r="H173" i="4"/>
  <c r="M78" i="4" s="1"/>
  <c r="R90" i="4" s="1"/>
  <c r="H213" i="4"/>
  <c r="M118" i="4" s="1"/>
  <c r="R151" i="4" s="1"/>
  <c r="H199" i="4"/>
  <c r="M104" i="4" s="1"/>
  <c r="R67" i="4" s="1"/>
  <c r="H177" i="4"/>
  <c r="M82" i="4" s="1"/>
  <c r="R29" i="4" s="1"/>
  <c r="W19" i="4" s="1"/>
  <c r="H219" i="4"/>
  <c r="M124" i="4" s="1"/>
  <c r="R130" i="4" s="1"/>
  <c r="H207" i="4"/>
  <c r="M112" i="4" s="1"/>
  <c r="R135" i="4" s="1"/>
  <c r="H180" i="4"/>
  <c r="M85" i="4" s="1"/>
  <c r="R61" i="4" s="1"/>
  <c r="H205" i="4"/>
  <c r="M110" i="4" s="1"/>
  <c r="R113" i="4" s="1"/>
  <c r="M108" i="4"/>
  <c r="H212" i="4"/>
  <c r="M117" i="4" s="1"/>
  <c r="R149" i="4" s="1"/>
  <c r="H174" i="4"/>
  <c r="M79" i="4" s="1"/>
  <c r="R91" i="4" s="1"/>
  <c r="H192" i="4"/>
  <c r="M97" i="4" s="1"/>
  <c r="R97" i="4" s="1"/>
  <c r="H191" i="4"/>
  <c r="M96" i="4" s="1"/>
  <c r="R96" i="4" s="1"/>
  <c r="H209" i="4"/>
  <c r="M114" i="4" s="1"/>
  <c r="R128" i="4" s="1"/>
  <c r="W41" i="4" s="1"/>
  <c r="H186" i="4"/>
  <c r="M91" i="4" s="1"/>
  <c r="R35" i="4" s="1"/>
  <c r="W23" i="4" s="1"/>
  <c r="H175" i="4"/>
  <c r="M80" i="4" s="1"/>
  <c r="R106" i="4" s="1"/>
  <c r="H216" i="4"/>
  <c r="M121" i="4" s="1"/>
  <c r="R136" i="4" s="1"/>
  <c r="H204" i="4"/>
  <c r="M109" i="4" s="1"/>
  <c r="R110" i="4" s="1"/>
  <c r="W35" i="4" s="1"/>
  <c r="H217" i="4"/>
  <c r="M122" i="4" s="1"/>
  <c r="R134" i="4" s="1"/>
  <c r="H202" i="4"/>
  <c r="M107" i="4" s="1"/>
  <c r="R70" i="4" s="1"/>
  <c r="H195" i="4"/>
  <c r="M100" i="4" s="1"/>
  <c r="R63" i="4" s="1"/>
  <c r="H189" i="4"/>
  <c r="M94" i="4" s="1"/>
  <c r="R94" i="4" s="1"/>
  <c r="H178" i="4"/>
  <c r="M83" i="4" s="1"/>
  <c r="R31" i="4" s="1"/>
  <c r="W20" i="4" s="1"/>
  <c r="H171" i="4"/>
  <c r="M76" i="4" s="1"/>
  <c r="R88" i="4" s="1"/>
  <c r="H181" i="4"/>
  <c r="M86" i="4" s="1"/>
  <c r="R92" i="4" s="1"/>
  <c r="H187" i="4"/>
  <c r="M92" i="4" s="1"/>
  <c r="R36" i="4" s="1"/>
  <c r="W24" i="4" s="1"/>
  <c r="H198" i="4"/>
  <c r="M103" i="4" s="1"/>
  <c r="R66" i="4" s="1"/>
  <c r="H188" i="4"/>
  <c r="M93" i="4" s="1"/>
  <c r="R93" i="4" s="1"/>
  <c r="H170" i="4"/>
  <c r="M75" i="4" s="1"/>
  <c r="R87" i="4" s="1"/>
  <c r="H206" i="4"/>
  <c r="M111" i="4" s="1"/>
  <c r="R123" i="4" s="1"/>
  <c r="H210" i="4"/>
  <c r="M115" i="4" s="1"/>
  <c r="R122" i="4" s="1"/>
  <c r="W39" i="4" s="1"/>
  <c r="H194" i="4"/>
  <c r="M99" i="4" s="1"/>
  <c r="R107" i="4" s="1"/>
  <c r="H183" i="4"/>
  <c r="M88" i="4" s="1"/>
  <c r="R37" i="4" s="1"/>
  <c r="W25" i="4" s="1"/>
  <c r="H211" i="4"/>
  <c r="M116" i="4" s="1"/>
  <c r="R124" i="4" s="1"/>
  <c r="H182" i="4"/>
  <c r="M87" i="4" s="1"/>
  <c r="R62" i="4" s="1"/>
  <c r="H169" i="4"/>
  <c r="M74" i="4" s="1"/>
  <c r="H218" i="4"/>
  <c r="M123" i="4" s="1"/>
  <c r="R145" i="4" s="1"/>
  <c r="H215" i="4"/>
  <c r="M120" i="4" s="1"/>
  <c r="R155" i="4" s="1"/>
  <c r="H196" i="4"/>
  <c r="M101" i="4" s="1"/>
  <c r="R64" i="4" s="1"/>
  <c r="M106" i="4"/>
  <c r="R69" i="4" s="1"/>
  <c r="H176" i="4"/>
  <c r="M81" i="4" s="1"/>
  <c r="R27" i="4" s="1"/>
  <c r="W18" i="4" s="1"/>
  <c r="M95" i="4"/>
  <c r="R95" i="4" s="1"/>
  <c r="M102" i="4"/>
  <c r="R65" i="4" s="1"/>
  <c r="M90" i="4"/>
  <c r="R34" i="4" s="1"/>
  <c r="W22" i="4" s="1"/>
  <c r="M98" i="4"/>
  <c r="R98" i="4" s="1"/>
  <c r="M105" i="4"/>
  <c r="R68" i="4" s="1"/>
  <c r="R131" i="4"/>
  <c r="R142" i="4"/>
  <c r="R143" i="4"/>
  <c r="R129" i="4"/>
  <c r="R156" i="4"/>
  <c r="R137" i="4"/>
  <c r="R125" i="4"/>
  <c r="H337" i="4"/>
  <c r="M130" i="4"/>
  <c r="W51" i="4" l="1"/>
  <c r="H320" i="4"/>
  <c r="H289" i="4"/>
  <c r="W50" i="4"/>
  <c r="W42" i="4"/>
  <c r="W48" i="4"/>
  <c r="W49" i="4"/>
  <c r="H335" i="4"/>
  <c r="M60" i="4" s="1"/>
  <c r="R60" i="4" s="1"/>
  <c r="H323" i="4"/>
  <c r="M48" i="4" s="1"/>
  <c r="R55" i="4" s="1"/>
  <c r="H321" i="4"/>
  <c r="M46" i="4" s="1"/>
  <c r="R83" i="4" s="1"/>
  <c r="H344" i="4"/>
  <c r="M69" i="4" s="1"/>
  <c r="H330" i="4"/>
  <c r="M55" i="4" s="1"/>
  <c r="R58" i="4" s="1"/>
  <c r="M45" i="4"/>
  <c r="R41" i="4" s="1"/>
  <c r="H319" i="4"/>
  <c r="M44" i="4" s="1"/>
  <c r="R54" i="4" s="1"/>
  <c r="H327" i="4"/>
  <c r="M52" i="4" s="1"/>
  <c r="R57" i="4" s="1"/>
  <c r="H325" i="4"/>
  <c r="M50" i="4" s="1"/>
  <c r="R20" i="4" s="1"/>
  <c r="H342" i="4"/>
  <c r="M67" i="4" s="1"/>
  <c r="H340" i="4"/>
  <c r="M65" i="4" s="1"/>
  <c r="H326" i="4"/>
  <c r="M51" i="4" s="1"/>
  <c r="R56" i="4" s="1"/>
  <c r="H333" i="4"/>
  <c r="M58" i="4" s="1"/>
  <c r="R59" i="4" s="1"/>
  <c r="H334" i="4"/>
  <c r="M59" i="4" s="1"/>
  <c r="R24" i="4" s="1"/>
  <c r="H338" i="4"/>
  <c r="M63" i="4" s="1"/>
  <c r="M62" i="4"/>
  <c r="H341" i="4"/>
  <c r="M66" i="4" s="1"/>
  <c r="H336" i="4"/>
  <c r="M61" i="4" s="1"/>
  <c r="R43" i="4" s="1"/>
  <c r="H322" i="4"/>
  <c r="M47" i="4" s="1"/>
  <c r="R105" i="4" s="1"/>
  <c r="H316" i="4"/>
  <c r="M41" i="4" s="1"/>
  <c r="R8" i="4" s="1"/>
  <c r="H343" i="4"/>
  <c r="M68" i="4" s="1"/>
  <c r="H332" i="4"/>
  <c r="M57" i="4" s="1"/>
  <c r="R22" i="4" s="1"/>
  <c r="H318" i="4"/>
  <c r="M43" i="4" s="1"/>
  <c r="R39" i="4" s="1"/>
  <c r="H324" i="4"/>
  <c r="M49" i="4" s="1"/>
  <c r="R84" i="4" s="1"/>
  <c r="H328" i="4"/>
  <c r="M53" i="4" s="1"/>
  <c r="R85" i="4" s="1"/>
  <c r="H331" i="4"/>
  <c r="M56" i="4" s="1"/>
  <c r="R86" i="4" s="1"/>
  <c r="H317" i="4"/>
  <c r="M42" i="4" s="1"/>
  <c r="R53" i="4" s="1"/>
  <c r="H339" i="4"/>
  <c r="M64" i="4" s="1"/>
  <c r="H329" i="4"/>
  <c r="M54" i="4" s="1"/>
  <c r="R21" i="4" s="1"/>
  <c r="H291" i="4" l="1"/>
  <c r="M30" i="4" s="1"/>
  <c r="R147" i="4" s="1"/>
  <c r="H268" i="4"/>
  <c r="M7" i="4" s="1"/>
  <c r="R7" i="4" s="1"/>
  <c r="H273" i="4"/>
  <c r="M12" i="4" s="1"/>
  <c r="R79" i="4" s="1"/>
  <c r="H294" i="4"/>
  <c r="M33" i="4" s="1"/>
  <c r="R132" i="4" s="1"/>
  <c r="H269" i="4"/>
  <c r="M8" i="4" s="1"/>
  <c r="R45" i="4" s="1"/>
  <c r="H296" i="4"/>
  <c r="M35" i="4" s="1"/>
  <c r="R144" i="4" s="1"/>
  <c r="H284" i="4"/>
  <c r="M23" i="4" s="1"/>
  <c r="R19" i="4" s="1"/>
  <c r="H292" i="4"/>
  <c r="M31" i="4" s="1"/>
  <c r="R126" i="4" s="1"/>
  <c r="H271" i="4"/>
  <c r="M10" i="4" s="1"/>
  <c r="R46" i="4" s="1"/>
  <c r="H274" i="4"/>
  <c r="M13" i="4" s="1"/>
  <c r="R104" i="4" s="1"/>
  <c r="W29" i="4" s="1"/>
  <c r="H282" i="4"/>
  <c r="M21" i="4" s="1"/>
  <c r="R50" i="4" s="1"/>
  <c r="H295" i="4"/>
  <c r="M34" i="4" s="1"/>
  <c r="R140" i="4" s="1"/>
  <c r="H279" i="4"/>
  <c r="M18" i="4" s="1"/>
  <c r="R49" i="4" s="1"/>
  <c r="H270" i="4"/>
  <c r="M9" i="4" s="1"/>
  <c r="R38" i="4" s="1"/>
  <c r="W32" i="4" s="1"/>
  <c r="H290" i="4"/>
  <c r="M29" i="4" s="1"/>
  <c r="R114" i="4" s="1"/>
  <c r="H288" i="4"/>
  <c r="M27" i="4" s="1"/>
  <c r="R42" i="4" s="1"/>
  <c r="W33" i="4" s="1"/>
  <c r="H287" i="4"/>
  <c r="M26" i="4" s="1"/>
  <c r="R52" i="4" s="1"/>
  <c r="M28" i="4"/>
  <c r="H275" i="4"/>
  <c r="M14" i="4" s="1"/>
  <c r="R47" i="4" s="1"/>
  <c r="H277" i="4"/>
  <c r="M16" i="4" s="1"/>
  <c r="R17" i="4" s="1"/>
  <c r="H272" i="4"/>
  <c r="M11" i="4" s="1"/>
  <c r="R40" i="4" s="1"/>
  <c r="W31" i="4" s="1"/>
  <c r="H283" i="4"/>
  <c r="M22" i="4" s="1"/>
  <c r="R82" i="4" s="1"/>
  <c r="H278" i="4"/>
  <c r="M17" i="4" s="1"/>
  <c r="R48" i="4" s="1"/>
  <c r="H280" i="4"/>
  <c r="M19" i="4" s="1"/>
  <c r="R81" i="4" s="1"/>
  <c r="H285" i="4"/>
  <c r="M24" i="4" s="1"/>
  <c r="R51" i="4" s="1"/>
  <c r="H293" i="4"/>
  <c r="M32" i="4" s="1"/>
  <c r="R138" i="4" s="1"/>
  <c r="H286" i="4"/>
  <c r="M25" i="4" s="1"/>
  <c r="R23" i="4" s="1"/>
  <c r="W17" i="4" s="1"/>
  <c r="H281" i="4"/>
  <c r="M20" i="4" s="1"/>
  <c r="R18" i="4" s="1"/>
  <c r="H276" i="4"/>
  <c r="M15" i="4" s="1"/>
  <c r="R80" i="4" s="1"/>
  <c r="R115" i="4"/>
  <c r="R141" i="4"/>
  <c r="R148" i="4"/>
  <c r="R146" i="4"/>
  <c r="R127" i="4"/>
  <c r="R133" i="4"/>
  <c r="R139" i="4"/>
  <c r="W8" i="4"/>
  <c r="W28" i="4" l="1"/>
  <c r="W27" i="4"/>
  <c r="W16" i="4"/>
  <c r="W44" i="4"/>
  <c r="W43" i="4"/>
  <c r="W46" i="4"/>
  <c r="W40" i="4"/>
  <c r="W47" i="4"/>
  <c r="W37" i="4"/>
  <c r="W45" i="4"/>
  <c r="W7" i="4"/>
  <c r="AD53" i="4" l="1"/>
  <c r="AL53" i="4"/>
  <c r="AE53" i="4"/>
  <c r="AM53" i="4"/>
  <c r="AP53" i="4"/>
  <c r="AF53" i="4"/>
  <c r="AN53" i="4"/>
  <c r="AG53" i="4"/>
  <c r="AO53" i="4"/>
  <c r="AH53" i="4"/>
  <c r="AA53" i="4"/>
  <c r="AI53" i="4"/>
  <c r="AQ53" i="4"/>
  <c r="AB53" i="4"/>
  <c r="AJ53" i="4"/>
  <c r="AC53" i="4"/>
  <c r="AK53" i="4"/>
  <c r="Z53" i="4"/>
</calcChain>
</file>

<file path=xl/sharedStrings.xml><?xml version="1.0" encoding="utf-8"?>
<sst xmlns="http://schemas.openxmlformats.org/spreadsheetml/2006/main" count="890" uniqueCount="455">
  <si>
    <t>Items</t>
  </si>
  <si>
    <t>Material</t>
  </si>
  <si>
    <t>Mass(g)</t>
  </si>
  <si>
    <t xml:space="preserve">Anode formed foil </t>
  </si>
  <si>
    <r>
      <t>Al (Al</t>
    </r>
    <r>
      <rPr>
        <vertAlign val="subscript"/>
        <sz val="12"/>
        <color rgb="FF000000"/>
        <rFont val="Times New Roman"/>
        <family val="1"/>
      </rPr>
      <t>2</t>
    </r>
    <r>
      <rPr>
        <sz val="12"/>
        <color rgb="FF000000"/>
        <rFont val="Times New Roman"/>
        <family val="1"/>
      </rPr>
      <t>O</t>
    </r>
    <r>
      <rPr>
        <vertAlign val="subscript"/>
        <sz val="12"/>
        <color rgb="FF000000"/>
        <rFont val="Times New Roman"/>
        <family val="1"/>
      </rPr>
      <t>3</t>
    </r>
    <r>
      <rPr>
        <sz val="12"/>
        <color rgb="FF000000"/>
        <rFont val="Times New Roman"/>
        <family val="1"/>
      </rPr>
      <t xml:space="preserve"> coating)</t>
    </r>
  </si>
  <si>
    <t>Cathode etched foil</t>
  </si>
  <si>
    <t>Separator paper</t>
  </si>
  <si>
    <t>Vegetable fiber paper</t>
  </si>
  <si>
    <t>Electrolyte</t>
  </si>
  <si>
    <t>Sealing cover</t>
  </si>
  <si>
    <t>Rubber</t>
  </si>
  <si>
    <t>Can</t>
  </si>
  <si>
    <t>Al</t>
  </si>
  <si>
    <t>Sleeve</t>
  </si>
  <si>
    <t>Tape</t>
  </si>
  <si>
    <t>Terminal</t>
  </si>
  <si>
    <t>Fe (Cu coating &amp; Tin coating)</t>
  </si>
  <si>
    <t>Rivet</t>
  </si>
  <si>
    <t>A1</t>
  </si>
  <si>
    <t>Tab</t>
  </si>
  <si>
    <t>Total</t>
  </si>
  <si>
    <t xml:space="preserve">LCI of capacitor production </t>
    <phoneticPr fontId="1" type="noConversion"/>
  </si>
  <si>
    <t>-</t>
    <phoneticPr fontId="1" type="noConversion"/>
  </si>
  <si>
    <t>Parameters</t>
    <phoneticPr fontId="1" type="noConversion"/>
  </si>
  <si>
    <t>Value</t>
    <phoneticPr fontId="1" type="noConversion"/>
  </si>
  <si>
    <t>Unit</t>
    <phoneticPr fontId="1" type="noConversion"/>
  </si>
  <si>
    <t>mm</t>
    <phoneticPr fontId="1" type="noConversion"/>
  </si>
  <si>
    <t>g/cm2</t>
    <phoneticPr fontId="1" type="noConversion"/>
  </si>
  <si>
    <t>V</t>
    <phoneticPr fontId="1" type="noConversion"/>
  </si>
  <si>
    <t>uF</t>
    <phoneticPr fontId="1" type="noConversion"/>
  </si>
  <si>
    <t>Thickness of anode Al foil</t>
    <phoneticPr fontId="1" type="noConversion"/>
  </si>
  <si>
    <t>Thickness of cathode Al foil</t>
    <phoneticPr fontId="1" type="noConversion"/>
  </si>
  <si>
    <t>Length of anode foil in a single capacitor</t>
  </si>
  <si>
    <t>Length of cathode foil in a single capacitor</t>
    <phoneticPr fontId="1" type="noConversion"/>
  </si>
  <si>
    <t>Working voltage</t>
    <phoneticPr fontId="1" type="noConversion"/>
  </si>
  <si>
    <t>Length of Al tab (anode &amp; cathode)</t>
    <phoneticPr fontId="1" type="noConversion"/>
  </si>
  <si>
    <t>Width of Al tab (anode &amp; cathode)</t>
    <phoneticPr fontId="1" type="noConversion"/>
  </si>
  <si>
    <t>Thickness of Al tab (anode &amp; cathode)</t>
    <phoneticPr fontId="1" type="noConversion"/>
  </si>
  <si>
    <t>Slitting of anode foil</t>
    <phoneticPr fontId="1" type="noConversion"/>
  </si>
  <si>
    <t>Slitting of cathode foil</t>
    <phoneticPr fontId="1" type="noConversion"/>
  </si>
  <si>
    <t>Winding</t>
    <phoneticPr fontId="1" type="noConversion"/>
  </si>
  <si>
    <t>Soak</t>
    <phoneticPr fontId="1" type="noConversion"/>
  </si>
  <si>
    <t>Aging and inspection</t>
    <phoneticPr fontId="1" type="noConversion"/>
  </si>
  <si>
    <t>Parameter</t>
    <phoneticPr fontId="1" type="noConversion"/>
  </si>
  <si>
    <t>Input</t>
    <phoneticPr fontId="1" type="noConversion"/>
  </si>
  <si>
    <t>Output</t>
    <phoneticPr fontId="1" type="noConversion"/>
  </si>
  <si>
    <t>Aging quantity of a single batch [pcs]</t>
    <phoneticPr fontId="1" type="noConversion"/>
  </si>
  <si>
    <t>Aging time [h]</t>
    <phoneticPr fontId="1" type="noConversion"/>
  </si>
  <si>
    <t>Thermal protection power [kW]</t>
    <phoneticPr fontId="1" type="noConversion"/>
  </si>
  <si>
    <t>Aging voltage [V]</t>
    <phoneticPr fontId="1" type="noConversion"/>
  </si>
  <si>
    <t>Capacitance [uF]</t>
    <phoneticPr fontId="1" type="noConversion"/>
  </si>
  <si>
    <t>Average leakage current during aging [A]</t>
    <phoneticPr fontId="1" type="noConversion"/>
  </si>
  <si>
    <t>Thickness of anode foil [mm]</t>
    <phoneticPr fontId="1" type="noConversion"/>
  </si>
  <si>
    <t>Length of anode foil in a single capacitor [mm]</t>
    <phoneticPr fontId="1" type="noConversion"/>
  </si>
  <si>
    <t>Thickness coefficient of dielectric [nm/V]</t>
    <phoneticPr fontId="1" type="noConversion"/>
  </si>
  <si>
    <t>Thickness of dielectric [um]</t>
    <phoneticPr fontId="1" type="noConversion"/>
  </si>
  <si>
    <t>Utilization rate of energy consumption of electrochemical reaction</t>
    <phoneticPr fontId="1" type="noConversion"/>
  </si>
  <si>
    <t>Moles of charge transferred during the reaction [mol]</t>
    <phoneticPr fontId="1" type="noConversion"/>
  </si>
  <si>
    <t>Qualification rate </t>
    <phoneticPr fontId="1" type="noConversion"/>
  </si>
  <si>
    <t>Electricity [kWh]</t>
    <phoneticPr fontId="1" type="noConversion"/>
  </si>
  <si>
    <t>Quantity of electric charge transferred during the reaction [C]</t>
    <phoneticPr fontId="1" type="noConversion"/>
  </si>
  <si>
    <t>Molecular mass of alumina film [g/mol]</t>
    <phoneticPr fontId="1" type="noConversion"/>
  </si>
  <si>
    <t>Moles of generated alumina film [mol]</t>
    <phoneticPr fontId="1" type="noConversion"/>
  </si>
  <si>
    <t>Energy consumption of the reaction process [kWh]</t>
    <phoneticPr fontId="1" type="noConversion"/>
  </si>
  <si>
    <t>Aging energy consumption of a single capacitor [kWh]</t>
    <phoneticPr fontId="1" type="noConversion"/>
  </si>
  <si>
    <t>Sleeve [kg]</t>
    <phoneticPr fontId="1" type="noConversion"/>
  </si>
  <si>
    <t>Capacitors (waste) [pcs]</t>
    <phoneticPr fontId="1" type="noConversion"/>
  </si>
  <si>
    <t>Power of production equipment [kW]</t>
    <phoneticPr fontId="1" type="noConversion"/>
  </si>
  <si>
    <t>Production efficiency [pcs/min]</t>
    <phoneticPr fontId="1" type="noConversion"/>
  </si>
  <si>
    <t>Capacitors (before aging) [pcs]</t>
    <phoneticPr fontId="1" type="noConversion"/>
  </si>
  <si>
    <t>Electrolyte loss rate</t>
    <phoneticPr fontId="1" type="noConversion"/>
  </si>
  <si>
    <t>Elements(before assembly) [pcs]</t>
    <phoneticPr fontId="1" type="noConversion"/>
  </si>
  <si>
    <t>Can [kg]</t>
    <phoneticPr fontId="1" type="noConversion"/>
  </si>
  <si>
    <t>Rivet  [kg]</t>
    <phoneticPr fontId="1" type="noConversion"/>
  </si>
  <si>
    <t>Terminal  [kg]</t>
    <phoneticPr fontId="1" type="noConversion"/>
  </si>
  <si>
    <t>Elements(before soak) [pcs]</t>
    <phoneticPr fontId="1" type="noConversion"/>
  </si>
  <si>
    <t>Electrolyte [kg]</t>
    <phoneticPr fontId="1" type="noConversion"/>
  </si>
  <si>
    <t>Vacuum machine power [kW]</t>
    <phoneticPr fontId="1" type="noConversion"/>
  </si>
  <si>
    <t>Soak time of a single batch [h]</t>
    <phoneticPr fontId="1" type="noConversion"/>
  </si>
  <si>
    <t>Max number of soak sieves in the soak tank [pcs]</t>
    <phoneticPr fontId="1" type="noConversion"/>
  </si>
  <si>
    <t>Max bearing weight of a soak sieve [kg]</t>
    <phoneticPr fontId="1" type="noConversion"/>
  </si>
  <si>
    <t>Tape [kg]</t>
    <phoneticPr fontId="1" type="noConversion"/>
  </si>
  <si>
    <t>Tab [kg]</t>
    <phoneticPr fontId="1" type="noConversion"/>
  </si>
  <si>
    <t>Anode formed foil [kg]</t>
    <phoneticPr fontId="1" type="noConversion"/>
  </si>
  <si>
    <t>Cathode etched foil [kg]</t>
    <phoneticPr fontId="1" type="noConversion"/>
  </si>
  <si>
    <t>Scraps of cathode etched foil [kg]</t>
    <phoneticPr fontId="1" type="noConversion"/>
  </si>
  <si>
    <t>Scraps of anode formed foil [kg]</t>
    <phoneticPr fontId="1" type="noConversion"/>
  </si>
  <si>
    <t>Number of capacitors manufactured from a single anode coil [pcs]</t>
    <phoneticPr fontId="1" type="noConversion"/>
  </si>
  <si>
    <t>Number of capacitors manufactured from a single cathode coil [pcs]</t>
    <phoneticPr fontId="1" type="noConversion"/>
  </si>
  <si>
    <t>Number of capacitors manufactured from a single paper coil [pcs]</t>
    <phoneticPr fontId="1" type="noConversion"/>
  </si>
  <si>
    <t>Length of a single anode coil [m]</t>
    <phoneticPr fontId="1" type="noConversion"/>
  </si>
  <si>
    <t>Length of a single cathode coil [m]</t>
    <phoneticPr fontId="1" type="noConversion"/>
  </si>
  <si>
    <t>Number of cutting rolls from a single anode coil [pcs]</t>
    <phoneticPr fontId="1" type="noConversion"/>
  </si>
  <si>
    <t>Number of cutting rolls from a single cathode coil [pcs]</t>
    <phoneticPr fontId="1" type="noConversion"/>
  </si>
  <si>
    <t>Length of cathode foil in a single capacitor [mm]</t>
    <phoneticPr fontId="1" type="noConversion"/>
  </si>
  <si>
    <t>Cutting speed of the equipment [m/s]</t>
    <phoneticPr fontId="1" type="noConversion"/>
  </si>
  <si>
    <t>Elements (before soak) [pcs]</t>
    <phoneticPr fontId="1" type="noConversion"/>
  </si>
  <si>
    <t>Heating time of a single batch [h]</t>
    <phoneticPr fontId="1" type="noConversion"/>
  </si>
  <si>
    <t>Width of cathode etched foil [mm]</t>
    <phoneticPr fontId="1" type="noConversion"/>
  </si>
  <si>
    <t>Thickness of cathode Al  foil [mm]</t>
    <phoneticPr fontId="1" type="noConversion"/>
  </si>
  <si>
    <t>Thickness of anode Al  foil [mm]</t>
    <phoneticPr fontId="1" type="noConversion"/>
  </si>
  <si>
    <t>Overall size of anode Al coil - Width [mm]  </t>
    <phoneticPr fontId="1" type="noConversion"/>
  </si>
  <si>
    <t>Overall size of anode Al coil - Inner diameter [mm]  </t>
    <phoneticPr fontId="1" type="noConversion"/>
  </si>
  <si>
    <t>Overall size of anode Al coil - Outer diameter [mm]  </t>
    <phoneticPr fontId="1" type="noConversion"/>
  </si>
  <si>
    <t>Overall size of cathode Al coil - Width [mm]  </t>
    <phoneticPr fontId="1" type="noConversion"/>
  </si>
  <si>
    <t>Overall size of cathode Al coil - Inner diameter [mm]  </t>
    <phoneticPr fontId="1" type="noConversion"/>
  </si>
  <si>
    <t>Overall size of cathode Al coil - Outer diameter [mm]  </t>
    <phoneticPr fontId="1" type="noConversion"/>
  </si>
  <si>
    <t>Width of anode Al foil [mm]</t>
    <phoneticPr fontId="1" type="noConversion"/>
  </si>
  <si>
    <t>Number of cutting rolls from a single anode Al coil [pcs]</t>
    <phoneticPr fontId="1" type="noConversion"/>
  </si>
  <si>
    <t>Slitting of anode foil</t>
  </si>
  <si>
    <t>Slitting of cathode foil</t>
  </si>
  <si>
    <t>Winding</t>
  </si>
  <si>
    <t>Soak</t>
  </si>
  <si>
    <t>Aging and inspection</t>
  </si>
  <si>
    <t>Output</t>
    <phoneticPr fontId="1" type="noConversion"/>
  </si>
  <si>
    <t>Capacitors (before aging)[pcs]</t>
    <phoneticPr fontId="1" type="noConversion"/>
  </si>
  <si>
    <t>Capacitors (qualified) [pcs]</t>
    <phoneticPr fontId="1" type="noConversion"/>
  </si>
  <si>
    <t>Production of cathode etched foil</t>
    <phoneticPr fontId="1" type="noConversion"/>
  </si>
  <si>
    <t>Production of anode formed foil</t>
    <phoneticPr fontId="1" type="noConversion"/>
  </si>
  <si>
    <t>0.05mm Al blank coil[kg]</t>
    <phoneticPr fontId="1" type="noConversion"/>
  </si>
  <si>
    <t>Deionized water [kg]</t>
    <phoneticPr fontId="1" type="noConversion"/>
  </si>
  <si>
    <t>Sulfur acid（98%）[kg]</t>
    <phoneticPr fontId="1" type="noConversion"/>
  </si>
  <si>
    <t>Hydrochloric acid（31%）[kg]</t>
    <phoneticPr fontId="1" type="noConversion"/>
  </si>
  <si>
    <t>HCl gas [kg]</t>
    <phoneticPr fontId="1" type="noConversion"/>
  </si>
  <si>
    <t>COD [kg]</t>
    <phoneticPr fontId="1" type="noConversion"/>
  </si>
  <si>
    <t>SS  [kg]</t>
    <phoneticPr fontId="1" type="noConversion"/>
  </si>
  <si>
    <t>TN  [kg]</t>
    <phoneticPr fontId="1" type="noConversion"/>
  </si>
  <si>
    <t>Waste gas treatment</t>
    <phoneticPr fontId="1" type="noConversion"/>
  </si>
  <si>
    <t>Formation voltage [V]</t>
    <phoneticPr fontId="1" type="noConversion"/>
  </si>
  <si>
    <t>Production of anode etched foil</t>
    <phoneticPr fontId="1" type="noConversion"/>
  </si>
  <si>
    <t>Formation process</t>
    <phoneticPr fontId="1" type="noConversion"/>
  </si>
  <si>
    <t>0.12mm Al blank coil [kg]</t>
    <phoneticPr fontId="1" type="noConversion"/>
  </si>
  <si>
    <t>Heat treatment</t>
    <phoneticPr fontId="1" type="noConversion"/>
  </si>
  <si>
    <t>Drying</t>
    <phoneticPr fontId="1" type="noConversion"/>
  </si>
  <si>
    <t>Hydration</t>
    <phoneticPr fontId="1" type="noConversion"/>
  </si>
  <si>
    <t>Passivation</t>
    <phoneticPr fontId="1" type="noConversion"/>
  </si>
  <si>
    <t>Water cleaning</t>
    <phoneticPr fontId="1" type="noConversion"/>
  </si>
  <si>
    <t xml:space="preserve">Water for cooling tower </t>
    <phoneticPr fontId="1" type="noConversion"/>
  </si>
  <si>
    <t>Water for phosphoric acid recovery system</t>
    <phoneticPr fontId="1" type="noConversion"/>
  </si>
  <si>
    <t>Equipment wash</t>
    <phoneticPr fontId="1" type="noConversion"/>
  </si>
  <si>
    <t>Average current density of formation process [mA/cm2]</t>
    <phoneticPr fontId="1" type="noConversion"/>
  </si>
  <si>
    <r>
      <t>H</t>
    </r>
    <r>
      <rPr>
        <vertAlign val="subscript"/>
        <sz val="10"/>
        <color theme="1"/>
        <rFont val="Times New Roman"/>
        <family val="1"/>
      </rPr>
      <t>2</t>
    </r>
    <r>
      <rPr>
        <sz val="11"/>
        <color theme="1"/>
        <rFont val="Times New Roman"/>
        <family val="1"/>
      </rPr>
      <t>SO</t>
    </r>
    <r>
      <rPr>
        <vertAlign val="subscript"/>
        <sz val="11"/>
        <color theme="1"/>
        <rFont val="Times New Roman"/>
        <family val="1"/>
      </rPr>
      <t>4</t>
    </r>
    <r>
      <rPr>
        <sz val="11"/>
        <color theme="1"/>
        <rFont val="Times New Roman"/>
        <family val="1"/>
      </rPr>
      <t xml:space="preserve"> gas [kg]</t>
    </r>
    <phoneticPr fontId="1" type="noConversion"/>
  </si>
  <si>
    <t>NOx   [kg]</t>
    <phoneticPr fontId="1" type="noConversion"/>
  </si>
  <si>
    <t>Source</t>
    <phoneticPr fontId="1" type="noConversion"/>
  </si>
  <si>
    <t>SS [kg]</t>
    <phoneticPr fontId="1" type="noConversion"/>
  </si>
  <si>
    <t>BOD [kg]</t>
    <phoneticPr fontId="1" type="noConversion"/>
  </si>
  <si>
    <t>Ar gas [kg]</t>
    <phoneticPr fontId="1" type="noConversion"/>
  </si>
  <si>
    <t>Graphitic lubricant [kg]</t>
    <phoneticPr fontId="1" type="noConversion"/>
  </si>
  <si>
    <t>Rolling oil  [kg}</t>
    <phoneticPr fontId="1" type="noConversion"/>
  </si>
  <si>
    <t>Al scraps [kg]</t>
    <phoneticPr fontId="1" type="noConversion"/>
  </si>
  <si>
    <t>Dust[kg]</t>
    <phoneticPr fontId="1" type="noConversion"/>
  </si>
  <si>
    <t>Production of Al blank foil  (anode)</t>
    <phoneticPr fontId="1" type="noConversion"/>
  </si>
  <si>
    <t>Production of Al blank foil  (cathode)</t>
    <phoneticPr fontId="1" type="noConversion"/>
  </si>
  <si>
    <t>Thickness of Al sheet in casting rolling [mm]</t>
    <phoneticPr fontId="1" type="noConversion"/>
  </si>
  <si>
    <t>Thickness of Al sheet in cold rolling 1  [mm]</t>
    <phoneticPr fontId="1" type="noConversion"/>
  </si>
  <si>
    <t>Thickness of Al sheet in cold rolling 2  [mm]</t>
    <phoneticPr fontId="1" type="noConversion"/>
  </si>
  <si>
    <t>Thickness of Al foil in foil rolling  [mm]</t>
    <phoneticPr fontId="1" type="noConversion"/>
  </si>
  <si>
    <t>Al smelting preparation  (anode)</t>
    <phoneticPr fontId="1" type="noConversion"/>
  </si>
  <si>
    <t>Final annealing (anode)</t>
    <phoneticPr fontId="1" type="noConversion"/>
  </si>
  <si>
    <t>Foil rolling  (anode)</t>
    <phoneticPr fontId="1" type="noConversion"/>
  </si>
  <si>
    <t>Intermediate annealing 2 (anode)</t>
    <phoneticPr fontId="1" type="noConversion"/>
  </si>
  <si>
    <t>Cold rolling 2 (anode)</t>
    <phoneticPr fontId="1" type="noConversion"/>
  </si>
  <si>
    <t>Intermediate annealing 1 (anode)</t>
    <phoneticPr fontId="1" type="noConversion"/>
  </si>
  <si>
    <t>Cold rolling 1 (anode)</t>
    <phoneticPr fontId="1" type="noConversion"/>
  </si>
  <si>
    <t>Casting rolling (anode)</t>
    <phoneticPr fontId="1" type="noConversion"/>
  </si>
  <si>
    <t>Al smelting preparation  (cathode)</t>
    <phoneticPr fontId="1" type="noConversion"/>
  </si>
  <si>
    <t>Final annealing (cathode)</t>
    <phoneticPr fontId="1" type="noConversion"/>
  </si>
  <si>
    <t>Foil rolling  (cathode)</t>
    <phoneticPr fontId="1" type="noConversion"/>
  </si>
  <si>
    <t>Intermediate annealing 2 (cathode)</t>
    <phoneticPr fontId="1" type="noConversion"/>
  </si>
  <si>
    <t>Cold rolling 2 (cathode)</t>
    <phoneticPr fontId="1" type="noConversion"/>
  </si>
  <si>
    <t>Intermediate annealing 1 (cathode)</t>
    <phoneticPr fontId="1" type="noConversion"/>
  </si>
  <si>
    <t>Cold rolling 1 (cathode)</t>
    <phoneticPr fontId="1" type="noConversion"/>
  </si>
  <si>
    <t>Casting rolling (cathode)</t>
    <phoneticPr fontId="1" type="noConversion"/>
  </si>
  <si>
    <t>Water consumption of casting rolling [m3/t]</t>
    <phoneticPr fontId="1" type="noConversion"/>
  </si>
  <si>
    <t>Material utilization rate</t>
    <phoneticPr fontId="1" type="noConversion"/>
  </si>
  <si>
    <t>Energy consumption of tower melting furnace [kWh/t]</t>
    <phoneticPr fontId="1" type="noConversion"/>
  </si>
  <si>
    <t>Rolling speed of casting rolling machine [m/s]</t>
    <phoneticPr fontId="1" type="noConversion"/>
  </si>
  <si>
    <t>Rolling speed of cold rolling machine 1 [m/s]</t>
    <phoneticPr fontId="1" type="noConversion"/>
  </si>
  <si>
    <t>Rolling speed of cold rolling machine 2 [m/s]</t>
    <phoneticPr fontId="1" type="noConversion"/>
  </si>
  <si>
    <t>Rolling speed of cold rolling machine 3 [m/s]</t>
    <phoneticPr fontId="1" type="noConversion"/>
  </si>
  <si>
    <t>Average power of casting rolling machine [kW]</t>
    <phoneticPr fontId="1" type="noConversion"/>
  </si>
  <si>
    <t>Average power of cold rolling machine [kW]</t>
    <phoneticPr fontId="1" type="noConversion"/>
  </si>
  <si>
    <t>Average power of uncoiler[kWh]</t>
    <phoneticPr fontId="1" type="noConversion"/>
  </si>
  <si>
    <t>Average power of decoiler[kWh]</t>
    <phoneticPr fontId="1" type="noConversion"/>
  </si>
  <si>
    <t>Ammonium citrate [kg]</t>
    <phoneticPr fontId="1" type="noConversion"/>
  </si>
  <si>
    <t>Ammonium pentaborate [kg]</t>
    <phoneticPr fontId="1" type="noConversion"/>
  </si>
  <si>
    <t>Input</t>
  </si>
  <si>
    <t>TP  [kg]</t>
    <phoneticPr fontId="1" type="noConversion"/>
  </si>
  <si>
    <t>Sludge [kg]</t>
    <phoneticPr fontId="1" type="noConversion"/>
  </si>
  <si>
    <t>Waste Al foil [kg]</t>
    <phoneticPr fontId="1" type="noConversion"/>
  </si>
  <si>
    <t>Flows</t>
    <phoneticPr fontId="1" type="noConversion"/>
  </si>
  <si>
    <t>Output</t>
  </si>
  <si>
    <t>Output</t>
    <phoneticPr fontId="1" type="noConversion"/>
  </si>
  <si>
    <t>LCI of production of cathode etched foil</t>
    <phoneticPr fontId="1" type="noConversion"/>
  </si>
  <si>
    <t>LCI of production of anode formed foil</t>
    <phoneticPr fontId="1" type="noConversion"/>
  </si>
  <si>
    <t>LCI of production of Al blank foil  (cathode)</t>
    <phoneticPr fontId="1" type="noConversion"/>
  </si>
  <si>
    <t>LCI of production of Al blank foil  (anode)</t>
    <phoneticPr fontId="1" type="noConversion"/>
  </si>
  <si>
    <t>0.05mm Al blank coil [kg]</t>
    <phoneticPr fontId="1" type="noConversion"/>
  </si>
  <si>
    <t>Corrosion reaction (anode)</t>
    <phoneticPr fontId="1" type="noConversion"/>
  </si>
  <si>
    <t>Corrosion reaction  (cathode)</t>
    <phoneticPr fontId="1" type="noConversion"/>
  </si>
  <si>
    <t>Corrosion reaction (cathode)</t>
    <phoneticPr fontId="1" type="noConversion"/>
  </si>
  <si>
    <t>Cleaning of sulfuric acid recovery system (cathode)</t>
    <phoneticPr fontId="1" type="noConversion"/>
  </si>
  <si>
    <t>Cleaning after nitric acid treatment  (cathode)</t>
    <phoneticPr fontId="1" type="noConversion"/>
  </si>
  <si>
    <t>Preparation of nitric acid (cathode)</t>
    <phoneticPr fontId="1" type="noConversion"/>
  </si>
  <si>
    <t>Cleaning after sulfuric acid treatment  (cathode)</t>
    <phoneticPr fontId="1" type="noConversion"/>
  </si>
  <si>
    <t>Preparation of sulfuric acid (cathode)</t>
    <phoneticPr fontId="1" type="noConversion"/>
  </si>
  <si>
    <t>Preparation of sulfuric acid (anode)</t>
    <phoneticPr fontId="1" type="noConversion"/>
  </si>
  <si>
    <t>Cleaning after sulfuric acid treatment  (anode)</t>
    <phoneticPr fontId="1" type="noConversion"/>
  </si>
  <si>
    <t>Preparation of nitric acid (anode)</t>
    <phoneticPr fontId="1" type="noConversion"/>
  </si>
  <si>
    <t>Cleaning after nitric acid treatment  (anode)</t>
    <phoneticPr fontId="1" type="noConversion"/>
  </si>
  <si>
    <t>Cleaning of sulfuric acid recovery system (anode)</t>
    <phoneticPr fontId="1" type="noConversion"/>
  </si>
  <si>
    <t>Waste gas treatment (anode)</t>
    <phoneticPr fontId="1" type="noConversion"/>
  </si>
  <si>
    <t>Phosphating</t>
    <phoneticPr fontId="1" type="noConversion"/>
  </si>
  <si>
    <t>Al coil of 0.05mm etched foil [kg]</t>
    <phoneticPr fontId="1" type="noConversion"/>
  </si>
  <si>
    <t>Al coil of 0.12 mm anode formed foil [kg]</t>
    <phoneticPr fontId="1" type="noConversion"/>
  </si>
  <si>
    <t>Al coil of 0.12mm anode formed foil [kg]</t>
    <phoneticPr fontId="1" type="noConversion"/>
  </si>
  <si>
    <t>Mass change coefficient of Al formed foil vs blank foil</t>
    <phoneticPr fontId="1" type="noConversion"/>
  </si>
  <si>
    <t>Area density of Al etched foil (cathode )</t>
    <phoneticPr fontId="1" type="noConversion"/>
  </si>
  <si>
    <t>Mass change coefficient of Al etched foil vs blank foil</t>
    <phoneticPr fontId="1" type="noConversion"/>
  </si>
  <si>
    <t>Input</t>
    <phoneticPr fontId="1" type="noConversion"/>
  </si>
  <si>
    <r>
      <t>Nitric acid</t>
    </r>
    <r>
      <rPr>
        <sz val="11"/>
        <color theme="1"/>
        <rFont val="宋体"/>
        <family val="3"/>
        <charset val="134"/>
      </rPr>
      <t>（</t>
    </r>
    <r>
      <rPr>
        <sz val="11"/>
        <color theme="1"/>
        <rFont val="Times New Roman"/>
        <family val="1"/>
      </rPr>
      <t>98%</t>
    </r>
    <r>
      <rPr>
        <sz val="11"/>
        <color theme="1"/>
        <rFont val="宋体"/>
        <family val="3"/>
        <charset val="134"/>
      </rPr>
      <t>）</t>
    </r>
    <r>
      <rPr>
        <sz val="11"/>
        <color theme="1"/>
        <rFont val="Times New Roman"/>
        <family val="1"/>
      </rPr>
      <t>[kg]</t>
    </r>
    <phoneticPr fontId="1" type="noConversion"/>
  </si>
  <si>
    <t>Ar gas [kg]</t>
  </si>
  <si>
    <t>Graphitic lubricant [kg]</t>
  </si>
  <si>
    <t>Electricity [kWh]</t>
  </si>
  <si>
    <t>Deionized water [kg]</t>
  </si>
  <si>
    <t>Output</t>
    <phoneticPr fontId="1" type="noConversion"/>
  </si>
  <si>
    <t>NH3-N [kg]</t>
  </si>
  <si>
    <t>Area density of Al formed foil (anode )[g/cm2]</t>
    <phoneticPr fontId="1" type="noConversion"/>
  </si>
  <si>
    <t>Al ingots (99.99%) [kg]</t>
    <phoneticPr fontId="1" type="noConversion"/>
  </si>
  <si>
    <r>
      <t>N</t>
    </r>
    <r>
      <rPr>
        <vertAlign val="subscript"/>
        <sz val="11"/>
        <color rgb="FF000000"/>
        <rFont val="Times New Roman"/>
        <family val="1"/>
      </rPr>
      <t xml:space="preserve">2 </t>
    </r>
    <r>
      <rPr>
        <sz val="11"/>
        <color theme="1"/>
        <rFont val="Times New Roman"/>
        <family val="1"/>
      </rPr>
      <t>gas[kg]</t>
    </r>
    <phoneticPr fontId="1" type="noConversion"/>
  </si>
  <si>
    <t>Al ingots (99.9%) [kg]</t>
    <phoneticPr fontId="1" type="noConversion"/>
  </si>
  <si>
    <t>BOPP (Biaxially Oriented Polypropylene)</t>
    <phoneticPr fontId="1" type="noConversion"/>
  </si>
  <si>
    <t>Rated capacitance</t>
    <phoneticPr fontId="1" type="noConversion"/>
  </si>
  <si>
    <t>Cutting width of (anode &amp; cathode) Al coil</t>
    <phoneticPr fontId="1" type="noConversion"/>
  </si>
  <si>
    <t>Area density of cathode Al etched foil</t>
    <phoneticPr fontId="1" type="noConversion"/>
  </si>
  <si>
    <t>Area density of anode Al formed foil</t>
    <phoneticPr fontId="1" type="noConversion"/>
  </si>
  <si>
    <t>Area density of anode Al formed foil [g/cm2]</t>
    <phoneticPr fontId="1" type="noConversion"/>
  </si>
  <si>
    <t>Area density of cathode Al etched foil [g/cm2]</t>
    <phoneticPr fontId="1" type="noConversion"/>
  </si>
  <si>
    <t>Al coil of  0.05mm cathode etcthed foil [kg]</t>
    <phoneticPr fontId="1" type="noConversion"/>
  </si>
  <si>
    <t>Assembly ( including sleeving)</t>
    <phoneticPr fontId="1" type="noConversion"/>
  </si>
  <si>
    <t>Assembly( including sleeving)</t>
    <phoneticPr fontId="1" type="noConversion"/>
  </si>
  <si>
    <t>Elements (before assembly) [pcs]</t>
    <phoneticPr fontId="1" type="noConversion"/>
  </si>
  <si>
    <t>New forming area of dielectric in the aging of a single capacitor [mm2]</t>
    <phoneticPr fontId="1" type="noConversion"/>
  </si>
  <si>
    <t>Width of Al foil in a single capacitor (anode) [mm]</t>
    <phoneticPr fontId="1" type="noConversion"/>
  </si>
  <si>
    <t>Width of Al tab (anode) in a single capacitor [mm]</t>
    <phoneticPr fontId="1" type="noConversion"/>
  </si>
  <si>
    <t>Length of Al tab (anode) in a single capacitor[mm]</t>
    <phoneticPr fontId="1" type="noConversion"/>
  </si>
  <si>
    <t>Formation process (first stage) [V]</t>
    <phoneticPr fontId="1" type="noConversion"/>
  </si>
  <si>
    <t>Formation process (second stage) [V]</t>
    <phoneticPr fontId="1" type="noConversion"/>
  </si>
  <si>
    <t>Formation process (third stage) [V]</t>
    <phoneticPr fontId="1" type="noConversion"/>
  </si>
  <si>
    <t>Formation process (fourth stage) [V]</t>
    <phoneticPr fontId="1" type="noConversion"/>
  </si>
  <si>
    <t>Formation process (fifth stage) [V]</t>
    <phoneticPr fontId="1" type="noConversion"/>
  </si>
  <si>
    <t>Formation process (sixth stage) [V]</t>
    <phoneticPr fontId="1" type="noConversion"/>
  </si>
  <si>
    <t>Thickness of Al tab (anode) [mm]</t>
    <phoneticPr fontId="1" type="noConversion"/>
  </si>
  <si>
    <t>Average heating power [kW]</t>
    <phoneticPr fontId="1" type="noConversion"/>
  </si>
  <si>
    <t>Qualification rate of sleeving process</t>
    <phoneticPr fontId="1" type="noConversion"/>
  </si>
  <si>
    <t>Qualification rate of can assembly process</t>
    <phoneticPr fontId="1" type="noConversion"/>
  </si>
  <si>
    <t>Mass of alumina film [g]</t>
    <phoneticPr fontId="1" type="noConversion"/>
  </si>
  <si>
    <t>Area density of 0.12mm Al blank foil (anode ) [g/cm2]</t>
    <phoneticPr fontId="1" type="noConversion"/>
  </si>
  <si>
    <t>Area density of  0.05mm Al blank foil  (cathode )</t>
    <phoneticPr fontId="1" type="noConversion"/>
  </si>
  <si>
    <t>Formation process (first stage)</t>
    <phoneticPr fontId="1" type="noConversion"/>
  </si>
  <si>
    <t>Formation process (second stage)</t>
    <phoneticPr fontId="1" type="noConversion"/>
  </si>
  <si>
    <t>Formation process (third stage)</t>
    <phoneticPr fontId="1" type="noConversion"/>
  </si>
  <si>
    <t>Formation process (fourth stage)</t>
    <phoneticPr fontId="1" type="noConversion"/>
  </si>
  <si>
    <t>Formation process (fifth stage)</t>
    <phoneticPr fontId="1" type="noConversion"/>
  </si>
  <si>
    <t>Formation process (sixth stage)</t>
    <phoneticPr fontId="1" type="noConversion"/>
  </si>
  <si>
    <t>Etching area of  etching process (double-faced) [cm2]</t>
    <phoneticPr fontId="1" type="noConversion"/>
  </si>
  <si>
    <t>Etching/forming area  (double-faced)  [cm2]</t>
    <phoneticPr fontId="1" type="noConversion"/>
  </si>
  <si>
    <t>Length of  finial Al coil  [m]</t>
    <phoneticPr fontId="1" type="noConversion"/>
  </si>
  <si>
    <t>NaOH solution (30%) [kg]</t>
    <phoneticPr fontId="1" type="noConversion"/>
  </si>
  <si>
    <t>Al smelting preparation  (anode)</t>
  </si>
  <si>
    <t>Al smelting preparation  (cathode)</t>
  </si>
  <si>
    <t>Assembly( including sleeving)</t>
  </si>
  <si>
    <t>Cold rolling</t>
    <phoneticPr fontId="1" type="noConversion"/>
  </si>
  <si>
    <t>Multiple stages</t>
  </si>
  <si>
    <t>Multiple stages</t>
    <phoneticPr fontId="1" type="noConversion"/>
  </si>
  <si>
    <t>Corrosion reaction</t>
    <phoneticPr fontId="1" type="noConversion"/>
  </si>
  <si>
    <t>Formation process</t>
  </si>
  <si>
    <t>Passivation</t>
  </si>
  <si>
    <t>Phosphating</t>
  </si>
  <si>
    <t>Slitting</t>
    <phoneticPr fontId="1" type="noConversion"/>
  </si>
  <si>
    <t>Casting rolling</t>
    <phoneticPr fontId="1" type="noConversion"/>
  </si>
  <si>
    <t>Al smelting preparation</t>
    <phoneticPr fontId="1" type="noConversion"/>
  </si>
  <si>
    <t>Final annealing</t>
    <phoneticPr fontId="1" type="noConversion"/>
  </si>
  <si>
    <t>Production of anode formed foil</t>
  </si>
  <si>
    <t>Production of Al blank foil</t>
    <phoneticPr fontId="1" type="noConversion"/>
  </si>
  <si>
    <t>Production of Al etched foil</t>
  </si>
  <si>
    <t>Production of Al etched foil</t>
    <phoneticPr fontId="1" type="noConversion"/>
  </si>
  <si>
    <t>-</t>
    <phoneticPr fontId="1" type="noConversion"/>
  </si>
  <si>
    <t>Sewage treatment</t>
  </si>
  <si>
    <t>Sewage treatment</t>
    <phoneticPr fontId="1" type="noConversion"/>
  </si>
  <si>
    <t>Associated stage</t>
    <phoneticPr fontId="1" type="noConversion"/>
  </si>
  <si>
    <t xml:space="preserve">Climate change, excl biogenic carbon </t>
  </si>
  <si>
    <t xml:space="preserve">Fine Particulate Matter Formation </t>
  </si>
  <si>
    <t xml:space="preserve">Fossil depletion </t>
  </si>
  <si>
    <t>Freshwater Consumption</t>
  </si>
  <si>
    <t xml:space="preserve">Freshwater ecotoxicity </t>
  </si>
  <si>
    <t xml:space="preserve">Freshwater Eutrophication </t>
  </si>
  <si>
    <t xml:space="preserve">Human toxicity, cancer </t>
  </si>
  <si>
    <t xml:space="preserve">Human toxicity, non-cancer </t>
  </si>
  <si>
    <t>Ionizing Radiation</t>
  </si>
  <si>
    <t xml:space="preserve">Land use </t>
  </si>
  <si>
    <t xml:space="preserve">Marine ecotoxicity </t>
  </si>
  <si>
    <t>Marine Eutrophication</t>
  </si>
  <si>
    <t>Metal depletion</t>
  </si>
  <si>
    <t xml:space="preserve">Photochemical Ozone Formation, Ecosystems </t>
  </si>
  <si>
    <t xml:space="preserve">Photochemical Ozone Formation, Human Health </t>
  </si>
  <si>
    <t xml:space="preserve">Stratospheric Ozone Depletion </t>
  </si>
  <si>
    <t>Terrestrial Acidification</t>
  </si>
  <si>
    <t xml:space="preserve">Terrestrial ecotoxicity </t>
  </si>
  <si>
    <t>kg PM2.5 eq.</t>
  </si>
  <si>
    <t>kg oil eq.</t>
  </si>
  <si>
    <t>kg 1,4 DB eq.</t>
  </si>
  <si>
    <t>kg P eq.</t>
  </si>
  <si>
    <t>kg 1,4-DB eq.</t>
  </si>
  <si>
    <t>kBq Co-60 eq. to air</t>
  </si>
  <si>
    <t>Annual crop eq.·y</t>
  </si>
  <si>
    <t>kg N eq.</t>
  </si>
  <si>
    <t>kg Cu eq.</t>
  </si>
  <si>
    <t>kg NOx eq.</t>
  </si>
  <si>
    <t>kg CFC-11 eq.</t>
  </si>
  <si>
    <t>kg SO2 eq.</t>
  </si>
  <si>
    <t>Ammonium citrate [kg]</t>
  </si>
  <si>
    <r>
      <t>Ethylene glycol (</t>
    </r>
    <r>
      <rPr>
        <sz val="12"/>
        <color rgb="FF000000"/>
        <rFont val="Times New Roman"/>
        <family val="1"/>
      </rPr>
      <t>Mainly</t>
    </r>
    <r>
      <rPr>
        <sz val="12"/>
        <color theme="1"/>
        <rFont val="Times New Roman"/>
        <family val="1"/>
      </rPr>
      <t>)</t>
    </r>
    <r>
      <rPr>
        <vertAlign val="superscript"/>
        <sz val="12"/>
        <color theme="1"/>
        <rFont val="Times New Roman"/>
        <family val="1"/>
      </rPr>
      <t>1</t>
    </r>
    <phoneticPr fontId="1" type="noConversion"/>
  </si>
  <si>
    <t>Slitting of separator paper</t>
  </si>
  <si>
    <t>Overall size of separator paper coil - Width [mm]  </t>
  </si>
  <si>
    <t>Overall size of separator paper coil - Inner diameter [mm]  </t>
  </si>
  <si>
    <t>Cutting width of separator paper coil</t>
  </si>
  <si>
    <t>Thickness of dry separator paper</t>
  </si>
  <si>
    <t>Area density of dry separator paper</t>
  </si>
  <si>
    <t>Length of separator paper foil in a single capacitor</t>
  </si>
  <si>
    <t>Overall size of separator paper coil - Outer diameter [mm]  </t>
  </si>
  <si>
    <t>Thickness of separator paper [mm]</t>
  </si>
  <si>
    <t>Area density of dry separator paper [g/cm2]</t>
  </si>
  <si>
    <t>Width of  separator paper [mm]</t>
  </si>
  <si>
    <t>Number of cutting rolls from a single separator paper coil [pcs]</t>
  </si>
  <si>
    <t>Scraps of separator paper [kg]</t>
  </si>
  <si>
    <t>Length of separator paper in a single capacitor [mm]</t>
  </si>
  <si>
    <t>Length of a single separator paper coil [m]</t>
  </si>
  <si>
    <t>Al ingots (99.99%) [kg]</t>
  </si>
  <si>
    <t>Al ingots (99.9%) [kg]</t>
  </si>
  <si>
    <t>Tab [kg]</t>
  </si>
  <si>
    <t>Can [kg]</t>
  </si>
  <si>
    <t>Sleeve [kg]</t>
  </si>
  <si>
    <t>Ammonium pentaborate [kg]</t>
  </si>
  <si>
    <t>Capacitors (qualified) [pcs]</t>
  </si>
  <si>
    <t>Capacitors (waste) [pcs]</t>
  </si>
  <si>
    <t>Al scraps [kg]</t>
  </si>
  <si>
    <t>Paper scraps [kg]</t>
  </si>
  <si>
    <t>Sludge [kg]</t>
  </si>
  <si>
    <t>TP [kg]</t>
  </si>
  <si>
    <t>TN [kg]</t>
  </si>
  <si>
    <t>NOx [kg]</t>
  </si>
  <si>
    <t>Rivet [kg]</t>
  </si>
  <si>
    <t>Terminal [kg]</t>
  </si>
  <si>
    <t>Sealing cover [kg]</t>
  </si>
  <si>
    <t>Rolling oil [kg}</t>
  </si>
  <si>
    <t>H2SO4 (98%) [kg]</t>
  </si>
  <si>
    <t>HNO3 (98%) [kg]</t>
  </si>
  <si>
    <t>HCl (31%) [kg]</t>
  </si>
  <si>
    <t>Direct emissions to fresh water</t>
  </si>
  <si>
    <t>Direct emissions to air</t>
  </si>
  <si>
    <t>From the International Aluminum Institute (IAI)</t>
  </si>
  <si>
    <t>From Worldsteel</t>
  </si>
  <si>
    <t>From Fertilizers Europe</t>
  </si>
  <si>
    <t>From European Life Cycle Database (ELCD)</t>
  </si>
  <si>
    <t>From China electric power yearbook</t>
  </si>
  <si>
    <t>From PlasticsEurope</t>
  </si>
  <si>
    <t xml:space="preserve"> The life cycle inventory(LCI) of the production stage of aluminum electrolytic capacitors (AECs) is established according to the following steps.</t>
    <phoneticPr fontId="1" type="noConversion"/>
  </si>
  <si>
    <t>PET (Polyethylene terephthalate)</t>
    <phoneticPr fontId="1" type="noConversion"/>
  </si>
  <si>
    <t>Slitting of separator paper</t>
    <phoneticPr fontId="1" type="noConversion"/>
  </si>
  <si>
    <t>Manfucturing processes</t>
    <phoneticPr fontId="1" type="noConversion"/>
  </si>
  <si>
    <t>Location</t>
    <phoneticPr fontId="1" type="noConversion"/>
  </si>
  <si>
    <t>Separator paper coil [kg]</t>
    <phoneticPr fontId="1" type="noConversion"/>
  </si>
  <si>
    <t>Amount by functional unit</t>
    <phoneticPr fontId="1" type="noConversion"/>
  </si>
  <si>
    <t>Amount in the single process</t>
    <phoneticPr fontId="1" type="noConversion"/>
  </si>
  <si>
    <t>Source of corresponding pollution data</t>
  </si>
  <si>
    <t>LCI of production of AECs (begin from Al ingots)</t>
    <phoneticPr fontId="1" type="noConversion"/>
  </si>
  <si>
    <t>Unit environmental impact values in ReCipe2016 method (midpoint)</t>
    <phoneticPr fontId="1" type="noConversion"/>
  </si>
  <si>
    <r>
      <t>Total</t>
    </r>
    <r>
      <rPr>
        <sz val="11"/>
        <color theme="1"/>
        <rFont val="宋体"/>
        <family val="1"/>
        <charset val="134"/>
      </rPr>
      <t>：</t>
    </r>
    <phoneticPr fontId="1" type="noConversion"/>
  </si>
  <si>
    <r>
      <t>Electrolyte [kg]</t>
    </r>
    <r>
      <rPr>
        <vertAlign val="superscript"/>
        <sz val="12"/>
        <color theme="1"/>
        <rFont val="Times New Roman"/>
        <family val="1"/>
      </rPr>
      <t>1</t>
    </r>
    <phoneticPr fontId="1" type="noConversion"/>
  </si>
  <si>
    <r>
      <t>H</t>
    </r>
    <r>
      <rPr>
        <vertAlign val="subscript"/>
        <sz val="12"/>
        <color theme="1"/>
        <rFont val="Times New Roman"/>
        <family val="1"/>
      </rPr>
      <t>3</t>
    </r>
    <r>
      <rPr>
        <sz val="12"/>
        <color theme="1"/>
        <rFont val="Times New Roman"/>
        <family val="1"/>
      </rPr>
      <t>PO</t>
    </r>
    <r>
      <rPr>
        <vertAlign val="subscript"/>
        <sz val="12"/>
        <color theme="1"/>
        <rFont val="Times New Roman"/>
        <family val="1"/>
      </rPr>
      <t>4</t>
    </r>
    <r>
      <rPr>
        <sz val="12"/>
        <color theme="1"/>
        <rFont val="Times New Roman"/>
        <family val="1"/>
      </rPr>
      <t xml:space="preserve"> [kg]</t>
    </r>
    <phoneticPr fontId="1" type="noConversion"/>
  </si>
  <si>
    <r>
      <t>NH</t>
    </r>
    <r>
      <rPr>
        <vertAlign val="subscript"/>
        <sz val="12"/>
        <color theme="1"/>
        <rFont val="Times New Roman"/>
        <family val="1"/>
      </rPr>
      <t>4</t>
    </r>
    <r>
      <rPr>
        <sz val="12"/>
        <color theme="1"/>
        <rFont val="Times New Roman"/>
        <family val="1"/>
      </rPr>
      <t>H</t>
    </r>
    <r>
      <rPr>
        <vertAlign val="subscript"/>
        <sz val="12"/>
        <color theme="1"/>
        <rFont val="Times New Roman"/>
        <family val="1"/>
      </rPr>
      <t>2</t>
    </r>
    <r>
      <rPr>
        <sz val="12"/>
        <color theme="1"/>
        <rFont val="Times New Roman"/>
        <family val="1"/>
      </rPr>
      <t>PO</t>
    </r>
    <r>
      <rPr>
        <vertAlign val="subscript"/>
        <sz val="12"/>
        <color theme="1"/>
        <rFont val="Times New Roman"/>
        <family val="1"/>
      </rPr>
      <t>4</t>
    </r>
    <r>
      <rPr>
        <sz val="12"/>
        <color theme="1"/>
        <rFont val="Times New Roman"/>
        <family val="1"/>
      </rPr>
      <t xml:space="preserve"> [kg]</t>
    </r>
    <phoneticPr fontId="1" type="noConversion"/>
  </si>
  <si>
    <r>
      <t>HBO</t>
    </r>
    <r>
      <rPr>
        <vertAlign val="subscript"/>
        <sz val="12"/>
        <color theme="1"/>
        <rFont val="Times New Roman"/>
        <family val="1"/>
      </rPr>
      <t>3</t>
    </r>
    <r>
      <rPr>
        <sz val="12"/>
        <color theme="1"/>
        <rFont val="Times New Roman"/>
        <family val="1"/>
      </rPr>
      <t xml:space="preserve"> [kg]</t>
    </r>
    <phoneticPr fontId="1" type="noConversion"/>
  </si>
  <si>
    <r>
      <t>N</t>
    </r>
    <r>
      <rPr>
        <vertAlign val="subscript"/>
        <sz val="12"/>
        <color theme="1"/>
        <rFont val="Times New Roman"/>
        <family val="1"/>
      </rPr>
      <t>2</t>
    </r>
    <r>
      <rPr>
        <sz val="12"/>
        <color theme="1"/>
        <rFont val="Times New Roman"/>
        <family val="1"/>
      </rPr>
      <t xml:space="preserve"> gas[kg]</t>
    </r>
    <phoneticPr fontId="1" type="noConversion"/>
  </si>
  <si>
    <r>
      <t>H</t>
    </r>
    <r>
      <rPr>
        <vertAlign val="subscript"/>
        <sz val="12"/>
        <color theme="1"/>
        <rFont val="Times New Roman"/>
        <family val="1"/>
      </rPr>
      <t>2</t>
    </r>
    <r>
      <rPr>
        <sz val="12"/>
        <color theme="1"/>
        <rFont val="Times New Roman"/>
        <family val="1"/>
      </rPr>
      <t>SO</t>
    </r>
    <r>
      <rPr>
        <vertAlign val="subscript"/>
        <sz val="12"/>
        <color theme="1"/>
        <rFont val="Times New Roman"/>
        <family val="1"/>
      </rPr>
      <t>4</t>
    </r>
    <r>
      <rPr>
        <sz val="12"/>
        <color theme="1"/>
        <rFont val="Times New Roman"/>
        <family val="1"/>
      </rPr>
      <t xml:space="preserve"> gas [kg]</t>
    </r>
    <phoneticPr fontId="1" type="noConversion"/>
  </si>
  <si>
    <r>
      <t>NH</t>
    </r>
    <r>
      <rPr>
        <vertAlign val="subscript"/>
        <sz val="12"/>
        <color theme="1"/>
        <rFont val="Times New Roman"/>
        <family val="1"/>
      </rPr>
      <t>3</t>
    </r>
    <r>
      <rPr>
        <sz val="12"/>
        <color theme="1"/>
        <rFont val="Times New Roman"/>
        <family val="1"/>
      </rPr>
      <t xml:space="preserve"> gas [kg]</t>
    </r>
    <phoneticPr fontId="1" type="noConversion"/>
  </si>
  <si>
    <r>
      <t>AlPO</t>
    </r>
    <r>
      <rPr>
        <vertAlign val="subscript"/>
        <sz val="12"/>
        <color theme="1"/>
        <rFont val="Times New Roman"/>
        <family val="1"/>
      </rPr>
      <t>4</t>
    </r>
    <r>
      <rPr>
        <sz val="12"/>
        <color theme="1"/>
        <rFont val="Times New Roman"/>
        <family val="1"/>
      </rPr>
      <t xml:space="preserve"> [kg]</t>
    </r>
    <r>
      <rPr>
        <vertAlign val="superscript"/>
        <sz val="12"/>
        <color theme="1"/>
        <rFont val="Times New Roman"/>
        <family val="1"/>
      </rPr>
      <t>6</t>
    </r>
    <phoneticPr fontId="1" type="noConversion"/>
  </si>
  <si>
    <r>
      <t>Specialized recycling processing</t>
    </r>
    <r>
      <rPr>
        <vertAlign val="superscript"/>
        <sz val="11"/>
        <color theme="1"/>
        <rFont val="Times New Roman"/>
        <family val="1"/>
      </rPr>
      <t>7</t>
    </r>
    <phoneticPr fontId="1" type="noConversion"/>
  </si>
  <si>
    <r>
      <t>HCl gas [kg]</t>
    </r>
    <r>
      <rPr>
        <vertAlign val="superscript"/>
        <sz val="12"/>
        <color theme="1"/>
        <rFont val="Times New Roman"/>
        <family val="1"/>
      </rPr>
      <t>9</t>
    </r>
    <phoneticPr fontId="1" type="noConversion"/>
  </si>
  <si>
    <r>
      <t>Dust[kg]</t>
    </r>
    <r>
      <rPr>
        <vertAlign val="superscript"/>
        <sz val="12"/>
        <color theme="1"/>
        <rFont val="Times New Roman"/>
        <family val="1"/>
      </rPr>
      <t>9</t>
    </r>
    <phoneticPr fontId="1" type="noConversion"/>
  </si>
  <si>
    <r>
      <t>BOD [kg]</t>
    </r>
    <r>
      <rPr>
        <vertAlign val="superscript"/>
        <sz val="12"/>
        <color theme="1"/>
        <rFont val="Times New Roman"/>
        <family val="1"/>
      </rPr>
      <t>9</t>
    </r>
    <phoneticPr fontId="1" type="noConversion"/>
  </si>
  <si>
    <r>
      <t>COD [kg]</t>
    </r>
    <r>
      <rPr>
        <vertAlign val="superscript"/>
        <sz val="12"/>
        <color theme="1"/>
        <rFont val="Times New Roman"/>
        <family val="1"/>
      </rPr>
      <t>9</t>
    </r>
    <phoneticPr fontId="1" type="noConversion"/>
  </si>
  <si>
    <r>
      <t>SS [kg]</t>
    </r>
    <r>
      <rPr>
        <vertAlign val="superscript"/>
        <sz val="12"/>
        <color theme="1"/>
        <rFont val="Times New Roman"/>
        <family val="1"/>
      </rPr>
      <t>9</t>
    </r>
    <phoneticPr fontId="1" type="noConversion"/>
  </si>
  <si>
    <t>E19</t>
    <phoneticPr fontId="1" type="noConversion"/>
  </si>
  <si>
    <t>E34</t>
    <phoneticPr fontId="1" type="noConversion"/>
  </si>
  <si>
    <t>E49</t>
    <phoneticPr fontId="1" type="noConversion"/>
  </si>
  <si>
    <t>E64</t>
    <phoneticPr fontId="1" type="noConversion"/>
  </si>
  <si>
    <t>E90</t>
    <phoneticPr fontId="1" type="noConversion"/>
  </si>
  <si>
    <t>E104</t>
    <phoneticPr fontId="1" type="noConversion"/>
  </si>
  <si>
    <t>E119</t>
    <phoneticPr fontId="1" type="noConversion"/>
  </si>
  <si>
    <t>E222</t>
    <phoneticPr fontId="1" type="noConversion"/>
  </si>
  <si>
    <t>E156</t>
    <phoneticPr fontId="1" type="noConversion"/>
  </si>
  <si>
    <t>E299</t>
    <phoneticPr fontId="1" type="noConversion"/>
  </si>
  <si>
    <t>E251</t>
    <phoneticPr fontId="1" type="noConversion"/>
  </si>
  <si>
    <t>Wastewater [kg]</t>
    <phoneticPr fontId="1" type="noConversion"/>
  </si>
  <si>
    <r>
      <t>Wastewater [kg]</t>
    </r>
    <r>
      <rPr>
        <vertAlign val="superscript"/>
        <sz val="12"/>
        <color theme="1"/>
        <rFont val="Times New Roman"/>
        <family val="1"/>
      </rPr>
      <t>8</t>
    </r>
    <phoneticPr fontId="1" type="noConversion"/>
  </si>
  <si>
    <r>
      <t>Specialized landfill</t>
    </r>
    <r>
      <rPr>
        <vertAlign val="superscript"/>
        <sz val="11"/>
        <color theme="1"/>
        <rFont val="Times New Roman"/>
        <family val="1"/>
      </rPr>
      <t>7</t>
    </r>
    <phoneticPr fontId="1" type="noConversion"/>
  </si>
  <si>
    <t>“CN: Aluminium sheet” in GDs</t>
  </si>
  <si>
    <t>“DE: Styrene-butadiene rubber (E-SBR)” in GDs</t>
  </si>
  <si>
    <t>“CN: Heavy fuel oil at refinery” in GDs</t>
  </si>
  <si>
    <t>“EU-28: Sulphuric acid (96%)” in GDs</t>
  </si>
  <si>
    <t>“DE: Hydrochloric acid (32%)” in GDs</t>
  </si>
  <si>
    <t>“EU-28: Polyethylene terephthalate fibres (PET)” in GDs</t>
  </si>
  <si>
    <t>“EU-28: Sodium hydroxide (caustic soda) mix (100%)” with “CN: Water (desalinated; deionised)” in GDs</t>
  </si>
  <si>
    <t>“EU-28: Phosphoric acid (100%) (wet process)” in GDs</t>
  </si>
  <si>
    <t>“CN: Water (desalinated; deionised)” in GDs</t>
  </si>
  <si>
    <t>“CN: Tap water from surface water” in GDs</t>
  </si>
  <si>
    <t>“CN: Hard coal mix” in GDs</t>
  </si>
  <si>
    <t>“DE: Argon (gaseous)” in GDs</t>
  </si>
  <si>
    <t>From the IAI</t>
    <phoneticPr fontId="1" type="noConversion"/>
  </si>
  <si>
    <r>
      <t>kg CO</t>
    </r>
    <r>
      <rPr>
        <vertAlign val="subscript"/>
        <sz val="11"/>
        <color theme="1"/>
        <rFont val="Times New Roman"/>
        <family val="1"/>
      </rPr>
      <t>2</t>
    </r>
    <r>
      <rPr>
        <sz val="11"/>
        <color theme="1"/>
        <rFont val="Times New Roman"/>
        <family val="1"/>
      </rPr>
      <t xml:space="preserve"> eq.</t>
    </r>
    <phoneticPr fontId="1" type="noConversion"/>
  </si>
  <si>
    <r>
      <t>m</t>
    </r>
    <r>
      <rPr>
        <vertAlign val="superscript"/>
        <sz val="11"/>
        <color theme="1"/>
        <rFont val="Times New Roman"/>
        <family val="1"/>
      </rPr>
      <t>3</t>
    </r>
    <phoneticPr fontId="1" type="noConversion"/>
  </si>
  <si>
    <r>
      <t>Step 1</t>
    </r>
    <r>
      <rPr>
        <sz val="12"/>
        <color theme="1"/>
        <rFont val="宋体"/>
        <family val="1"/>
        <charset val="134"/>
      </rPr>
      <t>：</t>
    </r>
    <r>
      <rPr>
        <sz val="12"/>
        <color theme="1"/>
        <rFont val="Times New Roman"/>
        <family val="1"/>
      </rPr>
      <t>The bill of materials and basic parameters of the specific AEC product (420V, 680μF) are obtained through the disassembly analysis of the capacitor.</t>
    </r>
    <phoneticPr fontId="1" type="noConversion"/>
  </si>
  <si>
    <r>
      <t>1</t>
    </r>
    <r>
      <rPr>
        <sz val="10.5"/>
        <color theme="1"/>
        <rFont val="Times New Roman"/>
        <family val="1"/>
      </rPr>
      <t>The complete composition of electrolyte is 70% main solvent (ethylene glycol), 10% auxiliary solvent (diethylene glycol methyl ether), 16.3% solutes (including ammonium hydrogen azelate, ammonium sebacate, and ammonium dicyanate), and 3.7% additives (including polyvinyl alcohol borate ester, p-nitrobenzoic acid, and mono-butyl phosphate).</t>
    </r>
    <phoneticPr fontId="1" type="noConversion"/>
  </si>
  <si>
    <t>The composition of a capacitor (420V, 680μF)</t>
    <phoneticPr fontId="1" type="noConversion"/>
  </si>
  <si>
    <r>
      <t>Step 2</t>
    </r>
    <r>
      <rPr>
        <sz val="12"/>
        <color theme="1"/>
        <rFont val="宋体"/>
        <family val="1"/>
        <charset val="134"/>
      </rPr>
      <t>：</t>
    </r>
    <r>
      <rPr>
        <sz val="12"/>
        <color theme="1"/>
        <rFont val="Times New Roman"/>
        <family val="1"/>
      </rPr>
      <t>The parametric sub-LCIs of the manufacturing processes are established according to the characteristic processing parameters (i.e., manufactured mass, processing area, quantity, and time).</t>
    </r>
    <phoneticPr fontId="1" type="noConversion"/>
  </si>
  <si>
    <r>
      <t>HBO</t>
    </r>
    <r>
      <rPr>
        <vertAlign val="subscript"/>
        <sz val="11"/>
        <color theme="1"/>
        <rFont val="Times New Roman"/>
        <family val="1"/>
      </rPr>
      <t>3</t>
    </r>
    <r>
      <rPr>
        <sz val="11"/>
        <color theme="1"/>
        <rFont val="Times New Roman"/>
        <family val="1"/>
      </rPr>
      <t xml:space="preserve"> [kg]</t>
    </r>
    <phoneticPr fontId="1" type="noConversion"/>
  </si>
  <si>
    <r>
      <t>H</t>
    </r>
    <r>
      <rPr>
        <vertAlign val="subscript"/>
        <sz val="11"/>
        <color theme="1"/>
        <rFont val="Times New Roman"/>
        <family val="1"/>
      </rPr>
      <t>3</t>
    </r>
    <r>
      <rPr>
        <sz val="11"/>
        <color theme="1"/>
        <rFont val="Times New Roman"/>
        <family val="1"/>
      </rPr>
      <t>PO</t>
    </r>
    <r>
      <rPr>
        <vertAlign val="subscript"/>
        <sz val="11"/>
        <color theme="1"/>
        <rFont val="Times New Roman"/>
        <family val="1"/>
      </rPr>
      <t>4</t>
    </r>
    <r>
      <rPr>
        <sz val="11"/>
        <color theme="1"/>
        <rFont val="Times New Roman"/>
        <family val="1"/>
      </rPr>
      <t xml:space="preserve"> [kg]</t>
    </r>
    <phoneticPr fontId="1" type="noConversion"/>
  </si>
  <si>
    <r>
      <t>NH</t>
    </r>
    <r>
      <rPr>
        <vertAlign val="subscript"/>
        <sz val="11"/>
        <color theme="1"/>
        <rFont val="Times New Roman"/>
        <family val="1"/>
      </rPr>
      <t>4</t>
    </r>
    <r>
      <rPr>
        <sz val="11"/>
        <color theme="1"/>
        <rFont val="Times New Roman"/>
        <family val="1"/>
      </rPr>
      <t>H</t>
    </r>
    <r>
      <rPr>
        <vertAlign val="subscript"/>
        <sz val="11"/>
        <color theme="1"/>
        <rFont val="Times New Roman"/>
        <family val="1"/>
      </rPr>
      <t>2</t>
    </r>
    <r>
      <rPr>
        <sz val="11"/>
        <color theme="1"/>
        <rFont val="Times New Roman"/>
        <family val="1"/>
      </rPr>
      <t>PO</t>
    </r>
    <r>
      <rPr>
        <vertAlign val="subscript"/>
        <sz val="11"/>
        <color theme="1"/>
        <rFont val="Times New Roman"/>
        <family val="1"/>
      </rPr>
      <t>4</t>
    </r>
    <r>
      <rPr>
        <sz val="11"/>
        <color theme="1"/>
        <rFont val="Times New Roman"/>
        <family val="1"/>
      </rPr>
      <t xml:space="preserve"> [kg]</t>
    </r>
    <phoneticPr fontId="1" type="noConversion"/>
  </si>
  <si>
    <t>Step 3: Based on the functional unit, the entire LCI can be compiled based on the mass balance between output flows and input flows of adjacent manufacturing processes. (Data processing 1 )</t>
    <phoneticPr fontId="1" type="noConversion"/>
  </si>
  <si>
    <t>Step 3: Based on the functional unit, the entire LCI can be compiled based on the mass balance between output flows and input flows of adjacent manufacturing processes. (Data processing 2 )</t>
    <phoneticPr fontId="1" type="noConversion"/>
  </si>
  <si>
    <t>Step 3: Based on the functional unit, the entire LCI can be compiled based on the mass balance between output flows and input flows of adjacent manufacturing processes.  (Data processing 3, final version)</t>
    <phoneticPr fontId="1" type="noConversion"/>
  </si>
  <si>
    <r>
      <rPr>
        <vertAlign val="superscript"/>
        <sz val="11"/>
        <color theme="1"/>
        <rFont val="Times New Roman"/>
        <family val="1"/>
      </rPr>
      <t>1</t>
    </r>
    <r>
      <rPr>
        <sz val="11"/>
        <color theme="1"/>
        <rFont val="Times New Roman"/>
        <family val="1"/>
      </rPr>
      <t xml:space="preserve"> The complete composition of electrolyte is 70% main solvent (ethylene glycol), 10% auxiliary solvent (diethylene glycol methyl ether), 16.3% solutes (including ammonium hydrogen azelate, ammonium sebacate, and ammonium dicyanate), and 3.7% additives (including polyvinyl alcohol borate ester, p-nitrobenzoic acid, and mono-butyl phosphate). The electrolyte here is assumed to only consist of the main solvent (ethylene glycol) to simplify the analysis of environmental impacts. 
</t>
    </r>
    <r>
      <rPr>
        <vertAlign val="superscript"/>
        <sz val="11"/>
        <color theme="1"/>
        <rFont val="Times New Roman"/>
        <family val="1"/>
      </rPr>
      <t>2</t>
    </r>
    <r>
      <rPr>
        <sz val="11"/>
        <color theme="1"/>
        <rFont val="Times New Roman"/>
        <family val="1"/>
      </rPr>
      <t xml:space="preserve"> The emission data are estimated based on the chemical reaction of HCl, sodium citrate, and NH</t>
    </r>
    <r>
      <rPr>
        <vertAlign val="subscript"/>
        <sz val="11"/>
        <color theme="1"/>
        <rFont val="Times New Roman"/>
        <family val="1"/>
      </rPr>
      <t>3</t>
    </r>
    <r>
      <rPr>
        <sz val="11"/>
        <color theme="1"/>
        <rFont val="Times New Roman"/>
        <family val="1"/>
      </rPr>
      <t xml:space="preserve">. The emission data of these materials exist in Gabi databases.
</t>
    </r>
    <r>
      <rPr>
        <vertAlign val="superscript"/>
        <sz val="11"/>
        <color theme="1"/>
        <rFont val="Times New Roman"/>
        <family val="1"/>
      </rPr>
      <t>3</t>
    </r>
    <r>
      <rPr>
        <sz val="11"/>
        <color theme="1"/>
        <rFont val="Times New Roman"/>
        <family val="1"/>
      </rPr>
      <t xml:space="preserve"> The emission data are estimated based on the chemical reaction of borax (Na</t>
    </r>
    <r>
      <rPr>
        <vertAlign val="subscript"/>
        <sz val="11"/>
        <color theme="1"/>
        <rFont val="Times New Roman"/>
        <family val="1"/>
      </rPr>
      <t>2</t>
    </r>
    <r>
      <rPr>
        <sz val="11"/>
        <color theme="1"/>
        <rFont val="Times New Roman"/>
        <family val="1"/>
      </rPr>
      <t>B</t>
    </r>
    <r>
      <rPr>
        <vertAlign val="subscript"/>
        <sz val="11"/>
        <color theme="1"/>
        <rFont val="Times New Roman"/>
        <family val="1"/>
      </rPr>
      <t>4</t>
    </r>
    <r>
      <rPr>
        <sz val="11"/>
        <color theme="1"/>
        <rFont val="Times New Roman"/>
        <family val="1"/>
      </rPr>
      <t>O</t>
    </r>
    <r>
      <rPr>
        <vertAlign val="subscript"/>
        <sz val="11"/>
        <color theme="1"/>
        <rFont val="Times New Roman"/>
        <family val="1"/>
      </rPr>
      <t>7</t>
    </r>
    <r>
      <rPr>
        <sz val="11"/>
        <color theme="1"/>
        <rFont val="Times New Roman"/>
        <family val="1"/>
      </rPr>
      <t>·10H</t>
    </r>
    <r>
      <rPr>
        <vertAlign val="subscript"/>
        <sz val="11"/>
        <color theme="1"/>
        <rFont val="Times New Roman"/>
        <family val="1"/>
      </rPr>
      <t>2</t>
    </r>
    <r>
      <rPr>
        <sz val="11"/>
        <color theme="1"/>
        <rFont val="Times New Roman"/>
        <family val="1"/>
      </rPr>
      <t>O) and H</t>
    </r>
    <r>
      <rPr>
        <vertAlign val="subscript"/>
        <sz val="11"/>
        <color theme="1"/>
        <rFont val="Times New Roman"/>
        <family val="1"/>
      </rPr>
      <t>2</t>
    </r>
    <r>
      <rPr>
        <sz val="11"/>
        <color theme="1"/>
        <rFont val="Times New Roman"/>
        <family val="1"/>
      </rPr>
      <t>SO</t>
    </r>
    <r>
      <rPr>
        <vertAlign val="subscript"/>
        <sz val="11"/>
        <color theme="1"/>
        <rFont val="Times New Roman"/>
        <family val="1"/>
      </rPr>
      <t>4</t>
    </r>
    <r>
      <rPr>
        <sz val="11"/>
        <color theme="1"/>
        <rFont val="Times New Roman"/>
        <family val="1"/>
      </rPr>
      <t xml:space="preserve">. Furthermore, the mining of borax is replaced by the mining of equivalent limestone as the lack of borax mining data in the existing Gabi databases.
</t>
    </r>
    <r>
      <rPr>
        <vertAlign val="superscript"/>
        <sz val="11"/>
        <color theme="1"/>
        <rFont val="Times New Roman"/>
        <family val="1"/>
      </rPr>
      <t>4</t>
    </r>
    <r>
      <rPr>
        <sz val="11"/>
        <color theme="1"/>
        <rFont val="Times New Roman"/>
        <family val="1"/>
      </rPr>
      <t xml:space="preserve"> The emission data are estimated based on the chemical reaction of NH</t>
    </r>
    <r>
      <rPr>
        <vertAlign val="subscript"/>
        <sz val="11"/>
        <color theme="1"/>
        <rFont val="Times New Roman"/>
        <family val="1"/>
      </rPr>
      <t>3</t>
    </r>
    <r>
      <rPr>
        <sz val="11"/>
        <color theme="1"/>
        <rFont val="Times New Roman"/>
        <family val="1"/>
      </rPr>
      <t xml:space="preserve"> and H</t>
    </r>
    <r>
      <rPr>
        <vertAlign val="subscript"/>
        <sz val="11"/>
        <color theme="1"/>
        <rFont val="Times New Roman"/>
        <family val="1"/>
      </rPr>
      <t>3</t>
    </r>
    <r>
      <rPr>
        <sz val="11"/>
        <color theme="1"/>
        <rFont val="Times New Roman"/>
        <family val="1"/>
      </rPr>
      <t>PO</t>
    </r>
    <r>
      <rPr>
        <vertAlign val="subscript"/>
        <sz val="11"/>
        <color theme="1"/>
        <rFont val="Times New Roman"/>
        <family val="1"/>
      </rPr>
      <t>4</t>
    </r>
    <r>
      <rPr>
        <sz val="11"/>
        <color theme="1"/>
        <rFont val="Times New Roman"/>
        <family val="1"/>
      </rPr>
      <t xml:space="preserve">.
</t>
    </r>
    <r>
      <rPr>
        <vertAlign val="superscript"/>
        <sz val="11"/>
        <color theme="1"/>
        <rFont val="Times New Roman"/>
        <family val="1"/>
      </rPr>
      <t>5</t>
    </r>
    <r>
      <rPr>
        <sz val="11"/>
        <color theme="1"/>
        <rFont val="Times New Roman"/>
        <family val="1"/>
      </rPr>
      <t xml:space="preserve">  The emission data are estimated based on the chemical reaction of NH</t>
    </r>
    <r>
      <rPr>
        <vertAlign val="subscript"/>
        <sz val="11"/>
        <color theme="1"/>
        <rFont val="Times New Roman"/>
        <family val="1"/>
      </rPr>
      <t>3</t>
    </r>
    <r>
      <rPr>
        <sz val="11"/>
        <color theme="1"/>
        <rFont val="Times New Roman"/>
        <family val="1"/>
      </rPr>
      <t xml:space="preserve"> and  HBO</t>
    </r>
    <r>
      <rPr>
        <vertAlign val="subscript"/>
        <sz val="11"/>
        <color theme="1"/>
        <rFont val="Times New Roman"/>
        <family val="1"/>
      </rPr>
      <t>3</t>
    </r>
    <r>
      <rPr>
        <sz val="11"/>
        <color theme="1"/>
        <rFont val="Times New Roman"/>
        <family val="1"/>
      </rPr>
      <t xml:space="preserve">.
</t>
    </r>
    <r>
      <rPr>
        <vertAlign val="superscript"/>
        <sz val="11"/>
        <color theme="1"/>
        <rFont val="Times New Roman"/>
        <family val="1"/>
      </rPr>
      <t>6</t>
    </r>
    <r>
      <rPr>
        <sz val="11"/>
        <color theme="1"/>
        <rFont val="Times New Roman"/>
        <family val="1"/>
      </rPr>
      <t xml:space="preserve"> The environmental impacts from the production stage are all allocated to the capacitors. The by-product AlPO</t>
    </r>
    <r>
      <rPr>
        <vertAlign val="subscript"/>
        <sz val="11"/>
        <color theme="1"/>
        <rFont val="Times New Roman"/>
        <family val="1"/>
      </rPr>
      <t>4</t>
    </r>
    <r>
      <rPr>
        <sz val="11"/>
        <color theme="1"/>
        <rFont val="Times New Roman"/>
        <family val="1"/>
      </rPr>
      <t xml:space="preserve"> in the production of anode formed foil is taken as an economical treatment method to address the production waste because of the limited amount and the simplified analysis.
</t>
    </r>
    <r>
      <rPr>
        <vertAlign val="superscript"/>
        <sz val="11"/>
        <color theme="1"/>
        <rFont val="Times New Roman"/>
        <family val="1"/>
      </rPr>
      <t>7</t>
    </r>
    <r>
      <rPr>
        <sz val="11"/>
        <color theme="1"/>
        <rFont val="Times New Roman"/>
        <family val="1"/>
      </rPr>
      <t xml:space="preserve"> The environmental impacts of these processes are ignored.
</t>
    </r>
    <r>
      <rPr>
        <vertAlign val="superscript"/>
        <sz val="11"/>
        <color theme="1"/>
        <rFont val="Times New Roman"/>
        <family val="1"/>
      </rPr>
      <t>8</t>
    </r>
    <r>
      <rPr>
        <sz val="11"/>
        <color theme="1"/>
        <rFont val="Times New Roman"/>
        <family val="1"/>
      </rPr>
      <t xml:space="preserve"> The main pollutants of wastewater are listed separately in the table, and the pollution of wastewater is considered by the main pollutants.
</t>
    </r>
    <r>
      <rPr>
        <vertAlign val="superscript"/>
        <sz val="11"/>
        <color theme="1"/>
        <rFont val="Times New Roman"/>
        <family val="1"/>
      </rPr>
      <t>9</t>
    </r>
    <r>
      <rPr>
        <sz val="11"/>
        <color theme="1"/>
        <rFont val="Times New Roman"/>
        <family val="1"/>
      </rPr>
      <t xml:space="preserve"> The environmental impacts of these direct emissions are not included in the indicator system of the ReCiPe2016 method, but they are also listed here to keep the completeness of the LCI. </t>
    </r>
    <phoneticPr fontId="1" type="noConversion"/>
  </si>
  <si>
    <t>The main parameters of a capacitor (420V, 680μF)</t>
    <phoneticPr fontId="1" type="noConversion"/>
  </si>
  <si>
    <t>Sealing cover [kg]</t>
    <phoneticPr fontId="1" type="noConversion"/>
  </si>
  <si>
    <t>Number of elements in the soak tank by a single batch [pcs]</t>
    <phoneticPr fontId="1" type="noConversion"/>
  </si>
  <si>
    <r>
      <t>Faraday's constant [C·mol</t>
    </r>
    <r>
      <rPr>
        <vertAlign val="superscript"/>
        <sz val="11"/>
        <color theme="1"/>
        <rFont val="Times New Roman"/>
        <family val="1"/>
      </rPr>
      <t>-1</t>
    </r>
    <r>
      <rPr>
        <sz val="11"/>
        <color theme="1"/>
        <rFont val="Times New Roman"/>
        <family val="1"/>
      </rPr>
      <t>]</t>
    </r>
    <phoneticPr fontId="1" type="noConversion"/>
  </si>
  <si>
    <r>
      <t>New forming volume of dielectric in aging [m</t>
    </r>
    <r>
      <rPr>
        <vertAlign val="superscript"/>
        <sz val="11"/>
        <color theme="1"/>
        <rFont val="Times New Roman"/>
        <family val="1"/>
      </rPr>
      <t>3</t>
    </r>
    <r>
      <rPr>
        <sz val="11"/>
        <color theme="1"/>
        <rFont val="Times New Roman"/>
        <family val="1"/>
      </rPr>
      <t>]</t>
    </r>
    <phoneticPr fontId="1" type="noConversion"/>
  </si>
  <si>
    <r>
      <t>Density of alumina film [g/cm</t>
    </r>
    <r>
      <rPr>
        <vertAlign val="superscript"/>
        <sz val="11"/>
        <color theme="1"/>
        <rFont val="Times New Roman"/>
        <family val="1"/>
      </rPr>
      <t>3</t>
    </r>
    <r>
      <rPr>
        <sz val="11"/>
        <color theme="1"/>
        <rFont val="Times New Roman"/>
        <family val="1"/>
      </rPr>
      <t>]</t>
    </r>
    <phoneticPr fontId="1" type="noConversion"/>
  </si>
  <si>
    <r>
      <t>AlPO</t>
    </r>
    <r>
      <rPr>
        <vertAlign val="subscript"/>
        <sz val="11"/>
        <color theme="1"/>
        <rFont val="Times New Roman"/>
        <family val="1"/>
      </rPr>
      <t>4</t>
    </r>
    <r>
      <rPr>
        <sz val="11"/>
        <color theme="1"/>
        <rFont val="Times New Roman"/>
        <family val="1"/>
      </rPr>
      <t xml:space="preserve"> [kg]</t>
    </r>
    <phoneticPr fontId="1" type="noConversion"/>
  </si>
  <si>
    <r>
      <t>NH</t>
    </r>
    <r>
      <rPr>
        <vertAlign val="subscript"/>
        <sz val="11"/>
        <color theme="1"/>
        <rFont val="Times New Roman"/>
        <family val="1"/>
      </rPr>
      <t>3</t>
    </r>
    <r>
      <rPr>
        <sz val="11"/>
        <color theme="1"/>
        <rFont val="Times New Roman"/>
        <family val="1"/>
      </rPr>
      <t xml:space="preserve"> gas [kg]</t>
    </r>
    <phoneticPr fontId="1" type="noConversion"/>
  </si>
  <si>
    <r>
      <t>NH</t>
    </r>
    <r>
      <rPr>
        <vertAlign val="subscript"/>
        <sz val="11"/>
        <color theme="1"/>
        <rFont val="Times New Roman"/>
        <family val="1"/>
      </rPr>
      <t>3</t>
    </r>
    <r>
      <rPr>
        <sz val="11"/>
        <color theme="1"/>
        <rFont val="Times New Roman"/>
        <family val="1"/>
      </rPr>
      <t>-N [kg]</t>
    </r>
    <phoneticPr fontId="1" type="noConversion"/>
  </si>
  <si>
    <t>Separator paper [kg]</t>
    <phoneticPr fontId="1" type="noConversion"/>
  </si>
  <si>
    <t>NaOH solution (30%) [kg]</t>
    <phoneticPr fontId="1" type="noConversion"/>
  </si>
  <si>
    <t>NaOH (30%) [kg]</t>
    <phoneticPr fontId="1" type="noConversion"/>
  </si>
  <si>
    <t>Tap water [kg]</t>
    <phoneticPr fontId="1" type="noConversion"/>
  </si>
  <si>
    <t>Tap water [kg]</t>
    <phoneticPr fontId="1" type="noConversion"/>
  </si>
  <si>
    <t>Tape [kg]</t>
    <phoneticPr fontId="1" type="noConversion"/>
  </si>
  <si>
    <t>“CN: Nitrogen (gaseous)” in GDs</t>
    <phoneticPr fontId="1" type="noConversion"/>
  </si>
  <si>
    <r>
      <t>Estimated based on the chemical equation</t>
    </r>
    <r>
      <rPr>
        <vertAlign val="superscript"/>
        <sz val="11"/>
        <color theme="1"/>
        <rFont val="Times New Roman"/>
        <family val="1"/>
      </rPr>
      <t>2</t>
    </r>
    <phoneticPr fontId="1" type="noConversion"/>
  </si>
  <si>
    <r>
      <t>Estimated based on the chemical equation</t>
    </r>
    <r>
      <rPr>
        <vertAlign val="superscript"/>
        <sz val="11"/>
        <color theme="1"/>
        <rFont val="Times New Roman"/>
        <family val="1"/>
      </rPr>
      <t>3</t>
    </r>
    <phoneticPr fontId="1" type="noConversion"/>
  </si>
  <si>
    <r>
      <t>Estimated based on the chemical equation</t>
    </r>
    <r>
      <rPr>
        <vertAlign val="superscript"/>
        <sz val="11"/>
        <color theme="1"/>
        <rFont val="Times New Roman"/>
        <family val="1"/>
      </rPr>
      <t>4</t>
    </r>
    <phoneticPr fontId="1" type="noConversion"/>
  </si>
  <si>
    <r>
      <t>Estimated based on the chemical equation</t>
    </r>
    <r>
      <rPr>
        <vertAlign val="superscript"/>
        <sz val="11"/>
        <color theme="1"/>
        <rFont val="Times New Roman"/>
        <family val="1"/>
      </rPr>
      <t>5</t>
    </r>
    <phoneticPr fontId="1" type="noConversion"/>
  </si>
  <si>
    <t>“CN: Ethylene glycol (MEG) via coal to ethylene glycol process” in Gabi databases (GDs)</t>
    <phoneticPr fontId="1" type="noConversion"/>
  </si>
  <si>
    <t>Production of Al blank foil  (anode)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</si>
</sst>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_ "/>
  </numFmts>
  <fonts count="27">
    <font>
      <sz val="11"/>
      <color theme="1"/>
      <name val="Calibri"/>
      <family val="2"/>
      <scheme val="minor"/>
    </font>
    <font>
      <sz val="9"/>
      <name val="Calibri"/>
      <family val="3"/>
      <charset val="134"/>
      <scheme val="minor"/>
    </font>
    <font>
      <sz val="16"/>
      <color theme="1"/>
      <name val="Times New Roman"/>
      <family val="1"/>
    </font>
    <font>
      <sz val="12"/>
      <color rgb="FF000000"/>
      <name val="Times New Roman"/>
      <family val="1"/>
    </font>
    <font>
      <vertAlign val="subscript"/>
      <sz val="12"/>
      <color rgb="FF000000"/>
      <name val="Times New Roman"/>
      <family val="1"/>
    </font>
    <font>
      <sz val="12"/>
      <color theme="1"/>
      <name val="Times New Roman"/>
      <family val="1"/>
    </font>
    <font>
      <vertAlign val="superscript"/>
      <sz val="12"/>
      <color theme="1"/>
      <name val="Times New Roman"/>
      <family val="1"/>
    </font>
    <font>
      <sz val="10.5"/>
      <color rgb="FF000000"/>
      <name val="Times New Roman"/>
      <family val="1"/>
    </font>
    <font>
      <sz val="11"/>
      <color theme="1"/>
      <name val="Times New Roman"/>
      <family val="1"/>
    </font>
    <font>
      <sz val="11"/>
      <color theme="1"/>
      <name val="宋体"/>
      <family val="3"/>
      <charset val="134"/>
    </font>
    <font>
      <vertAlign val="subscript"/>
      <sz val="10"/>
      <color theme="1"/>
      <name val="Times New Roman"/>
      <family val="1"/>
    </font>
    <font>
      <vertAlign val="subscript"/>
      <sz val="11"/>
      <color theme="1"/>
      <name val="Times New Roman"/>
      <family val="1"/>
    </font>
    <font>
      <sz val="11"/>
      <name val="Times New Roman"/>
      <family val="1"/>
    </font>
    <font>
      <vertAlign val="subscript"/>
      <sz val="11"/>
      <color rgb="FF000000"/>
      <name val="Times New Roman"/>
      <family val="1"/>
    </font>
    <font>
      <sz val="11"/>
      <color rgb="FF000000"/>
      <name val="Times New Roman"/>
      <family val="1"/>
    </font>
    <font>
      <sz val="8"/>
      <color rgb="FF333333"/>
      <name val="Arial"/>
      <family val="2"/>
    </font>
    <font>
      <sz val="7"/>
      <color rgb="FF333333"/>
      <name val="Arial"/>
      <family val="2"/>
    </font>
    <font>
      <sz val="11"/>
      <color theme="1"/>
      <name val="宋体"/>
      <family val="1"/>
      <charset val="134"/>
    </font>
    <font>
      <u/>
      <sz val="11"/>
      <color theme="10"/>
      <name val="Calibri"/>
      <family val="2"/>
      <scheme val="minor"/>
    </font>
    <font>
      <sz val="12"/>
      <color theme="1"/>
      <name val="宋体"/>
      <family val="1"/>
      <charset val="134"/>
    </font>
    <font>
      <sz val="20"/>
      <color theme="1"/>
      <name val="Times New Roman"/>
      <family val="1"/>
    </font>
    <font>
      <vertAlign val="subscript"/>
      <sz val="12"/>
      <color theme="1"/>
      <name val="Times New Roman"/>
      <family val="1"/>
    </font>
    <font>
      <vertAlign val="superscript"/>
      <sz val="11"/>
      <color theme="1"/>
      <name val="Times New Roman"/>
      <family val="1"/>
    </font>
    <font>
      <sz val="11"/>
      <color rgb="FF333333"/>
      <name val="Times New Roman"/>
      <family val="1"/>
    </font>
    <font>
      <sz val="22"/>
      <color theme="1"/>
      <name val="Times New Roman"/>
      <family val="1"/>
    </font>
    <font>
      <vertAlign val="superscript"/>
      <sz val="10.5"/>
      <color theme="1"/>
      <name val="Times New Roman"/>
      <family val="1"/>
    </font>
    <font>
      <sz val="10.5"/>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3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bottom style="thin">
        <color auto="1"/>
      </bottom>
      <diagonal/>
    </border>
    <border>
      <left/>
      <right style="medium">
        <color indexed="64"/>
      </right>
      <top/>
      <bottom/>
      <diagonal/>
    </border>
    <border>
      <left style="medium">
        <color indexed="64"/>
      </left>
      <right/>
      <top style="thin">
        <color auto="1"/>
      </top>
      <bottom/>
      <diagonal/>
    </border>
    <border>
      <left/>
      <right style="medium">
        <color indexed="64"/>
      </right>
      <top style="thin">
        <color auto="1"/>
      </top>
      <bottom/>
      <diagonal/>
    </border>
  </borders>
  <cellStyleXfs count="2">
    <xf numFmtId="0" fontId="0" fillId="0" borderId="0"/>
    <xf numFmtId="0" fontId="18" fillId="0" borderId="0" applyNumberFormat="0" applyFill="0" applyBorder="0" applyAlignment="0" applyProtection="0"/>
  </cellStyleXfs>
  <cellXfs count="123">
    <xf numFmtId="0" fontId="0" fillId="0" borderId="0" xfId="0"/>
    <xf numFmtId="0" fontId="3" fillId="0" borderId="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5" fillId="0" borderId="3" xfId="0" applyFont="1" applyBorder="1" applyAlignment="1">
      <alignment horizontal="left" vertical="center" wrapText="1"/>
    </xf>
    <xf numFmtId="164" fontId="3" fillId="0" borderId="3" xfId="0" applyNumberFormat="1" applyFont="1" applyBorder="1" applyAlignment="1">
      <alignment horizontal="center" vertical="center" wrapText="1"/>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horizontal="left"/>
    </xf>
    <xf numFmtId="0" fontId="8" fillId="0" borderId="1" xfId="0" applyFont="1" applyFill="1" applyBorder="1"/>
    <xf numFmtId="0" fontId="8" fillId="0" borderId="0" xfId="0" applyFont="1" applyBorder="1" applyAlignment="1">
      <alignment horizontal="center"/>
    </xf>
    <xf numFmtId="0" fontId="3" fillId="0" borderId="0" xfId="0" applyFont="1" applyBorder="1" applyAlignment="1"/>
    <xf numFmtId="0" fontId="8" fillId="0" borderId="0" xfId="0" applyFont="1"/>
    <xf numFmtId="0" fontId="8" fillId="0" borderId="10" xfId="0" applyFont="1" applyBorder="1" applyAlignment="1">
      <alignment horizontal="center"/>
    </xf>
    <xf numFmtId="164" fontId="8" fillId="0" borderId="1" xfId="0" applyNumberFormat="1" applyFont="1" applyBorder="1" applyAlignment="1">
      <alignment horizontal="center"/>
    </xf>
    <xf numFmtId="0" fontId="8" fillId="0" borderId="1" xfId="0" applyFont="1" applyFill="1" applyBorder="1" applyAlignment="1">
      <alignment horizontal="center"/>
    </xf>
    <xf numFmtId="0" fontId="8" fillId="0" borderId="0" xfId="0" applyFont="1" applyAlignment="1">
      <alignment horizontal="center"/>
    </xf>
    <xf numFmtId="164" fontId="8" fillId="0" borderId="0" xfId="0" applyNumberFormat="1" applyFont="1"/>
    <xf numFmtId="165" fontId="8" fillId="0" borderId="1" xfId="0" applyNumberFormat="1" applyFont="1" applyBorder="1" applyAlignment="1">
      <alignment horizontal="center"/>
    </xf>
    <xf numFmtId="0" fontId="12" fillId="0" borderId="1" xfId="0" applyFont="1" applyBorder="1" applyAlignment="1">
      <alignment horizontal="center"/>
    </xf>
    <xf numFmtId="0" fontId="8" fillId="0" borderId="0" xfId="0" applyFont="1" applyAlignment="1">
      <alignment horizontal="left" wrapText="1"/>
    </xf>
    <xf numFmtId="0" fontId="8" fillId="0" borderId="0" xfId="0" applyFont="1" applyBorder="1"/>
    <xf numFmtId="0" fontId="5" fillId="0" borderId="1" xfId="0" applyFont="1" applyBorder="1" applyAlignment="1">
      <alignment horizontal="center"/>
    </xf>
    <xf numFmtId="0" fontId="3" fillId="0" borderId="7" xfId="0" applyFont="1" applyBorder="1" applyAlignment="1"/>
    <xf numFmtId="165" fontId="8" fillId="0" borderId="0" xfId="0" applyNumberFormat="1" applyFont="1"/>
    <xf numFmtId="164" fontId="14" fillId="0" borderId="1" xfId="0" applyNumberFormat="1" applyFont="1" applyBorder="1" applyAlignment="1">
      <alignment horizontal="center" vertical="center" wrapText="1"/>
    </xf>
    <xf numFmtId="0" fontId="15" fillId="0" borderId="0" xfId="0" applyFont="1"/>
    <xf numFmtId="0" fontId="16" fillId="0" borderId="0" xfId="0" applyFont="1"/>
    <xf numFmtId="0" fontId="9" fillId="0" borderId="0" xfId="0" applyFont="1"/>
    <xf numFmtId="11" fontId="8" fillId="0" borderId="0" xfId="0" applyNumberFormat="1" applyFont="1"/>
    <xf numFmtId="0" fontId="7" fillId="0" borderId="0" xfId="0" applyFont="1" applyAlignment="1">
      <alignment horizontal="left" vertical="center"/>
    </xf>
    <xf numFmtId="0" fontId="5" fillId="0" borderId="0" xfId="0" applyFont="1"/>
    <xf numFmtId="0" fontId="8" fillId="0" borderId="1" xfId="0" applyFont="1" applyBorder="1" applyAlignment="1">
      <alignment horizontal="center"/>
    </xf>
    <xf numFmtId="0" fontId="8" fillId="0" borderId="1" xfId="0" applyFont="1" applyBorder="1" applyAlignment="1">
      <alignment horizontal="center"/>
    </xf>
    <xf numFmtId="0" fontId="8" fillId="5" borderId="19" xfId="0" applyFont="1" applyFill="1" applyBorder="1" applyAlignment="1"/>
    <xf numFmtId="0" fontId="18" fillId="0" borderId="1" xfId="1" applyBorder="1" applyAlignment="1">
      <alignment horizontal="center" vertical="center"/>
    </xf>
    <xf numFmtId="0" fontId="18" fillId="0" borderId="1" xfId="1" applyBorder="1" applyAlignment="1">
      <alignment horizontal="center"/>
    </xf>
    <xf numFmtId="0" fontId="8" fillId="0" borderId="1" xfId="0" applyFont="1" applyBorder="1" applyAlignment="1">
      <alignment horizontal="center" vertical="center"/>
    </xf>
    <xf numFmtId="0" fontId="8" fillId="0" borderId="18" xfId="0" applyFont="1" applyBorder="1" applyAlignment="1">
      <alignment horizontal="center" vertical="center"/>
    </xf>
    <xf numFmtId="0" fontId="23" fillId="0" borderId="1" xfId="0" applyFont="1" applyBorder="1" applyAlignment="1">
      <alignment horizontal="center" vertical="center"/>
    </xf>
    <xf numFmtId="0" fontId="17" fillId="0" borderId="0" xfId="0" applyFont="1"/>
    <xf numFmtId="0" fontId="17" fillId="0" borderId="0" xfId="0" applyFont="1" applyAlignment="1">
      <alignment horizontal="center"/>
    </xf>
    <xf numFmtId="10" fontId="8" fillId="0" borderId="0" xfId="0" applyNumberFormat="1" applyFont="1"/>
    <xf numFmtId="0" fontId="8" fillId="0" borderId="1"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8" fillId="0" borderId="19" xfId="0" applyFont="1" applyBorder="1" applyAlignment="1">
      <alignment horizontal="left"/>
    </xf>
    <xf numFmtId="0" fontId="8" fillId="0" borderId="18" xfId="0" applyFont="1" applyBorder="1" applyAlignment="1">
      <alignment horizontal="left"/>
    </xf>
    <xf numFmtId="0" fontId="3" fillId="0" borderId="16" xfId="0" applyFont="1" applyBorder="1" applyAlignment="1">
      <alignment horizontal="center"/>
    </xf>
    <xf numFmtId="164" fontId="3" fillId="0" borderId="22" xfId="0" applyNumberFormat="1" applyFont="1" applyBorder="1" applyAlignment="1">
      <alignment horizontal="center" vertical="center" wrapText="1"/>
    </xf>
    <xf numFmtId="0" fontId="8" fillId="0" borderId="1" xfId="0" applyFont="1" applyBorder="1" applyAlignment="1">
      <alignment horizontal="left" vertical="center" wrapText="1"/>
    </xf>
    <xf numFmtId="0" fontId="8" fillId="0" borderId="11" xfId="0" applyFont="1" applyBorder="1" applyAlignment="1">
      <alignment horizontal="left" vertical="top" wrapText="1"/>
    </xf>
    <xf numFmtId="0" fontId="8" fillId="0" borderId="26"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8" fillId="0" borderId="27" xfId="0" applyFont="1" applyBorder="1" applyAlignment="1">
      <alignment horizontal="left" vertical="top" wrapText="1"/>
    </xf>
    <xf numFmtId="0" fontId="8" fillId="0" borderId="16" xfId="0" applyFont="1" applyBorder="1" applyAlignment="1">
      <alignment horizontal="left" vertical="top" wrapText="1"/>
    </xf>
    <xf numFmtId="0" fontId="8" fillId="4" borderId="20" xfId="0" applyFont="1" applyFill="1" applyBorder="1" applyAlignment="1">
      <alignment horizontal="center" wrapText="1"/>
    </xf>
    <xf numFmtId="0" fontId="8" fillId="4" borderId="21" xfId="0" applyFont="1" applyFill="1" applyBorder="1" applyAlignment="1">
      <alignment horizontal="center" wrapText="1"/>
    </xf>
    <xf numFmtId="0" fontId="8" fillId="4" borderId="22" xfId="0" applyFont="1" applyFill="1" applyBorder="1" applyAlignment="1">
      <alignment horizontal="center" wrapText="1"/>
    </xf>
    <xf numFmtId="0" fontId="8" fillId="4" borderId="5" xfId="0" applyFont="1" applyFill="1" applyBorder="1" applyAlignment="1">
      <alignment horizontal="center" wrapText="1"/>
    </xf>
    <xf numFmtId="0" fontId="8" fillId="4" borderId="7" xfId="0" applyFont="1" applyFill="1" applyBorder="1" applyAlignment="1">
      <alignment horizontal="center" wrapText="1"/>
    </xf>
    <xf numFmtId="0" fontId="8" fillId="4" borderId="3" xfId="0" applyFont="1" applyFill="1" applyBorder="1" applyAlignment="1">
      <alignment horizontal="center" wrapText="1"/>
    </xf>
    <xf numFmtId="0" fontId="20" fillId="3" borderId="23" xfId="0" applyFont="1" applyFill="1" applyBorder="1" applyAlignment="1">
      <alignment horizontal="center" vertical="center"/>
    </xf>
    <xf numFmtId="0" fontId="20" fillId="3" borderId="0" xfId="0" applyFont="1" applyFill="1" applyBorder="1" applyAlignment="1">
      <alignment horizontal="center" vertical="center"/>
    </xf>
    <xf numFmtId="0" fontId="20" fillId="3" borderId="31" xfId="0" applyFont="1" applyFill="1" applyBorder="1" applyAlignment="1">
      <alignment horizontal="center" vertical="center"/>
    </xf>
    <xf numFmtId="0" fontId="20" fillId="3" borderId="27" xfId="0" applyFont="1" applyFill="1" applyBorder="1" applyAlignment="1">
      <alignment horizontal="center" vertic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3" fillId="0" borderId="17" xfId="0" applyFont="1" applyBorder="1" applyAlignment="1">
      <alignment horizontal="center"/>
    </xf>
    <xf numFmtId="0" fontId="3" fillId="0" borderId="19" xfId="0" applyFont="1" applyBorder="1" applyAlignment="1">
      <alignment horizontal="center"/>
    </xf>
    <xf numFmtId="0" fontId="3" fillId="0" borderId="18" xfId="0" applyFont="1" applyBorder="1" applyAlignment="1">
      <alignment horizontal="center"/>
    </xf>
    <xf numFmtId="0" fontId="8" fillId="2" borderId="17" xfId="0" applyFont="1" applyFill="1" applyBorder="1" applyAlignment="1">
      <alignment horizontal="center"/>
    </xf>
    <xf numFmtId="0" fontId="8" fillId="2" borderId="18" xfId="0" applyFont="1" applyFill="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8" fillId="0" borderId="14" xfId="0" applyFont="1" applyBorder="1" applyAlignment="1">
      <alignment horizontal="center"/>
    </xf>
    <xf numFmtId="0" fontId="8" fillId="5" borderId="11" xfId="0" applyFont="1" applyFill="1" applyBorder="1" applyAlignment="1">
      <alignment horizontal="center"/>
    </xf>
    <xf numFmtId="0" fontId="8" fillId="5" borderId="12" xfId="0" applyFont="1" applyFill="1" applyBorder="1" applyAlignment="1">
      <alignment horizontal="center"/>
    </xf>
    <xf numFmtId="0" fontId="8" fillId="5" borderId="13" xfId="0" applyFont="1" applyFill="1" applyBorder="1" applyAlignment="1">
      <alignment horizontal="center"/>
    </xf>
    <xf numFmtId="0" fontId="8" fillId="5" borderId="14" xfId="0" applyFont="1" applyFill="1" applyBorder="1" applyAlignment="1">
      <alignment horizontal="center"/>
    </xf>
    <xf numFmtId="0" fontId="8" fillId="5" borderId="15" xfId="0" applyFont="1" applyFill="1" applyBorder="1" applyAlignment="1">
      <alignment horizontal="center"/>
    </xf>
    <xf numFmtId="0" fontId="8" fillId="5" borderId="16" xfId="0" applyFont="1" applyFill="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2" fillId="0" borderId="7" xfId="0" applyFont="1" applyBorder="1" applyAlignment="1">
      <alignment horizontal="center" vertical="center" wrapText="1"/>
    </xf>
    <xf numFmtId="0" fontId="3" fillId="0" borderId="20" xfId="0" applyFont="1" applyBorder="1" applyAlignment="1">
      <alignment horizontal="left" vertical="center" wrapText="1"/>
    </xf>
    <xf numFmtId="0" fontId="3" fillId="0" borderId="22" xfId="0" applyFont="1" applyBorder="1" applyAlignment="1">
      <alignment horizontal="left" vertical="center" wrapText="1"/>
    </xf>
    <xf numFmtId="0" fontId="3" fillId="0" borderId="8" xfId="0" applyFont="1" applyBorder="1" applyAlignment="1">
      <alignment horizontal="center"/>
    </xf>
    <xf numFmtId="0" fontId="3" fillId="0" borderId="9" xfId="0" applyFont="1" applyBorder="1" applyAlignment="1">
      <alignment horizontal="center"/>
    </xf>
    <xf numFmtId="0" fontId="3" fillId="0" borderId="4" xfId="0" applyFont="1" applyBorder="1" applyAlignment="1">
      <alignment horizontal="center"/>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10" xfId="0" applyFont="1" applyBorder="1" applyAlignment="1">
      <alignment horizontal="center" vertical="center" wrapText="1"/>
    </xf>
    <xf numFmtId="0" fontId="5" fillId="4" borderId="20"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22"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3" xfId="0" applyFont="1" applyFill="1" applyBorder="1" applyAlignment="1">
      <alignment horizontal="left" vertical="center" wrapText="1"/>
    </xf>
    <xf numFmtId="0" fontId="25" fillId="0" borderId="33"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34" xfId="0" applyFont="1" applyBorder="1" applyAlignment="1">
      <alignment horizontal="center" vertical="center" wrapText="1"/>
    </xf>
    <xf numFmtId="0" fontId="25" fillId="0" borderId="23"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3"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1A6E3-5B4D-4634-9308-BB7089580D54}">
  <dimension ref="A1:AR380"/>
  <sheetViews>
    <sheetView tabSelected="1" topLeftCell="B7" zoomScale="55" zoomScaleNormal="55" workbookViewId="0">
      <selection activeCell="E20" sqref="E20"/>
    </sheetView>
  </sheetViews>
  <sheetFormatPr baseColWidth="10" defaultColWidth="8.90625" defaultRowHeight="14"/>
  <cols>
    <col min="1" max="1" width="53.54296875" style="13" customWidth="1"/>
    <col min="2" max="2" width="41.90625" style="13" customWidth="1"/>
    <col min="3" max="3" width="21.90625" style="13" customWidth="1"/>
    <col min="4" max="4" width="8.90625" style="13"/>
    <col min="5" max="5" width="31" style="13" customWidth="1"/>
    <col min="6" max="6" width="58.453125" style="13" customWidth="1"/>
    <col min="7" max="8" width="23.81640625" style="13" customWidth="1"/>
    <col min="9" max="9" width="48.36328125" style="13" customWidth="1"/>
    <col min="10" max="10" width="15.08984375" style="13" customWidth="1"/>
    <col min="11" max="11" width="9.36328125" style="13" customWidth="1"/>
    <col min="12" max="12" width="37.08984375" style="13" customWidth="1"/>
    <col min="13" max="13" width="25.08984375" style="13" customWidth="1"/>
    <col min="14" max="14" width="44.36328125" style="13" customWidth="1"/>
    <col min="15" max="15" width="12.08984375" style="13" customWidth="1"/>
    <col min="16" max="16" width="13.90625" style="13" customWidth="1"/>
    <col min="17" max="17" width="36.1796875" style="13" customWidth="1"/>
    <col min="18" max="18" width="27.08984375" style="13" customWidth="1"/>
    <col min="19" max="19" width="44.08984375" style="13" customWidth="1"/>
    <col min="20" max="20" width="8.90625" style="13"/>
    <col min="21" max="21" width="20.453125" style="13" customWidth="1"/>
    <col min="22" max="22" width="31.1796875" style="13" customWidth="1"/>
    <col min="23" max="23" width="21.08984375" style="13" customWidth="1"/>
    <col min="24" max="24" width="30.1796875" style="13" customWidth="1"/>
    <col min="25" max="25" width="41.81640625" style="13" customWidth="1"/>
    <col min="26" max="43" width="17.90625" style="13" customWidth="1"/>
    <col min="44" max="16384" width="8.90625" style="13"/>
  </cols>
  <sheetData>
    <row r="1" spans="1:43" ht="26.4" customHeight="1" thickBot="1">
      <c r="A1" s="93" t="s">
        <v>367</v>
      </c>
      <c r="B1" s="93"/>
      <c r="C1" s="93"/>
    </row>
    <row r="2" spans="1:43" ht="25.25" customHeight="1" thickBot="1">
      <c r="A2" s="93"/>
      <c r="B2" s="93"/>
      <c r="C2" s="93"/>
    </row>
    <row r="3" spans="1:43" ht="23.25" customHeight="1">
      <c r="A3" s="108" t="s">
        <v>422</v>
      </c>
      <c r="B3" s="109"/>
      <c r="C3" s="110"/>
      <c r="E3" s="99" t="s">
        <v>425</v>
      </c>
      <c r="F3" s="100"/>
      <c r="G3" s="100"/>
      <c r="H3" s="100"/>
      <c r="I3" s="101"/>
      <c r="K3" s="63" t="s">
        <v>429</v>
      </c>
      <c r="L3" s="64"/>
      <c r="M3" s="64"/>
      <c r="N3" s="65"/>
      <c r="P3" s="63" t="s">
        <v>430</v>
      </c>
      <c r="Q3" s="64"/>
      <c r="R3" s="64"/>
      <c r="S3" s="65"/>
      <c r="U3" s="63" t="s">
        <v>431</v>
      </c>
      <c r="V3" s="64"/>
      <c r="W3" s="64"/>
      <c r="X3" s="65"/>
      <c r="Y3" s="69" t="s">
        <v>377</v>
      </c>
      <c r="Z3" s="70"/>
      <c r="AA3" s="70"/>
      <c r="AB3" s="70"/>
      <c r="AC3" s="70"/>
      <c r="AD3" s="70"/>
      <c r="AE3" s="70"/>
      <c r="AF3" s="70"/>
      <c r="AG3" s="70"/>
      <c r="AH3" s="70"/>
      <c r="AI3" s="70"/>
      <c r="AJ3" s="70"/>
      <c r="AK3" s="70"/>
      <c r="AL3" s="70"/>
      <c r="AM3" s="70"/>
      <c r="AN3" s="70"/>
      <c r="AO3" s="70"/>
      <c r="AP3" s="70"/>
      <c r="AQ3" s="70"/>
    </row>
    <row r="4" spans="1:43" ht="23.25" customHeight="1" thickBot="1">
      <c r="A4" s="111"/>
      <c r="B4" s="112"/>
      <c r="C4" s="113"/>
      <c r="E4" s="102"/>
      <c r="F4" s="103"/>
      <c r="G4" s="103"/>
      <c r="H4" s="103"/>
      <c r="I4" s="104"/>
      <c r="K4" s="66"/>
      <c r="L4" s="67"/>
      <c r="M4" s="67"/>
      <c r="N4" s="68"/>
      <c r="P4" s="66"/>
      <c r="Q4" s="67"/>
      <c r="R4" s="67"/>
      <c r="S4" s="68"/>
      <c r="U4" s="66"/>
      <c r="V4" s="67"/>
      <c r="W4" s="67"/>
      <c r="X4" s="68"/>
      <c r="Y4" s="71"/>
      <c r="Z4" s="72"/>
      <c r="AA4" s="72"/>
      <c r="AB4" s="72"/>
      <c r="AC4" s="72"/>
      <c r="AD4" s="72"/>
      <c r="AE4" s="72"/>
      <c r="AF4" s="72"/>
      <c r="AG4" s="72"/>
      <c r="AH4" s="72"/>
      <c r="AI4" s="72"/>
      <c r="AJ4" s="72"/>
      <c r="AK4" s="72"/>
      <c r="AL4" s="72"/>
      <c r="AM4" s="72"/>
      <c r="AN4" s="72"/>
      <c r="AO4" s="72"/>
      <c r="AP4" s="72"/>
      <c r="AQ4" s="72"/>
    </row>
    <row r="5" spans="1:43" ht="16" thickBot="1">
      <c r="A5" s="24" t="s">
        <v>424</v>
      </c>
      <c r="B5" s="24"/>
      <c r="C5" s="24"/>
      <c r="K5" s="73" t="s">
        <v>196</v>
      </c>
      <c r="L5" s="74"/>
      <c r="M5" s="74"/>
      <c r="N5" s="75"/>
      <c r="P5" s="73" t="s">
        <v>376</v>
      </c>
      <c r="Q5" s="74"/>
      <c r="R5" s="74"/>
      <c r="S5" s="74"/>
      <c r="U5" s="73" t="s">
        <v>376</v>
      </c>
      <c r="V5" s="74"/>
      <c r="W5" s="74"/>
      <c r="X5" s="74"/>
      <c r="Y5" s="51"/>
      <c r="Z5" s="7" t="s">
        <v>291</v>
      </c>
      <c r="AA5" s="7" t="s">
        <v>292</v>
      </c>
      <c r="AB5" s="7" t="s">
        <v>293</v>
      </c>
      <c r="AC5" s="7" t="s">
        <v>294</v>
      </c>
      <c r="AD5" s="7" t="s">
        <v>295</v>
      </c>
      <c r="AE5" s="7" t="s">
        <v>296</v>
      </c>
      <c r="AF5" s="7" t="s">
        <v>297</v>
      </c>
      <c r="AG5" s="7" t="s">
        <v>298</v>
      </c>
      <c r="AH5" s="7" t="s">
        <v>299</v>
      </c>
      <c r="AI5" s="7" t="s">
        <v>300</v>
      </c>
      <c r="AJ5" s="7" t="s">
        <v>301</v>
      </c>
      <c r="AK5" s="7" t="s">
        <v>302</v>
      </c>
      <c r="AL5" s="7" t="s">
        <v>303</v>
      </c>
      <c r="AM5" s="7" t="s">
        <v>304</v>
      </c>
      <c r="AN5" s="7" t="s">
        <v>305</v>
      </c>
      <c r="AO5" s="7" t="s">
        <v>306</v>
      </c>
      <c r="AP5" s="7" t="s">
        <v>307</v>
      </c>
      <c r="AQ5" s="7" t="s">
        <v>308</v>
      </c>
    </row>
    <row r="6" spans="1:43" ht="17.5" thickBot="1">
      <c r="A6" s="1" t="s">
        <v>0</v>
      </c>
      <c r="B6" s="2" t="s">
        <v>1</v>
      </c>
      <c r="C6" s="2" t="s">
        <v>2</v>
      </c>
      <c r="E6" s="21"/>
      <c r="F6" s="17"/>
      <c r="G6" s="33" t="s">
        <v>371</v>
      </c>
      <c r="K6" s="47" t="s">
        <v>190</v>
      </c>
      <c r="L6" s="48"/>
      <c r="M6" s="44" t="s">
        <v>373</v>
      </c>
      <c r="N6" s="44" t="s">
        <v>290</v>
      </c>
      <c r="P6" s="45" t="s">
        <v>190</v>
      </c>
      <c r="Q6" s="46"/>
      <c r="R6" s="44" t="s">
        <v>373</v>
      </c>
      <c r="S6" s="44" t="s">
        <v>290</v>
      </c>
      <c r="U6" s="45" t="s">
        <v>190</v>
      </c>
      <c r="V6" s="46"/>
      <c r="W6" s="44" t="s">
        <v>373</v>
      </c>
      <c r="X6" s="44" t="s">
        <v>290</v>
      </c>
      <c r="Y6" s="53" t="s">
        <v>375</v>
      </c>
      <c r="Z6" s="38" t="s">
        <v>420</v>
      </c>
      <c r="AA6" s="38" t="s">
        <v>309</v>
      </c>
      <c r="AB6" s="38" t="s">
        <v>310</v>
      </c>
      <c r="AC6" s="38" t="s">
        <v>421</v>
      </c>
      <c r="AD6" s="38" t="s">
        <v>311</v>
      </c>
      <c r="AE6" s="38" t="s">
        <v>312</v>
      </c>
      <c r="AF6" s="38" t="s">
        <v>313</v>
      </c>
      <c r="AG6" s="38" t="s">
        <v>313</v>
      </c>
      <c r="AH6" s="38" t="s">
        <v>314</v>
      </c>
      <c r="AI6" s="38" t="s">
        <v>315</v>
      </c>
      <c r="AJ6" s="38" t="s">
        <v>313</v>
      </c>
      <c r="AK6" s="38" t="s">
        <v>316</v>
      </c>
      <c r="AL6" s="38" t="s">
        <v>317</v>
      </c>
      <c r="AM6" s="38" t="s">
        <v>318</v>
      </c>
      <c r="AN6" s="38" t="s">
        <v>318</v>
      </c>
      <c r="AO6" s="38" t="s">
        <v>319</v>
      </c>
      <c r="AP6" s="38" t="s">
        <v>320</v>
      </c>
      <c r="AQ6" s="38" t="s">
        <v>313</v>
      </c>
    </row>
    <row r="7" spans="1:43" ht="18" thickBot="1">
      <c r="A7" s="3" t="s">
        <v>3</v>
      </c>
      <c r="B7" s="4" t="s">
        <v>4</v>
      </c>
      <c r="C7" s="6">
        <v>27.221733839999999</v>
      </c>
      <c r="E7" s="105" t="s">
        <v>370</v>
      </c>
      <c r="F7" s="35" t="s">
        <v>151</v>
      </c>
      <c r="G7" s="36" t="s">
        <v>403</v>
      </c>
      <c r="K7" s="44" t="s">
        <v>186</v>
      </c>
      <c r="L7" s="9" t="str">
        <f t="shared" ref="L7:L35" si="0">F268</f>
        <v>Al ingots (99.99%) [kg]</v>
      </c>
      <c r="M7" s="44">
        <f t="shared" ref="M7:M35" si="1">H268</f>
        <v>3631.1349557549888</v>
      </c>
      <c r="N7" s="44" t="str">
        <f t="shared" ref="N7:N35" si="2">I268</f>
        <v>Al smelting preparation  (anode)</v>
      </c>
      <c r="P7" s="44" t="s">
        <v>186</v>
      </c>
      <c r="Q7" s="44" t="str">
        <f>L7</f>
        <v>Al ingots (99.99%) [kg]</v>
      </c>
      <c r="R7" s="19">
        <f>M7</f>
        <v>3631.1349557549888</v>
      </c>
      <c r="S7" s="44" t="str">
        <f>N7</f>
        <v>Al smelting preparation  (anode)</v>
      </c>
      <c r="U7" s="44" t="s">
        <v>219</v>
      </c>
      <c r="V7" s="23" t="s">
        <v>338</v>
      </c>
      <c r="W7" s="26">
        <f>R7</f>
        <v>3631.1349557549888</v>
      </c>
      <c r="X7" s="26" t="s">
        <v>269</v>
      </c>
      <c r="Y7" s="53" t="s">
        <v>361</v>
      </c>
      <c r="Z7" s="38">
        <v>20.6677</v>
      </c>
      <c r="AA7" s="38">
        <v>3.6438199999999997E-2</v>
      </c>
      <c r="AB7" s="38">
        <v>4.2442399999999996</v>
      </c>
      <c r="AC7" s="38">
        <v>7.7101100000000006E-2</v>
      </c>
      <c r="AD7" s="38">
        <v>2.80781E-3</v>
      </c>
      <c r="AE7" s="38">
        <v>3.5775800000000001E-6</v>
      </c>
      <c r="AF7" s="38">
        <v>1.2541200000000001E-2</v>
      </c>
      <c r="AG7" s="38">
        <v>4.2488900000000003</v>
      </c>
      <c r="AH7" s="38">
        <v>8.5168299999999995E-3</v>
      </c>
      <c r="AI7" s="38">
        <v>6.8177000000000001E-2</v>
      </c>
      <c r="AJ7" s="38">
        <v>4.3265400000000002E-2</v>
      </c>
      <c r="AK7" s="38">
        <v>6.1772800000000006E-5</v>
      </c>
      <c r="AL7" s="38">
        <v>6.1256400000000003E-2</v>
      </c>
      <c r="AM7" s="38">
        <v>4.6750600000000003E-2</v>
      </c>
      <c r="AN7" s="38">
        <v>4.6533999999999999E-2</v>
      </c>
      <c r="AO7" s="38">
        <v>2.99923E-6</v>
      </c>
      <c r="AP7" s="38">
        <v>8.4829799999999997E-2</v>
      </c>
      <c r="AQ7" s="38">
        <v>67.638400000000004</v>
      </c>
    </row>
    <row r="8" spans="1:43" ht="18" thickBot="1">
      <c r="A8" s="3" t="s">
        <v>5</v>
      </c>
      <c r="B8" s="4" t="s">
        <v>4</v>
      </c>
      <c r="C8" s="6">
        <v>9.520085400000001</v>
      </c>
      <c r="E8" s="106"/>
      <c r="F8" s="35" t="s">
        <v>152</v>
      </c>
      <c r="G8" s="36" t="s">
        <v>402</v>
      </c>
      <c r="K8" s="7"/>
      <c r="L8" s="9" t="str">
        <f t="shared" si="0"/>
        <v>Electricity [kWh]</v>
      </c>
      <c r="M8" s="44">
        <f t="shared" si="1"/>
        <v>2178.6811550097405</v>
      </c>
      <c r="N8" s="44" t="str">
        <f t="shared" si="2"/>
        <v>Al smelting preparation  (anode)</v>
      </c>
      <c r="P8" s="7"/>
      <c r="Q8" s="44" t="str">
        <f>L41</f>
        <v>Al ingots (99.9%) [kg]</v>
      </c>
      <c r="R8" s="19">
        <f>M41</f>
        <v>1499.2436530150023</v>
      </c>
      <c r="S8" s="44" t="str">
        <f>N41</f>
        <v>Al smelting preparation  (cathode)</v>
      </c>
      <c r="U8" s="44"/>
      <c r="V8" s="23" t="s">
        <v>339</v>
      </c>
      <c r="W8" s="26">
        <f>R8</f>
        <v>1499.2436530150023</v>
      </c>
      <c r="X8" s="26" t="s">
        <v>270</v>
      </c>
      <c r="Y8" s="53" t="s">
        <v>419</v>
      </c>
      <c r="Z8" s="38">
        <v>20.6677</v>
      </c>
      <c r="AA8" s="38">
        <v>3.6438199999999997E-2</v>
      </c>
      <c r="AB8" s="38">
        <v>4.2442399999999996</v>
      </c>
      <c r="AC8" s="38">
        <v>7.7101100000000006E-2</v>
      </c>
      <c r="AD8" s="38">
        <v>2.80781E-3</v>
      </c>
      <c r="AE8" s="38">
        <v>3.5775800000000001E-6</v>
      </c>
      <c r="AF8" s="38">
        <v>1.2541200000000001E-2</v>
      </c>
      <c r="AG8" s="38">
        <v>4.2488900000000003</v>
      </c>
      <c r="AH8" s="38">
        <v>8.5168299999999995E-3</v>
      </c>
      <c r="AI8" s="38">
        <v>6.8177000000000001E-2</v>
      </c>
      <c r="AJ8" s="38">
        <v>4.3265400000000002E-2</v>
      </c>
      <c r="AK8" s="38">
        <v>6.1772800000000006E-5</v>
      </c>
      <c r="AL8" s="38">
        <v>6.1256400000000003E-2</v>
      </c>
      <c r="AM8" s="38">
        <v>4.6750600000000003E-2</v>
      </c>
      <c r="AN8" s="38">
        <v>4.6533999999999999E-2</v>
      </c>
      <c r="AO8" s="38">
        <v>2.99923E-6</v>
      </c>
      <c r="AP8" s="38">
        <v>8.4829799999999997E-2</v>
      </c>
      <c r="AQ8" s="38">
        <v>67.638400000000004</v>
      </c>
    </row>
    <row r="9" spans="1:43" ht="19" thickBot="1">
      <c r="A9" s="3" t="s">
        <v>6</v>
      </c>
      <c r="B9" s="4" t="s">
        <v>7</v>
      </c>
      <c r="C9" s="6">
        <v>7.0115855039999992</v>
      </c>
      <c r="E9" s="106"/>
      <c r="F9" s="35" t="s">
        <v>118</v>
      </c>
      <c r="G9" s="36" t="s">
        <v>401</v>
      </c>
      <c r="K9" s="7"/>
      <c r="L9" s="9" t="str">
        <f t="shared" si="0"/>
        <v>Ar gas [kg]</v>
      </c>
      <c r="M9" s="44">
        <f t="shared" si="1"/>
        <v>0.65197028130580814</v>
      </c>
      <c r="N9" s="44" t="str">
        <f t="shared" si="2"/>
        <v>Al smelting preparation  (anode)</v>
      </c>
      <c r="P9" s="7"/>
      <c r="Q9" s="44" t="str">
        <f>L159</f>
        <v>Separator paper coil [kg]</v>
      </c>
      <c r="R9" s="19">
        <f>M159</f>
        <v>776.74764622664782</v>
      </c>
      <c r="S9" s="44" t="str">
        <f>N159</f>
        <v>Slitting of separator paper</v>
      </c>
      <c r="U9" s="44"/>
      <c r="V9" s="23" t="s">
        <v>379</v>
      </c>
      <c r="W9" s="26">
        <f>R10</f>
        <v>2235.6298407456725</v>
      </c>
      <c r="X9" s="44" t="s">
        <v>112</v>
      </c>
      <c r="Y9" s="9" t="s">
        <v>453</v>
      </c>
      <c r="Z9" s="38">
        <v>3.0198700000000001</v>
      </c>
      <c r="AA9" s="38">
        <v>1.16986E-3</v>
      </c>
      <c r="AB9" s="38">
        <v>0.188171</v>
      </c>
      <c r="AC9" s="38">
        <v>5.6060800000000003E-3</v>
      </c>
      <c r="AD9" s="38">
        <v>6.6893199999999998E-5</v>
      </c>
      <c r="AE9" s="38">
        <v>2.0801100000000001E-6</v>
      </c>
      <c r="AF9" s="38">
        <v>5.28975E-4</v>
      </c>
      <c r="AG9" s="38">
        <v>0.15414900000000001</v>
      </c>
      <c r="AH9" s="38">
        <v>6.9268499999999996E-4</v>
      </c>
      <c r="AI9" s="38">
        <v>1.1800700000000001E-2</v>
      </c>
      <c r="AJ9" s="38">
        <v>1.34479E-3</v>
      </c>
      <c r="AK9" s="38">
        <v>1.5227200000000001E-5</v>
      </c>
      <c r="AL9" s="38">
        <v>1.71212E-2</v>
      </c>
      <c r="AM9" s="38">
        <v>8.62191E-4</v>
      </c>
      <c r="AN9" s="38">
        <v>1.36174E-3</v>
      </c>
      <c r="AO9" s="38">
        <v>1.83911E-6</v>
      </c>
      <c r="AP9" s="38">
        <v>2.4485700000000002E-3</v>
      </c>
      <c r="AQ9" s="38">
        <v>2.1340599999999998</v>
      </c>
    </row>
    <row r="10" spans="1:43" ht="19" thickBot="1">
      <c r="A10" s="3" t="s">
        <v>8</v>
      </c>
      <c r="B10" s="5" t="s">
        <v>322</v>
      </c>
      <c r="C10" s="6">
        <v>19.983018686399998</v>
      </c>
      <c r="E10" s="106"/>
      <c r="F10" s="35" t="s">
        <v>117</v>
      </c>
      <c r="G10" s="36" t="s">
        <v>400</v>
      </c>
      <c r="K10" s="7"/>
      <c r="L10" s="9" t="str">
        <f t="shared" si="0"/>
        <v>Electricity [kWh]</v>
      </c>
      <c r="M10" s="44">
        <f t="shared" si="1"/>
        <v>106.41948771578932</v>
      </c>
      <c r="N10" s="44" t="str">
        <f t="shared" si="2"/>
        <v>Casting rolling (anode)</v>
      </c>
      <c r="P10" s="7"/>
      <c r="Q10" s="44" t="str">
        <f>L162</f>
        <v>Electrolyte [kg]</v>
      </c>
      <c r="R10" s="19">
        <f>M162</f>
        <v>2235.6298407456725</v>
      </c>
      <c r="S10" s="44" t="str">
        <f>N162</f>
        <v>Soak</v>
      </c>
      <c r="U10" s="44"/>
      <c r="V10" s="23" t="s">
        <v>340</v>
      </c>
      <c r="W10" s="26">
        <f>R11</f>
        <v>7.4397400000000005</v>
      </c>
      <c r="X10" s="26" t="s">
        <v>111</v>
      </c>
      <c r="Y10" s="9" t="s">
        <v>407</v>
      </c>
      <c r="Z10" s="38">
        <v>22.379100000000001</v>
      </c>
      <c r="AA10" s="38">
        <v>3.67187E-2</v>
      </c>
      <c r="AB10" s="38">
        <v>4.65909</v>
      </c>
      <c r="AC10" s="38">
        <v>8.2434400000000005E-2</v>
      </c>
      <c r="AD10" s="38">
        <v>2.65628E-3</v>
      </c>
      <c r="AE10" s="38">
        <v>2.1618199999999999E-6</v>
      </c>
      <c r="AF10" s="38">
        <v>1.3747000000000001E-2</v>
      </c>
      <c r="AG10" s="38">
        <v>4.3877899999999999</v>
      </c>
      <c r="AH10" s="38">
        <v>8.69522E-3</v>
      </c>
      <c r="AI10" s="38">
        <v>9.1481900000000005E-2</v>
      </c>
      <c r="AJ10" s="38">
        <v>4.4441300000000003E-2</v>
      </c>
      <c r="AK10" s="38">
        <v>6.4945100000000003E-5</v>
      </c>
      <c r="AL10" s="38">
        <v>6.14964E-2</v>
      </c>
      <c r="AM10" s="38">
        <v>4.5364399999999999E-2</v>
      </c>
      <c r="AN10" s="38">
        <v>4.5129200000000001E-2</v>
      </c>
      <c r="AO10" s="38">
        <v>3.2677699999999999E-6</v>
      </c>
      <c r="AP10" s="38">
        <v>8.31987E-2</v>
      </c>
      <c r="AQ10" s="38">
        <v>69.936499999999995</v>
      </c>
    </row>
    <row r="11" spans="1:43" ht="16" thickBot="1">
      <c r="A11" s="3" t="s">
        <v>9</v>
      </c>
      <c r="B11" s="4" t="s">
        <v>10</v>
      </c>
      <c r="C11" s="6">
        <v>2.3655975000000002</v>
      </c>
      <c r="E11" s="106"/>
      <c r="F11" s="35" t="s">
        <v>38</v>
      </c>
      <c r="G11" s="37" t="s">
        <v>393</v>
      </c>
      <c r="K11" s="7"/>
      <c r="L11" s="9" t="str">
        <f t="shared" si="0"/>
        <v>Graphitic lubricant [kg]</v>
      </c>
      <c r="M11" s="44">
        <f t="shared" si="1"/>
        <v>0.11038650265495165</v>
      </c>
      <c r="N11" s="44" t="str">
        <f t="shared" si="2"/>
        <v>Casting rolling (anode)</v>
      </c>
      <c r="P11" s="7"/>
      <c r="Q11" s="44" t="str">
        <f>L161</f>
        <v>Tab [kg]</v>
      </c>
      <c r="R11" s="19">
        <f>M161</f>
        <v>7.4397400000000005</v>
      </c>
      <c r="S11" s="44" t="str">
        <f>N161</f>
        <v>Winding</v>
      </c>
      <c r="U11" s="44"/>
      <c r="V11" s="23" t="s">
        <v>352</v>
      </c>
      <c r="W11" s="26">
        <f>R12</f>
        <v>6.3074122865013775</v>
      </c>
      <c r="X11" s="26" t="s">
        <v>271</v>
      </c>
      <c r="Y11" s="9" t="s">
        <v>407</v>
      </c>
      <c r="Z11" s="38">
        <v>22.379100000000001</v>
      </c>
      <c r="AA11" s="38">
        <v>3.67187E-2</v>
      </c>
      <c r="AB11" s="38">
        <v>4.65909</v>
      </c>
      <c r="AC11" s="38">
        <v>8.2434400000000005E-2</v>
      </c>
      <c r="AD11" s="38">
        <v>2.65628E-3</v>
      </c>
      <c r="AE11" s="38">
        <v>2.1618199999999999E-6</v>
      </c>
      <c r="AF11" s="38">
        <v>1.3747000000000001E-2</v>
      </c>
      <c r="AG11" s="38">
        <v>4.3877899999999999</v>
      </c>
      <c r="AH11" s="38">
        <v>8.69522E-3</v>
      </c>
      <c r="AI11" s="38">
        <v>9.1481900000000005E-2</v>
      </c>
      <c r="AJ11" s="38">
        <v>4.4441300000000003E-2</v>
      </c>
      <c r="AK11" s="38">
        <v>6.4945100000000003E-5</v>
      </c>
      <c r="AL11" s="38">
        <v>6.14964E-2</v>
      </c>
      <c r="AM11" s="38">
        <v>4.5364399999999999E-2</v>
      </c>
      <c r="AN11" s="38">
        <v>4.5129200000000001E-2</v>
      </c>
      <c r="AO11" s="38">
        <v>3.2677699999999999E-6</v>
      </c>
      <c r="AP11" s="38">
        <v>8.31987E-2</v>
      </c>
      <c r="AQ11" s="38">
        <v>69.936499999999995</v>
      </c>
    </row>
    <row r="12" spans="1:43" ht="16" thickBot="1">
      <c r="A12" s="3" t="s">
        <v>11</v>
      </c>
      <c r="B12" s="4" t="s">
        <v>12</v>
      </c>
      <c r="C12" s="6">
        <v>9.4582687500000002</v>
      </c>
      <c r="E12" s="106"/>
      <c r="F12" s="35" t="s">
        <v>39</v>
      </c>
      <c r="G12" s="37" t="s">
        <v>394</v>
      </c>
      <c r="K12" s="7"/>
      <c r="L12" s="9" t="str">
        <f t="shared" si="0"/>
        <v>Deionized water [kg]</v>
      </c>
      <c r="M12" s="44">
        <f t="shared" si="1"/>
        <v>8.8309202123961317</v>
      </c>
      <c r="N12" s="44" t="str">
        <f t="shared" si="2"/>
        <v>Casting rolling (anode)</v>
      </c>
      <c r="P12" s="7"/>
      <c r="Q12" s="44" t="str">
        <f t="shared" ref="Q12:S13" si="3">L165</f>
        <v>Rivet  [kg]</v>
      </c>
      <c r="R12" s="19">
        <f t="shared" si="3"/>
        <v>6.3074122865013775</v>
      </c>
      <c r="S12" s="44" t="str">
        <f t="shared" si="3"/>
        <v>Assembly( including sleeving)</v>
      </c>
      <c r="U12" s="44"/>
      <c r="V12" s="23" t="s">
        <v>341</v>
      </c>
      <c r="W12" s="26">
        <f>R14</f>
        <v>1005.243833161157</v>
      </c>
      <c r="X12" s="26" t="s">
        <v>271</v>
      </c>
      <c r="Y12" s="9" t="s">
        <v>407</v>
      </c>
      <c r="Z12" s="38">
        <v>22.379100000000001</v>
      </c>
      <c r="AA12" s="38">
        <v>3.67187E-2</v>
      </c>
      <c r="AB12" s="38">
        <v>4.65909</v>
      </c>
      <c r="AC12" s="38">
        <v>8.2434400000000005E-2</v>
      </c>
      <c r="AD12" s="38">
        <v>2.65628E-3</v>
      </c>
      <c r="AE12" s="38">
        <v>2.1618199999999999E-6</v>
      </c>
      <c r="AF12" s="38">
        <v>1.3747000000000001E-2</v>
      </c>
      <c r="AG12" s="38">
        <v>4.3877899999999999</v>
      </c>
      <c r="AH12" s="38">
        <v>8.69522E-3</v>
      </c>
      <c r="AI12" s="38">
        <v>9.1481900000000005E-2</v>
      </c>
      <c r="AJ12" s="38">
        <v>4.4441300000000003E-2</v>
      </c>
      <c r="AK12" s="38">
        <v>6.4945100000000003E-5</v>
      </c>
      <c r="AL12" s="38">
        <v>6.14964E-2</v>
      </c>
      <c r="AM12" s="38">
        <v>4.5364399999999999E-2</v>
      </c>
      <c r="AN12" s="38">
        <v>4.5129200000000001E-2</v>
      </c>
      <c r="AO12" s="38">
        <v>3.2677699999999999E-6</v>
      </c>
      <c r="AP12" s="38">
        <v>8.31987E-2</v>
      </c>
      <c r="AQ12" s="38">
        <v>69.936499999999995</v>
      </c>
    </row>
    <row r="13" spans="1:43" ht="16" thickBot="1">
      <c r="A13" s="3" t="s">
        <v>13</v>
      </c>
      <c r="B13" s="4" t="s">
        <v>368</v>
      </c>
      <c r="C13" s="6">
        <v>0.97104892500000006</v>
      </c>
      <c r="E13" s="106"/>
      <c r="F13" s="35" t="s">
        <v>369</v>
      </c>
      <c r="G13" s="37" t="s">
        <v>395</v>
      </c>
      <c r="K13" s="7"/>
      <c r="L13" s="9" t="str">
        <f t="shared" si="0"/>
        <v>Tap water [kg]</v>
      </c>
      <c r="M13" s="44">
        <f t="shared" si="1"/>
        <v>4720.4752609247371</v>
      </c>
      <c r="N13" s="44" t="str">
        <f t="shared" si="2"/>
        <v>Casting rolling (anode)</v>
      </c>
      <c r="P13" s="7"/>
      <c r="Q13" s="44" t="str">
        <f t="shared" si="3"/>
        <v>Terminal  [kg]</v>
      </c>
      <c r="R13" s="19">
        <f t="shared" si="3"/>
        <v>15.5483866590756</v>
      </c>
      <c r="S13" s="44" t="str">
        <f t="shared" si="3"/>
        <v>Assembly( including sleeving)</v>
      </c>
      <c r="U13" s="44"/>
      <c r="V13" s="23" t="s">
        <v>353</v>
      </c>
      <c r="W13" s="26">
        <f>R13</f>
        <v>15.5483866590756</v>
      </c>
      <c r="X13" s="26" t="s">
        <v>271</v>
      </c>
      <c r="Y13" s="9" t="s">
        <v>362</v>
      </c>
      <c r="Z13" s="38">
        <v>2.2022200000000001</v>
      </c>
      <c r="AA13" s="38">
        <v>1.4584400000000001E-3</v>
      </c>
      <c r="AB13" s="38">
        <v>0.59945300000000001</v>
      </c>
      <c r="AC13" s="38">
        <v>2.9378499999999998E-2</v>
      </c>
      <c r="AD13" s="38">
        <v>8.3202100000000001E-5</v>
      </c>
      <c r="AE13" s="38">
        <v>8.7731000000000001E-7</v>
      </c>
      <c r="AF13" s="38">
        <v>2.18827E-4</v>
      </c>
      <c r="AG13" s="38">
        <v>5.5172699999999998E-2</v>
      </c>
      <c r="AH13" s="38">
        <v>1.46298E-3</v>
      </c>
      <c r="AI13" s="38">
        <v>4.1400899999999997E-2</v>
      </c>
      <c r="AJ13" s="38">
        <v>8.0827799999999995E-4</v>
      </c>
      <c r="AK13" s="38">
        <v>8.5238100000000006E-5</v>
      </c>
      <c r="AL13" s="38">
        <v>7.2954099999999994E-2</v>
      </c>
      <c r="AM13" s="38">
        <v>3.1672699999999998E-3</v>
      </c>
      <c r="AN13" s="38">
        <v>3.15271E-3</v>
      </c>
      <c r="AO13" s="38">
        <v>1.31519E-7</v>
      </c>
      <c r="AP13" s="38">
        <v>4.7019699999999998E-3</v>
      </c>
      <c r="AQ13" s="38">
        <v>0.98485999999999996</v>
      </c>
    </row>
    <row r="14" spans="1:43" ht="16" thickBot="1">
      <c r="A14" s="3" t="s">
        <v>14</v>
      </c>
      <c r="B14" s="4" t="s">
        <v>231</v>
      </c>
      <c r="C14" s="6">
        <v>0.103306</v>
      </c>
      <c r="E14" s="106"/>
      <c r="F14" s="35" t="s">
        <v>40</v>
      </c>
      <c r="G14" s="37" t="s">
        <v>396</v>
      </c>
      <c r="K14" s="7"/>
      <c r="L14" s="9" t="str">
        <f t="shared" si="0"/>
        <v>Electricity [kWh]</v>
      </c>
      <c r="M14" s="44">
        <f t="shared" si="1"/>
        <v>179.02276025887579</v>
      </c>
      <c r="N14" s="44" t="str">
        <f t="shared" si="2"/>
        <v>Cold rolling 1 (anode)</v>
      </c>
      <c r="P14" s="7"/>
      <c r="Q14" s="44" t="str">
        <f>L164</f>
        <v>Can [kg]</v>
      </c>
      <c r="R14" s="19">
        <f>M164</f>
        <v>1005.243833161157</v>
      </c>
      <c r="S14" s="44" t="str">
        <f>N164</f>
        <v>Assembly( including sleeving)</v>
      </c>
      <c r="U14" s="44"/>
      <c r="V14" s="23" t="s">
        <v>354</v>
      </c>
      <c r="W14" s="26">
        <f>R15</f>
        <v>251.42046197581882</v>
      </c>
      <c r="X14" s="26" t="s">
        <v>271</v>
      </c>
      <c r="Y14" s="9" t="s">
        <v>408</v>
      </c>
      <c r="Z14" s="38">
        <v>2.0237599999999998</v>
      </c>
      <c r="AA14" s="38">
        <v>5.4862400000000005E-4</v>
      </c>
      <c r="AB14" s="38">
        <v>1.63672</v>
      </c>
      <c r="AC14" s="40">
        <v>9.9200299999999998E-3</v>
      </c>
      <c r="AD14" s="38">
        <v>5.9482399999999998E-4</v>
      </c>
      <c r="AE14" s="40">
        <v>3.15146E-6</v>
      </c>
      <c r="AF14" s="38">
        <v>1.2151099999999999E-3</v>
      </c>
      <c r="AG14" s="38">
        <v>0.24777199999999999</v>
      </c>
      <c r="AH14" s="38">
        <v>6.89311E-3</v>
      </c>
      <c r="AI14" s="38">
        <v>3.0747300000000002E-2</v>
      </c>
      <c r="AJ14" s="38">
        <v>1.9324100000000001E-3</v>
      </c>
      <c r="AK14" s="38">
        <v>2.42703E-5</v>
      </c>
      <c r="AL14" s="38">
        <v>2.3405100000000001E-3</v>
      </c>
      <c r="AM14" s="38">
        <v>2.2253300000000002E-3</v>
      </c>
      <c r="AN14" s="38">
        <v>2.1441300000000002E-3</v>
      </c>
      <c r="AO14" s="38">
        <v>4.9348299999999997E-7</v>
      </c>
      <c r="AP14" s="38">
        <v>1.7538899999999999E-3</v>
      </c>
      <c r="AQ14" s="38">
        <v>2.2288899999999998</v>
      </c>
    </row>
    <row r="15" spans="1:43" ht="15.65" customHeight="1" thickBot="1">
      <c r="A15" s="3" t="s">
        <v>19</v>
      </c>
      <c r="B15" s="4" t="s">
        <v>18</v>
      </c>
      <c r="C15" s="6">
        <v>6.9794999999999996E-2</v>
      </c>
      <c r="E15" s="106"/>
      <c r="F15" s="35" t="s">
        <v>41</v>
      </c>
      <c r="G15" s="37" t="s">
        <v>397</v>
      </c>
      <c r="K15" s="7"/>
      <c r="L15" s="9" t="str">
        <f t="shared" si="0"/>
        <v>Deionized water [kg]</v>
      </c>
      <c r="M15" s="44">
        <f t="shared" si="1"/>
        <v>41.715749268947818</v>
      </c>
      <c r="N15" s="44" t="str">
        <f t="shared" si="2"/>
        <v>Cold rolling 1 (anode)</v>
      </c>
      <c r="P15" s="7"/>
      <c r="Q15" s="44" t="str">
        <f>L163</f>
        <v>Sealing cover [kg]</v>
      </c>
      <c r="R15" s="19">
        <f>M163</f>
        <v>251.42046197581882</v>
      </c>
      <c r="S15" s="44" t="str">
        <f>N163</f>
        <v>Assembly( including sleeving)</v>
      </c>
      <c r="U15" s="44"/>
      <c r="V15" s="23" t="s">
        <v>342</v>
      </c>
      <c r="W15" s="26">
        <f>R16</f>
        <v>102.13701357004388</v>
      </c>
      <c r="X15" s="26" t="s">
        <v>271</v>
      </c>
      <c r="Y15" s="9" t="s">
        <v>412</v>
      </c>
      <c r="Z15" s="38">
        <v>2.7273900000000002</v>
      </c>
      <c r="AA15" s="38">
        <v>8.3016800000000005E-4</v>
      </c>
      <c r="AB15" s="38">
        <v>1.75268</v>
      </c>
      <c r="AC15" s="38">
        <v>1.5572900000000001E-2</v>
      </c>
      <c r="AD15" s="38">
        <v>6.4743899999999998E-4</v>
      </c>
      <c r="AE15" s="38">
        <v>1.0131E-5</v>
      </c>
      <c r="AF15" s="38">
        <v>1.60772E-3</v>
      </c>
      <c r="AG15" s="38">
        <v>0.33572299999999999</v>
      </c>
      <c r="AH15" s="38">
        <v>3.2578999999999997E-2</v>
      </c>
      <c r="AI15" s="38">
        <v>3.19727E-2</v>
      </c>
      <c r="AJ15" s="38">
        <v>2.9561600000000002E-3</v>
      </c>
      <c r="AK15" s="38">
        <v>2.1131599999999999E-5</v>
      </c>
      <c r="AL15" s="38">
        <v>3.4608999999999998E-3</v>
      </c>
      <c r="AM15" s="38">
        <v>4.0406499999999998E-3</v>
      </c>
      <c r="AN15" s="38">
        <v>3.6050399999999999E-3</v>
      </c>
      <c r="AO15" s="38">
        <v>5.4350300000000005E-7</v>
      </c>
      <c r="AP15" s="38">
        <v>2.6628799999999998E-3</v>
      </c>
      <c r="AQ15" s="38">
        <v>6.3014200000000002</v>
      </c>
    </row>
    <row r="16" spans="1:43" ht="15.65" customHeight="1" thickBot="1">
      <c r="A16" s="3" t="s">
        <v>17</v>
      </c>
      <c r="B16" s="4" t="s">
        <v>18</v>
      </c>
      <c r="C16" s="6">
        <v>5.9346000000000003E-2</v>
      </c>
      <c r="E16" s="106"/>
      <c r="F16" s="35" t="s">
        <v>239</v>
      </c>
      <c r="G16" s="37" t="s">
        <v>398</v>
      </c>
      <c r="K16" s="7"/>
      <c r="L16" s="9" t="str">
        <f t="shared" si="0"/>
        <v>Rolling oil  [kg}</v>
      </c>
      <c r="M16" s="44">
        <f t="shared" si="1"/>
        <v>1.3349867664833215</v>
      </c>
      <c r="N16" s="44" t="str">
        <f t="shared" si="2"/>
        <v>Cold rolling 1 (anode)</v>
      </c>
      <c r="P16" s="7"/>
      <c r="Q16" s="44" t="str">
        <f>L167</f>
        <v>Sleeve [kg]</v>
      </c>
      <c r="R16" s="19">
        <f>M167</f>
        <v>102.13701357004388</v>
      </c>
      <c r="S16" s="44" t="str">
        <f>N167</f>
        <v>Assembly( including sleeving)</v>
      </c>
      <c r="U16" s="44"/>
      <c r="V16" s="23" t="s">
        <v>355</v>
      </c>
      <c r="W16" s="26">
        <f>SUM(R17:R22)</f>
        <v>111.47386630656166</v>
      </c>
      <c r="X16" s="26" t="s">
        <v>272</v>
      </c>
      <c r="Y16" s="9" t="s">
        <v>409</v>
      </c>
      <c r="Z16" s="38">
        <v>0.456652</v>
      </c>
      <c r="AA16" s="38">
        <v>4.54511E-4</v>
      </c>
      <c r="AB16" s="38">
        <v>1.0686800000000001</v>
      </c>
      <c r="AC16" s="38">
        <v>5.7138899999999995E-4</v>
      </c>
      <c r="AD16" s="38">
        <v>9.2606899999999996E-4</v>
      </c>
      <c r="AE16" s="38">
        <v>3.7084899999999999E-7</v>
      </c>
      <c r="AF16" s="38">
        <v>1.46138E-3</v>
      </c>
      <c r="AG16" s="38">
        <v>0.37427500000000002</v>
      </c>
      <c r="AH16" s="38">
        <v>2.5155400000000002E-4</v>
      </c>
      <c r="AI16" s="38">
        <v>1.01439E-3</v>
      </c>
      <c r="AJ16" s="38">
        <v>1.9758699999999998E-3</v>
      </c>
      <c r="AK16" s="38">
        <v>2.6300300000000002E-6</v>
      </c>
      <c r="AL16" s="38">
        <v>2.06689E-4</v>
      </c>
      <c r="AM16" s="38">
        <v>1.3496599999999999E-3</v>
      </c>
      <c r="AN16" s="38">
        <v>1.29594E-3</v>
      </c>
      <c r="AO16" s="38">
        <v>6.6351199999999994E-8</v>
      </c>
      <c r="AP16" s="38">
        <v>1.48263E-3</v>
      </c>
      <c r="AQ16" s="38">
        <v>0.162964</v>
      </c>
    </row>
    <row r="17" spans="1:44" ht="16.5" customHeight="1" thickBot="1">
      <c r="A17" s="3" t="s">
        <v>15</v>
      </c>
      <c r="B17" s="4" t="s">
        <v>16</v>
      </c>
      <c r="C17" s="6">
        <v>0.14629367999999995</v>
      </c>
      <c r="E17" s="107"/>
      <c r="F17" s="35" t="s">
        <v>42</v>
      </c>
      <c r="G17" s="37" t="s">
        <v>399</v>
      </c>
      <c r="K17" s="7"/>
      <c r="L17" s="9" t="str">
        <f t="shared" si="0"/>
        <v>Electricity [kWh]</v>
      </c>
      <c r="M17" s="44">
        <f t="shared" si="1"/>
        <v>483.63086475700686</v>
      </c>
      <c r="N17" s="44" t="str">
        <f t="shared" si="2"/>
        <v>Intermediate annealing 1 (anode)</v>
      </c>
      <c r="P17" s="7"/>
      <c r="Q17" s="44" t="str">
        <f>L16</f>
        <v>Rolling oil  [kg}</v>
      </c>
      <c r="R17" s="19">
        <f>M16</f>
        <v>1.3349867664833215</v>
      </c>
      <c r="S17" s="44" t="str">
        <f>N16</f>
        <v>Cold rolling 1 (anode)</v>
      </c>
      <c r="U17" s="44"/>
      <c r="V17" s="23" t="s">
        <v>444</v>
      </c>
      <c r="W17" s="26">
        <f>SUM(R23:R26)</f>
        <v>1220.0045764291813</v>
      </c>
      <c r="X17" s="26" t="s">
        <v>274</v>
      </c>
      <c r="Y17" s="9" t="s">
        <v>413</v>
      </c>
      <c r="Z17" s="38">
        <v>0.25839299999999998</v>
      </c>
      <c r="AA17" s="38">
        <v>1.20951E-4</v>
      </c>
      <c r="AB17" s="38">
        <v>0.101077</v>
      </c>
      <c r="AC17" s="38">
        <v>2.5147099999999999E-3</v>
      </c>
      <c r="AD17" s="38">
        <v>2.4871E-5</v>
      </c>
      <c r="AE17" s="38">
        <v>9.8264699999999994E-7</v>
      </c>
      <c r="AF17" s="38">
        <v>1.2546399999999999E-4</v>
      </c>
      <c r="AG17" s="38">
        <v>7.4044899999999997E-3</v>
      </c>
      <c r="AH17" s="38">
        <v>1.1667200000000001E-2</v>
      </c>
      <c r="AI17" s="38">
        <v>1.1722399999999999E-2</v>
      </c>
      <c r="AJ17" s="38">
        <v>5.8892099999999998E-5</v>
      </c>
      <c r="AK17" s="38">
        <v>7.3086499999999999E-6</v>
      </c>
      <c r="AL17" s="38">
        <v>7.8021099999999995E-4</v>
      </c>
      <c r="AM17" s="38">
        <v>3.8896500000000001E-4</v>
      </c>
      <c r="AN17" s="38">
        <v>3.8706100000000001E-4</v>
      </c>
      <c r="AO17" s="38">
        <v>7.1249799999999995E-8</v>
      </c>
      <c r="AP17" s="38">
        <v>3.7973E-4</v>
      </c>
      <c r="AQ17" s="38">
        <v>3.7099699999999999E-2</v>
      </c>
    </row>
    <row r="18" spans="1:44" ht="16.5" customHeight="1">
      <c r="A18" s="94" t="s">
        <v>20</v>
      </c>
      <c r="B18" s="95"/>
      <c r="C18" s="52">
        <v>76.910079285400016</v>
      </c>
      <c r="E18" s="12"/>
      <c r="F18" s="12"/>
      <c r="H18" s="12"/>
      <c r="K18" s="7"/>
      <c r="L18" s="9" t="str">
        <f t="shared" si="0"/>
        <v>Electricity [kWh]</v>
      </c>
      <c r="M18" s="44">
        <f t="shared" si="1"/>
        <v>1017.1667774486758</v>
      </c>
      <c r="N18" s="44" t="str">
        <f t="shared" si="2"/>
        <v>Cold rolling 2 (anode)</v>
      </c>
      <c r="P18" s="7"/>
      <c r="Q18" s="44" t="str">
        <f>L20</f>
        <v>Rolling oil  [kg}</v>
      </c>
      <c r="R18" s="19">
        <f>M20</f>
        <v>25.030139477010284</v>
      </c>
      <c r="S18" s="44" t="str">
        <f>N20</f>
        <v>Cold rolling 2 (anode)</v>
      </c>
      <c r="U18" s="44"/>
      <c r="V18" s="23" t="s">
        <v>356</v>
      </c>
      <c r="W18" s="26">
        <f>SUM(R27:R28)</f>
        <v>6338.9668015343814</v>
      </c>
      <c r="X18" s="26" t="s">
        <v>275</v>
      </c>
      <c r="Y18" s="9" t="s">
        <v>410</v>
      </c>
      <c r="Z18" s="38">
        <v>0.25627</v>
      </c>
      <c r="AA18" s="38">
        <v>1.46167E-3</v>
      </c>
      <c r="AB18" s="38">
        <v>0.27328000000000002</v>
      </c>
      <c r="AC18" s="38">
        <v>9.4825599999999997E-4</v>
      </c>
      <c r="AD18" s="38">
        <v>1.4291900000000001E-4</v>
      </c>
      <c r="AE18" s="38">
        <v>7.5044100000000002E-7</v>
      </c>
      <c r="AF18" s="38">
        <v>2.2636800000000001E-4</v>
      </c>
      <c r="AG18" s="38">
        <v>5.4194600000000002E-2</v>
      </c>
      <c r="AH18" s="38">
        <v>3.4772100000000001E-3</v>
      </c>
      <c r="AI18" s="38">
        <v>3.2895400000000001E-3</v>
      </c>
      <c r="AJ18" s="38">
        <v>4.5866899999999998E-4</v>
      </c>
      <c r="AK18" s="38">
        <v>4.3497500000000002E-6</v>
      </c>
      <c r="AL18" s="38">
        <v>1.37708E-4</v>
      </c>
      <c r="AM18" s="38">
        <v>3.7665300000000001E-4</v>
      </c>
      <c r="AN18" s="38">
        <v>3.5327900000000002E-4</v>
      </c>
      <c r="AO18" s="38">
        <v>1.00892E-7</v>
      </c>
      <c r="AP18" s="38">
        <v>5.0240399999999996E-3</v>
      </c>
      <c r="AQ18" s="38">
        <v>0.131635</v>
      </c>
    </row>
    <row r="19" spans="1:44" ht="17.25" customHeight="1">
      <c r="A19" s="114" t="s">
        <v>423</v>
      </c>
      <c r="B19" s="115"/>
      <c r="C19" s="116"/>
      <c r="E19" s="79" t="s">
        <v>38</v>
      </c>
      <c r="F19" s="80"/>
      <c r="G19" s="8" t="s">
        <v>374</v>
      </c>
      <c r="H19" s="8" t="s">
        <v>373</v>
      </c>
      <c r="I19" s="34" t="s">
        <v>290</v>
      </c>
      <c r="K19" s="7"/>
      <c r="L19" s="9" t="str">
        <f t="shared" si="0"/>
        <v>Deionized water [kg]</v>
      </c>
      <c r="M19" s="44">
        <f t="shared" si="1"/>
        <v>782.18323471105134</v>
      </c>
      <c r="N19" s="44" t="str">
        <f t="shared" si="2"/>
        <v>Cold rolling 2 (anode)</v>
      </c>
      <c r="P19" s="7"/>
      <c r="Q19" s="44" t="str">
        <f>L23</f>
        <v>Rolling oil  [kg}</v>
      </c>
      <c r="R19" s="19">
        <f>M23</f>
        <v>33.374669162083038</v>
      </c>
      <c r="S19" s="44" t="str">
        <f>N23</f>
        <v>Foil rolling  (anode)</v>
      </c>
      <c r="U19" s="44"/>
      <c r="V19" s="23" t="s">
        <v>357</v>
      </c>
      <c r="W19" s="26">
        <f>SUM(R29+R30)</f>
        <v>319.0738552190964</v>
      </c>
      <c r="X19" s="26" t="s">
        <v>275</v>
      </c>
      <c r="Y19" s="9" t="s">
        <v>363</v>
      </c>
      <c r="Z19" s="38">
        <v>0.78728900000000002</v>
      </c>
      <c r="AA19" s="38">
        <v>1.10883E-4</v>
      </c>
      <c r="AB19" s="38">
        <v>0.21255499999999999</v>
      </c>
      <c r="AC19" s="38">
        <v>3.1263999999999999E-4</v>
      </c>
      <c r="AD19" s="38">
        <v>1.23598E-5</v>
      </c>
      <c r="AE19" s="38">
        <v>1.08897E-7</v>
      </c>
      <c r="AF19" s="38">
        <v>2.6397599999999999E-5</v>
      </c>
      <c r="AG19" s="38">
        <v>1.72164E-3</v>
      </c>
      <c r="AH19" s="38">
        <v>1.9308800000000001E-3</v>
      </c>
      <c r="AI19" s="38">
        <v>1.9229500000000001E-3</v>
      </c>
      <c r="AJ19" s="38">
        <v>3.3497900000000003E-5</v>
      </c>
      <c r="AK19" s="38">
        <v>1.1021399999999999E-5</v>
      </c>
      <c r="AL19" s="38">
        <v>1.6719099999999999E-4</v>
      </c>
      <c r="AM19" s="38">
        <v>8.0855800000000002E-4</v>
      </c>
      <c r="AN19" s="38">
        <v>8.0598400000000004E-4</v>
      </c>
      <c r="AO19" s="38">
        <v>9.5938999999999997E-6</v>
      </c>
      <c r="AP19" s="38">
        <v>3.5135800000000002E-4</v>
      </c>
      <c r="AQ19" s="38">
        <v>3.7510399999999999E-2</v>
      </c>
    </row>
    <row r="20" spans="1:44" ht="15.75" customHeight="1">
      <c r="A20" s="117"/>
      <c r="B20" s="118"/>
      <c r="C20" s="119"/>
      <c r="E20" s="7" t="s">
        <v>43</v>
      </c>
      <c r="F20" s="7" t="s">
        <v>101</v>
      </c>
      <c r="G20" s="8">
        <v>1000</v>
      </c>
      <c r="H20" s="81" t="s">
        <v>22</v>
      </c>
      <c r="I20" s="82"/>
      <c r="K20" s="7"/>
      <c r="L20" s="9" t="str">
        <f t="shared" si="0"/>
        <v>Rolling oil  [kg}</v>
      </c>
      <c r="M20" s="44">
        <f t="shared" si="1"/>
        <v>25.030139477010284</v>
      </c>
      <c r="N20" s="44" t="str">
        <f t="shared" si="2"/>
        <v>Cold rolling 2 (anode)</v>
      </c>
      <c r="P20" s="7"/>
      <c r="Q20" s="44" t="str">
        <f>L50</f>
        <v>Rolling oil  [kg}</v>
      </c>
      <c r="R20" s="19">
        <f>M50</f>
        <v>0.56860314784246979</v>
      </c>
      <c r="S20" s="44" t="str">
        <f>N50</f>
        <v>Cold rolling 1 (cathode)</v>
      </c>
      <c r="U20" s="44"/>
      <c r="V20" s="23" t="s">
        <v>358</v>
      </c>
      <c r="W20" s="26">
        <f>SUM(R31:R32)</f>
        <v>1063.5855602132633</v>
      </c>
      <c r="X20" s="26" t="s">
        <v>275</v>
      </c>
      <c r="Y20" s="9" t="s">
        <v>411</v>
      </c>
      <c r="Z20" s="38">
        <v>0.37561</v>
      </c>
      <c r="AA20" s="38">
        <v>1.30727E-4</v>
      </c>
      <c r="AB20" s="38">
        <v>0.14247899999999999</v>
      </c>
      <c r="AC20" s="38">
        <v>2.06609E-3</v>
      </c>
      <c r="AD20" s="38">
        <v>4.3270199999999998E-5</v>
      </c>
      <c r="AE20" s="38">
        <v>1.5731700000000001E-6</v>
      </c>
      <c r="AF20" s="38">
        <v>1.58321E-4</v>
      </c>
      <c r="AG20" s="38">
        <v>1.51621E-2</v>
      </c>
      <c r="AH20" s="38">
        <v>4.4978400000000003E-3</v>
      </c>
      <c r="AI20" s="38">
        <v>2.0501999999999999E-2</v>
      </c>
      <c r="AJ20" s="38">
        <v>1.1114400000000001E-4</v>
      </c>
      <c r="AK20" s="38">
        <v>1.19294E-5</v>
      </c>
      <c r="AL20" s="38">
        <v>1.1884700000000001E-3</v>
      </c>
      <c r="AM20" s="38">
        <v>5.1431299999999997E-4</v>
      </c>
      <c r="AN20" s="38">
        <v>5.0954400000000001E-4</v>
      </c>
      <c r="AO20" s="38">
        <v>1.4277500000000001E-7</v>
      </c>
      <c r="AP20" s="38">
        <v>4.16704E-4</v>
      </c>
      <c r="AQ20" s="38">
        <v>5.7947800000000001E-2</v>
      </c>
    </row>
    <row r="21" spans="1:44" ht="20" customHeight="1" thickBot="1">
      <c r="A21" s="120"/>
      <c r="B21" s="121"/>
      <c r="C21" s="122"/>
      <c r="E21" s="7"/>
      <c r="F21" s="7" t="s">
        <v>102</v>
      </c>
      <c r="G21" s="8">
        <v>75</v>
      </c>
      <c r="H21" s="83"/>
      <c r="I21" s="84"/>
      <c r="K21" s="7"/>
      <c r="L21" s="9" t="str">
        <f t="shared" si="0"/>
        <v>Electricity [kWh]</v>
      </c>
      <c r="M21" s="44">
        <f t="shared" si="1"/>
        <v>172.82386821915867</v>
      </c>
      <c r="N21" s="44" t="str">
        <f t="shared" si="2"/>
        <v>Intermediate annealing 2 (anode)</v>
      </c>
      <c r="P21" s="7"/>
      <c r="Q21" s="44" t="str">
        <f>L54</f>
        <v>Rolling oil  [kg}</v>
      </c>
      <c r="R21" s="19">
        <f>M54</f>
        <v>17.055155917714185</v>
      </c>
      <c r="S21" s="44" t="str">
        <f>N54</f>
        <v>Cold rolling 2 (cathode)</v>
      </c>
      <c r="U21" s="44"/>
      <c r="V21" s="23" t="s">
        <v>321</v>
      </c>
      <c r="W21" s="26">
        <f>R33</f>
        <v>281.91311636655814</v>
      </c>
      <c r="X21" s="26" t="s">
        <v>276</v>
      </c>
      <c r="Y21" s="9" t="s">
        <v>449</v>
      </c>
      <c r="Z21" s="38">
        <v>5.8363800000000001</v>
      </c>
      <c r="AA21" s="38">
        <v>1.4917999999999999E-3</v>
      </c>
      <c r="AB21" s="38">
        <v>1.9935700000000001</v>
      </c>
      <c r="AC21" s="38">
        <v>2.1670999999999999E-2</v>
      </c>
      <c r="AD21" s="38">
        <v>1.10461E-3</v>
      </c>
      <c r="AE21" s="38">
        <v>1.11197E-4</v>
      </c>
      <c r="AF21" s="38">
        <v>2.2633699999999998E-3</v>
      </c>
      <c r="AG21" s="38">
        <v>2.3113700000000001</v>
      </c>
      <c r="AH21" s="38">
        <v>5.2391600000000003E-2</v>
      </c>
      <c r="AI21" s="38">
        <v>1.4241999999999999</v>
      </c>
      <c r="AJ21" s="38">
        <v>1.79423E-3</v>
      </c>
      <c r="AK21" s="38">
        <v>1.0025100000000001E-3</v>
      </c>
      <c r="AL21" s="38">
        <v>2.84499E-2</v>
      </c>
      <c r="AM21" s="38">
        <v>6.3216699999999997E-3</v>
      </c>
      <c r="AN21" s="38">
        <v>6.28657E-3</v>
      </c>
      <c r="AO21" s="38">
        <v>5.9150299999999997E-6</v>
      </c>
      <c r="AP21" s="38">
        <v>5.1537500000000003E-3</v>
      </c>
      <c r="AQ21" s="38">
        <v>0.740201</v>
      </c>
    </row>
    <row r="22" spans="1:44" ht="20" customHeight="1" thickBot="1">
      <c r="E22" s="7"/>
      <c r="F22" s="7" t="s">
        <v>103</v>
      </c>
      <c r="G22" s="8">
        <v>500</v>
      </c>
      <c r="H22" s="83"/>
      <c r="I22" s="84"/>
      <c r="K22" s="7"/>
      <c r="L22" s="9" t="str">
        <f t="shared" si="0"/>
        <v>Deionized water [kg]</v>
      </c>
      <c r="M22" s="44">
        <f t="shared" si="1"/>
        <v>1042.9109796147352</v>
      </c>
      <c r="N22" s="44" t="str">
        <f t="shared" si="2"/>
        <v>Foil rolling  (anode)</v>
      </c>
      <c r="P22" s="7"/>
      <c r="Q22" s="44" t="str">
        <f>L57</f>
        <v>Rolling oil  [kg}</v>
      </c>
      <c r="R22" s="19">
        <f>M57</f>
        <v>34.110311835428369</v>
      </c>
      <c r="S22" s="44" t="str">
        <f>N57</f>
        <v>Foil rolling  (cathode)</v>
      </c>
      <c r="U22" s="44"/>
      <c r="V22" s="23" t="s">
        <v>343</v>
      </c>
      <c r="W22" s="26">
        <f>R34</f>
        <v>77.322495314107357</v>
      </c>
      <c r="X22" s="26" t="s">
        <v>276</v>
      </c>
      <c r="Y22" s="9" t="s">
        <v>450</v>
      </c>
      <c r="Z22" s="38">
        <v>0.38321499999999997</v>
      </c>
      <c r="AA22" s="38">
        <v>1.13239E-3</v>
      </c>
      <c r="AB22" s="38">
        <v>0.25439899999999999</v>
      </c>
      <c r="AC22" s="38">
        <v>8.1509400000000004E-4</v>
      </c>
      <c r="AD22" s="38">
        <v>9.6821200000000001E-5</v>
      </c>
      <c r="AE22" s="38">
        <v>7.3901900000000003E-7</v>
      </c>
      <c r="AF22" s="38">
        <v>1.6262399999999999E-4</v>
      </c>
      <c r="AG22" s="38">
        <v>3.99592E-2</v>
      </c>
      <c r="AH22" s="38">
        <v>2.9374599999999998E-3</v>
      </c>
      <c r="AI22" s="38">
        <v>5.8097000000000001E-3</v>
      </c>
      <c r="AJ22" s="38">
        <v>3.0415500000000002E-4</v>
      </c>
      <c r="AK22" s="38">
        <v>8.2065699999999999E-6</v>
      </c>
      <c r="AL22" s="38">
        <v>0.132575</v>
      </c>
      <c r="AM22" s="38">
        <v>5.0322699999999997E-4</v>
      </c>
      <c r="AN22" s="38">
        <v>4.8760900000000001E-4</v>
      </c>
      <c r="AO22" s="38">
        <v>1.02318E-7</v>
      </c>
      <c r="AP22" s="38">
        <v>3.2143300000000001E-3</v>
      </c>
      <c r="AQ22" s="38">
        <v>9.8745299999999994E-2</v>
      </c>
    </row>
    <row r="23" spans="1:44" ht="18" thickBot="1">
      <c r="A23" s="96" t="s">
        <v>433</v>
      </c>
      <c r="B23" s="97"/>
      <c r="C23" s="98"/>
      <c r="E23" s="7"/>
      <c r="F23" s="7" t="s">
        <v>100</v>
      </c>
      <c r="G23" s="8">
        <f>B29</f>
        <v>0.12</v>
      </c>
      <c r="H23" s="83"/>
      <c r="I23" s="84"/>
      <c r="K23" s="7"/>
      <c r="L23" s="9" t="str">
        <f t="shared" si="0"/>
        <v>Rolling oil  [kg}</v>
      </c>
      <c r="M23" s="44">
        <f t="shared" si="1"/>
        <v>33.374669162083038</v>
      </c>
      <c r="N23" s="44" t="str">
        <f t="shared" si="2"/>
        <v>Foil rolling  (anode)</v>
      </c>
      <c r="P23" s="7"/>
      <c r="Q23" s="44" t="str">
        <f>L25</f>
        <v>NaOH solution (30%) [kg]</v>
      </c>
      <c r="R23" s="19">
        <f>M25</f>
        <v>109.6965870133582</v>
      </c>
      <c r="S23" s="44" t="str">
        <f>N25</f>
        <v>Final annealing (anode)</v>
      </c>
      <c r="U23" s="44"/>
      <c r="V23" s="23" t="s">
        <v>380</v>
      </c>
      <c r="W23" s="26">
        <f>R35</f>
        <v>805.46319272557037</v>
      </c>
      <c r="X23" s="26" t="s">
        <v>277</v>
      </c>
      <c r="Y23" s="9" t="s">
        <v>414</v>
      </c>
      <c r="Z23" s="38">
        <v>1.33341</v>
      </c>
      <c r="AA23" s="38">
        <v>4.0427800000000002E-3</v>
      </c>
      <c r="AB23" s="38">
        <v>0.84322900000000001</v>
      </c>
      <c r="AC23" s="38">
        <v>4.3731899999999999E-3</v>
      </c>
      <c r="AD23" s="38">
        <v>4.0269600000000002E-4</v>
      </c>
      <c r="AE23" s="38">
        <v>4.4365200000000003E-6</v>
      </c>
      <c r="AF23" s="38">
        <v>9.0829799999999998E-4</v>
      </c>
      <c r="AG23" s="38">
        <v>0.14780699999999999</v>
      </c>
      <c r="AH23" s="38">
        <v>1.20739E-2</v>
      </c>
      <c r="AI23" s="38">
        <v>1.3018699999999999E-2</v>
      </c>
      <c r="AJ23" s="38">
        <v>1.4858600000000001E-3</v>
      </c>
      <c r="AK23" s="38">
        <v>1.6861600000000001E-5</v>
      </c>
      <c r="AL23" s="38">
        <v>8.6887300000000001E-2</v>
      </c>
      <c r="AM23" s="38">
        <v>3.6772200000000001E-3</v>
      </c>
      <c r="AN23" s="38">
        <v>3.6137299999999999E-3</v>
      </c>
      <c r="AO23" s="38">
        <v>3.833E-7</v>
      </c>
      <c r="AP23" s="38">
        <v>1.32359E-2</v>
      </c>
      <c r="AQ23" s="38">
        <v>0.81068300000000004</v>
      </c>
      <c r="AR23" s="31"/>
    </row>
    <row r="24" spans="1:44" ht="18" thickBot="1">
      <c r="A24" s="1" t="s">
        <v>23</v>
      </c>
      <c r="B24" s="2" t="s">
        <v>24</v>
      </c>
      <c r="C24" s="2" t="s">
        <v>25</v>
      </c>
      <c r="E24" s="7"/>
      <c r="F24" s="7" t="s">
        <v>236</v>
      </c>
      <c r="G24" s="8">
        <f>B32</f>
        <v>2.8476999999999999E-2</v>
      </c>
      <c r="H24" s="83"/>
      <c r="I24" s="84"/>
      <c r="K24" s="7"/>
      <c r="L24" s="9" t="str">
        <f t="shared" si="0"/>
        <v>Electricity [kWh]</v>
      </c>
      <c r="M24" s="44">
        <f t="shared" si="1"/>
        <v>1721.3567736666919</v>
      </c>
      <c r="N24" s="44" t="str">
        <f t="shared" si="2"/>
        <v>Foil rolling  (anode)</v>
      </c>
      <c r="P24" s="7"/>
      <c r="Q24" s="44" t="str">
        <f>L59</f>
        <v>NaOH solution (30%) [kg]</v>
      </c>
      <c r="R24" s="19">
        <f>M59</f>
        <v>46.722429202559532</v>
      </c>
      <c r="S24" s="44" t="str">
        <f>N59</f>
        <v>Final annealing (cathode)</v>
      </c>
      <c r="U24" s="44"/>
      <c r="V24" s="23" t="s">
        <v>381</v>
      </c>
      <c r="W24" s="26">
        <f>R36</f>
        <v>12.88597264945291</v>
      </c>
      <c r="X24" s="26" t="s">
        <v>278</v>
      </c>
      <c r="Y24" s="9" t="s">
        <v>451</v>
      </c>
      <c r="Z24" s="38">
        <v>1.49986</v>
      </c>
      <c r="AA24" s="38">
        <v>3.4193499999999998E-3</v>
      </c>
      <c r="AB24" s="38">
        <v>0.839893</v>
      </c>
      <c r="AC24" s="38">
        <v>3.5611000000000002E-3</v>
      </c>
      <c r="AD24" s="38">
        <v>3.7416400000000002E-4</v>
      </c>
      <c r="AE24" s="38">
        <v>4.04467E-6</v>
      </c>
      <c r="AF24" s="38">
        <v>8.2714099999999999E-4</v>
      </c>
      <c r="AG24" s="38">
        <v>0.137128</v>
      </c>
      <c r="AH24" s="38">
        <v>6.3357999999999999E-3</v>
      </c>
      <c r="AI24" s="38">
        <v>1.7436299999999998E-2</v>
      </c>
      <c r="AJ24" s="38">
        <v>1.2458700000000001E-3</v>
      </c>
      <c r="AK24" s="38">
        <v>2.04737E-5</v>
      </c>
      <c r="AL24" s="38">
        <v>7.4319899999999994E-2</v>
      </c>
      <c r="AM24" s="38">
        <v>3.2654799999999999E-3</v>
      </c>
      <c r="AN24" s="38">
        <v>3.2285399999999998E-3</v>
      </c>
      <c r="AO24" s="38">
        <v>3.13462E-7</v>
      </c>
      <c r="AP24" s="38">
        <v>1.1184899999999999E-2</v>
      </c>
      <c r="AQ24" s="38">
        <v>0.69994999999999996</v>
      </c>
      <c r="AR24" s="31"/>
    </row>
    <row r="25" spans="1:44" ht="18" thickBot="1">
      <c r="A25" s="1" t="s">
        <v>232</v>
      </c>
      <c r="B25" s="1">
        <v>680</v>
      </c>
      <c r="C25" s="1" t="s">
        <v>29</v>
      </c>
      <c r="E25" s="7"/>
      <c r="F25" s="7" t="s">
        <v>107</v>
      </c>
      <c r="G25" s="8">
        <f>B27</f>
        <v>42</v>
      </c>
      <c r="H25" s="83"/>
      <c r="I25" s="84"/>
      <c r="K25" s="7"/>
      <c r="L25" s="9" t="str">
        <f>F286</f>
        <v>NaOH solution (30%) [kg]</v>
      </c>
      <c r="M25" s="44">
        <f t="shared" si="1"/>
        <v>109.6965870133582</v>
      </c>
      <c r="N25" s="44" t="str">
        <f t="shared" si="2"/>
        <v>Final annealing (anode)</v>
      </c>
      <c r="P25" s="7"/>
      <c r="Q25" s="44" t="str">
        <f>L84</f>
        <v>NaOH solution (30%) [kg]</v>
      </c>
      <c r="R25" s="19">
        <f>M84</f>
        <v>525.94746661937563</v>
      </c>
      <c r="S25" s="44" t="str">
        <f>N84</f>
        <v>Corrosion reaction (anode)</v>
      </c>
      <c r="U25" s="44"/>
      <c r="V25" s="23" t="s">
        <v>382</v>
      </c>
      <c r="W25" s="26">
        <f>R37</f>
        <v>146.37399422996123</v>
      </c>
      <c r="X25" s="26" t="s">
        <v>276</v>
      </c>
      <c r="Y25" s="9" t="s">
        <v>452</v>
      </c>
      <c r="Z25" s="38">
        <v>0.12262099999999999</v>
      </c>
      <c r="AA25" s="38">
        <v>7.1858200000000005E-4</v>
      </c>
      <c r="AB25" s="38">
        <v>0.114513</v>
      </c>
      <c r="AC25" s="38">
        <v>4.3072899999999998E-4</v>
      </c>
      <c r="AD25" s="38">
        <v>5.9865499999999998E-5</v>
      </c>
      <c r="AE25" s="38">
        <v>4.58721E-7</v>
      </c>
      <c r="AF25" s="38">
        <v>9.6058500000000002E-5</v>
      </c>
      <c r="AG25" s="38">
        <v>2.54951E-2</v>
      </c>
      <c r="AH25" s="38">
        <v>1.56712E-3</v>
      </c>
      <c r="AI25" s="38">
        <v>3.4168100000000002E-3</v>
      </c>
      <c r="AJ25" s="38">
        <v>1.8923799999999999E-4</v>
      </c>
      <c r="AK25" s="38">
        <v>3.1852699999999998E-6</v>
      </c>
      <c r="AL25" s="38">
        <v>8.5769700000000004E-2</v>
      </c>
      <c r="AM25" s="38">
        <v>2.38562E-4</v>
      </c>
      <c r="AN25" s="38">
        <v>2.29099E-4</v>
      </c>
      <c r="AO25" s="38">
        <v>5.8665000000000003E-8</v>
      </c>
      <c r="AP25" s="38">
        <v>2.0363899999999999E-3</v>
      </c>
      <c r="AQ25" s="38">
        <v>5.5262699999999998E-2</v>
      </c>
      <c r="AR25" s="31"/>
    </row>
    <row r="26" spans="1:44" ht="16" thickBot="1">
      <c r="A26" s="1" t="s">
        <v>34</v>
      </c>
      <c r="B26" s="1">
        <v>420</v>
      </c>
      <c r="C26" s="1" t="s">
        <v>28</v>
      </c>
      <c r="E26" s="7"/>
      <c r="F26" s="7" t="s">
        <v>108</v>
      </c>
      <c r="G26" s="8">
        <f>ROUNDDOWN(1000/G25,0)</f>
        <v>23</v>
      </c>
      <c r="H26" s="83"/>
      <c r="I26" s="84"/>
      <c r="K26" s="7"/>
      <c r="L26" s="9" t="str">
        <f t="shared" si="0"/>
        <v>Electricity [kWh]</v>
      </c>
      <c r="M26" s="44">
        <f t="shared" si="1"/>
        <v>448.10020921494436</v>
      </c>
      <c r="N26" s="44" t="str">
        <f t="shared" si="2"/>
        <v>Final annealing (anode)</v>
      </c>
      <c r="P26" s="7"/>
      <c r="Q26" s="44" t="str">
        <f>L140</f>
        <v>NaOH solution (30%) [kg]</v>
      </c>
      <c r="R26" s="19">
        <f>M140</f>
        <v>537.63809359388779</v>
      </c>
      <c r="S26" s="44" t="str">
        <f>N140</f>
        <v>Corrosion reaction (cathode)</v>
      </c>
      <c r="U26" s="44"/>
      <c r="V26" s="23" t="s">
        <v>372</v>
      </c>
      <c r="W26" s="26">
        <f>R9</f>
        <v>776.74764622664782</v>
      </c>
      <c r="X26" s="26" t="s">
        <v>279</v>
      </c>
      <c r="Y26" s="9" t="s">
        <v>364</v>
      </c>
      <c r="Z26" s="38">
        <v>0.847584</v>
      </c>
      <c r="AA26" s="38">
        <v>7.2975899999999996E-4</v>
      </c>
      <c r="AB26" s="38">
        <v>0.339916</v>
      </c>
      <c r="AC26" s="38">
        <v>5.7778999999999997E-2</v>
      </c>
      <c r="AD26" s="38">
        <v>5.1511700000000001E-3</v>
      </c>
      <c r="AE26" s="38">
        <v>2.3839299999999999E-4</v>
      </c>
      <c r="AF26" s="38">
        <v>1.41019E-3</v>
      </c>
      <c r="AG26" s="38">
        <v>0.99465899999999996</v>
      </c>
      <c r="AH26" s="38">
        <v>0.43035899999999999</v>
      </c>
      <c r="AI26" s="38"/>
      <c r="AJ26" s="38">
        <v>3.3830800000000001E-2</v>
      </c>
      <c r="AK26" s="38">
        <v>7.27441E-5</v>
      </c>
      <c r="AL26" s="38">
        <v>6.3861400000000002E-3</v>
      </c>
      <c r="AM26" s="38">
        <v>3.59852E-3</v>
      </c>
      <c r="AN26" s="38">
        <v>3.5978300000000002E-3</v>
      </c>
      <c r="AO26" s="38">
        <v>7.6249899999999998E-7</v>
      </c>
      <c r="AP26" s="38">
        <v>2.43801E-3</v>
      </c>
      <c r="AQ26" s="38">
        <v>57.981299999999997</v>
      </c>
      <c r="AR26" s="31"/>
    </row>
    <row r="27" spans="1:44" ht="16" thickBot="1">
      <c r="A27" s="1" t="s">
        <v>233</v>
      </c>
      <c r="B27" s="1">
        <v>42</v>
      </c>
      <c r="C27" s="1" t="s">
        <v>26</v>
      </c>
      <c r="E27" s="7"/>
      <c r="F27" s="7" t="s">
        <v>67</v>
      </c>
      <c r="G27" s="8">
        <v>1.7</v>
      </c>
      <c r="H27" s="83"/>
      <c r="I27" s="84"/>
      <c r="K27" s="7"/>
      <c r="L27" s="9" t="str">
        <f t="shared" si="0"/>
        <v>N2 gas[kg]</v>
      </c>
      <c r="M27" s="44">
        <f t="shared" si="1"/>
        <v>4.4499558882777386</v>
      </c>
      <c r="N27" s="44" t="str">
        <f t="shared" si="2"/>
        <v>Final annealing (anode)</v>
      </c>
      <c r="P27" s="7"/>
      <c r="Q27" s="44" t="str">
        <f>L81</f>
        <v>Sulfur acid（98%）[kg]</v>
      </c>
      <c r="R27" s="19">
        <f>M81</f>
        <v>3134.6410407641761</v>
      </c>
      <c r="S27" s="44" t="str">
        <f>N81</f>
        <v>Corrosion reaction (anode)</v>
      </c>
      <c r="U27" s="44"/>
      <c r="V27" s="23" t="s">
        <v>223</v>
      </c>
      <c r="W27" s="26">
        <f>SUM(R45:R78)</f>
        <v>396508.14052031859</v>
      </c>
      <c r="X27" s="26" t="s">
        <v>274</v>
      </c>
      <c r="Y27" s="9" t="s">
        <v>365</v>
      </c>
      <c r="Z27" s="38">
        <v>0.74626700000000001</v>
      </c>
      <c r="AA27" s="38">
        <v>5.9655699999999995E-4</v>
      </c>
      <c r="AB27" s="38">
        <v>0.177042</v>
      </c>
      <c r="AC27" s="38">
        <v>5.8776599999999998E-3</v>
      </c>
      <c r="AD27" s="38">
        <v>3.46737E-5</v>
      </c>
      <c r="AE27" s="38">
        <v>2.8604100000000001E-7</v>
      </c>
      <c r="AF27" s="38">
        <v>3.3867100000000002E-4</v>
      </c>
      <c r="AG27" s="38">
        <v>3.2416399999999998E-2</v>
      </c>
      <c r="AH27" s="38">
        <v>1.86786E-3</v>
      </c>
      <c r="AI27" s="38">
        <v>5.9289399999999997E-3</v>
      </c>
      <c r="AJ27" s="38">
        <v>2.3948700000000001E-4</v>
      </c>
      <c r="AK27" s="38">
        <v>5.4877E-6</v>
      </c>
      <c r="AL27" s="38">
        <v>5.1124500000000002E-4</v>
      </c>
      <c r="AM27" s="38">
        <v>1.40748E-3</v>
      </c>
      <c r="AN27" s="38">
        <v>1.40029E-3</v>
      </c>
      <c r="AO27" s="38">
        <v>1.29793E-7</v>
      </c>
      <c r="AP27" s="38">
        <v>1.69472E-3</v>
      </c>
      <c r="AQ27" s="38">
        <v>0.268953</v>
      </c>
      <c r="AR27" s="31"/>
    </row>
    <row r="28" spans="1:44" ht="16" thickBot="1">
      <c r="A28" s="1" t="s">
        <v>326</v>
      </c>
      <c r="B28" s="1">
        <v>48</v>
      </c>
      <c r="C28" s="1" t="s">
        <v>26</v>
      </c>
      <c r="E28" s="7"/>
      <c r="F28" s="7" t="s">
        <v>95</v>
      </c>
      <c r="G28" s="8">
        <v>1</v>
      </c>
      <c r="H28" s="91"/>
      <c r="I28" s="92"/>
      <c r="K28" s="44" t="s">
        <v>191</v>
      </c>
      <c r="L28" s="9" t="str">
        <f t="shared" si="0"/>
        <v>0.12mm Al blank coil [kg]</v>
      </c>
      <c r="M28" s="44">
        <f t="shared" si="1"/>
        <v>3449.578207967239</v>
      </c>
      <c r="N28" s="44" t="str">
        <f t="shared" si="2"/>
        <v>Production of Al blank foil  (anode)</v>
      </c>
      <c r="P28" s="7"/>
      <c r="Q28" s="44" t="str">
        <f>L137</f>
        <v>Sulfur acid（98%）[kg]</v>
      </c>
      <c r="R28" s="19">
        <f>M137</f>
        <v>3204.3257607702053</v>
      </c>
      <c r="S28" s="44" t="str">
        <f>N137</f>
        <v>Corrosion reaction  (cathode)</v>
      </c>
      <c r="U28" s="44"/>
      <c r="V28" s="23" t="s">
        <v>224</v>
      </c>
      <c r="W28" s="26">
        <f>SUM(R79:R103)</f>
        <v>764409.7403446635</v>
      </c>
      <c r="X28" s="26" t="s">
        <v>274</v>
      </c>
      <c r="Y28" s="9" t="s">
        <v>415</v>
      </c>
      <c r="Z28" s="38">
        <v>1.94959E-3</v>
      </c>
      <c r="AA28" s="38">
        <v>1.4158799999999999E-6</v>
      </c>
      <c r="AB28" s="38">
        <v>5.28927E-4</v>
      </c>
      <c r="AC28" s="38">
        <v>1.01206E-3</v>
      </c>
      <c r="AD28" s="38">
        <v>1.09284E-6</v>
      </c>
      <c r="AE28" s="38">
        <v>5.8598099999999998E-8</v>
      </c>
      <c r="AF28" s="38">
        <v>5.5744100000000002E-6</v>
      </c>
      <c r="AG28" s="38">
        <v>3.2668399999999999E-4</v>
      </c>
      <c r="AH28" s="38">
        <v>3.7597600000000002E-6</v>
      </c>
      <c r="AI28" s="38">
        <v>1.24872E-5</v>
      </c>
      <c r="AJ28" s="38">
        <v>1.9122600000000001E-6</v>
      </c>
      <c r="AK28" s="38">
        <v>1.3133900000000001E-7</v>
      </c>
      <c r="AL28" s="38">
        <v>5.0101300000000001E-5</v>
      </c>
      <c r="AM28" s="38">
        <v>3.7526100000000001E-6</v>
      </c>
      <c r="AN28" s="38">
        <v>3.7316800000000001E-6</v>
      </c>
      <c r="AO28" s="38">
        <v>6.4918100000000004E-10</v>
      </c>
      <c r="AP28" s="38">
        <v>4.0810000000000004E-6</v>
      </c>
      <c r="AQ28" s="38">
        <v>5.6051699999999996E-4</v>
      </c>
      <c r="AR28" s="31"/>
    </row>
    <row r="29" spans="1:44" ht="16" thickBot="1">
      <c r="A29" s="1" t="s">
        <v>30</v>
      </c>
      <c r="B29" s="1">
        <v>0.12</v>
      </c>
      <c r="C29" s="1" t="s">
        <v>26</v>
      </c>
      <c r="E29" s="7" t="s">
        <v>44</v>
      </c>
      <c r="F29" s="7" t="s">
        <v>215</v>
      </c>
      <c r="G29" s="8">
        <f>ROUND(G24*((G22/2)^2-(G21/2)^2)*3.14*G20/G23/100/1000,3)</f>
        <v>455.23899999999998</v>
      </c>
      <c r="H29" s="19">
        <f>H$31/G$31*G29</f>
        <v>2995.4791955674741</v>
      </c>
      <c r="I29" s="8" t="s">
        <v>109</v>
      </c>
      <c r="K29" s="7"/>
      <c r="L29" s="9" t="str">
        <f t="shared" si="0"/>
        <v>Al scraps [kg]</v>
      </c>
      <c r="M29" s="44">
        <f t="shared" si="1"/>
        <v>180.2148618648506</v>
      </c>
      <c r="N29" s="44" t="str">
        <f t="shared" si="2"/>
        <v>Al smelting preparation  (anode)</v>
      </c>
      <c r="P29" s="7"/>
      <c r="Q29" s="44" t="str">
        <f>L82</f>
        <v>Nitric acid（98%）[kg]</v>
      </c>
      <c r="R29" s="19">
        <f>M82</f>
        <v>157.78157621885674</v>
      </c>
      <c r="S29" s="44" t="str">
        <f>N82</f>
        <v>Corrosion reaction (anode)</v>
      </c>
      <c r="U29" s="44"/>
      <c r="V29" s="23" t="s">
        <v>446</v>
      </c>
      <c r="W29" s="26">
        <f>SUM(R104:R108)</f>
        <v>431244.48847841029</v>
      </c>
      <c r="X29" s="26" t="s">
        <v>274</v>
      </c>
      <c r="Y29" s="9" t="s">
        <v>416</v>
      </c>
      <c r="Z29" s="38">
        <v>1.74554E-4</v>
      </c>
      <c r="AA29" s="38">
        <v>1.14732E-7</v>
      </c>
      <c r="AB29" s="38">
        <v>5.7206900000000003E-5</v>
      </c>
      <c r="AC29" s="38">
        <v>1.0008199999999999E-3</v>
      </c>
      <c r="AD29" s="38">
        <v>2.0529999999999999E-7</v>
      </c>
      <c r="AE29" s="38">
        <v>1.1627400000000001E-8</v>
      </c>
      <c r="AF29" s="38">
        <v>9.9805999999999998E-7</v>
      </c>
      <c r="AG29" s="38">
        <v>5.1138699999999999E-5</v>
      </c>
      <c r="AH29" s="38">
        <v>5.4877300000000004E-7</v>
      </c>
      <c r="AI29" s="38">
        <v>2.44422E-6</v>
      </c>
      <c r="AJ29" s="38">
        <v>3.1434699999999998E-7</v>
      </c>
      <c r="AK29" s="38">
        <v>2.3194100000000001E-8</v>
      </c>
      <c r="AL29" s="38">
        <v>5.4426099999999997E-5</v>
      </c>
      <c r="AM29" s="38">
        <v>2.58646E-7</v>
      </c>
      <c r="AN29" s="38">
        <v>2.5646000000000001E-7</v>
      </c>
      <c r="AO29" s="38">
        <v>7.8482000000000001E-11</v>
      </c>
      <c r="AP29" s="38">
        <v>3.1991200000000001E-7</v>
      </c>
      <c r="AQ29" s="38">
        <v>5.5326299999999999E-5</v>
      </c>
      <c r="AR29" s="31"/>
    </row>
    <row r="30" spans="1:44" ht="16" thickBot="1">
      <c r="A30" s="1" t="s">
        <v>31</v>
      </c>
      <c r="B30" s="1">
        <v>0.05</v>
      </c>
      <c r="C30" s="1" t="s">
        <v>26</v>
      </c>
      <c r="E30" s="7"/>
      <c r="F30" s="9" t="s">
        <v>59</v>
      </c>
      <c r="G30" s="8">
        <f>ROUND(((G22/2)^2-(G21/2)^2)*3.14/G23/1000/G28/3600*G27,3)</f>
        <v>0.755</v>
      </c>
      <c r="H30" s="19">
        <f>H$31/G$31*G30</f>
        <v>4.9679109053781492</v>
      </c>
      <c r="I30" s="8" t="s">
        <v>109</v>
      </c>
      <c r="K30" s="7"/>
      <c r="L30" s="9" t="str">
        <f t="shared" si="0"/>
        <v>Dust[kg]</v>
      </c>
      <c r="M30" s="44">
        <f t="shared" si="1"/>
        <v>1.3418859228992559</v>
      </c>
      <c r="N30" s="44" t="str">
        <f t="shared" si="2"/>
        <v>Al smelting preparation  (anode)</v>
      </c>
      <c r="P30" s="7"/>
      <c r="Q30" s="44" t="str">
        <f>L138</f>
        <v>Nitric acid（98%）[kg]</v>
      </c>
      <c r="R30" s="19">
        <f>M138</f>
        <v>161.29227900023966</v>
      </c>
      <c r="S30" s="44" t="str">
        <f>N138</f>
        <v>Corrosion reaction  (cathode)</v>
      </c>
      <c r="U30" s="44"/>
      <c r="V30" s="23" t="s">
        <v>447</v>
      </c>
      <c r="W30" s="26">
        <f>R44</f>
        <v>10.947045999999999</v>
      </c>
      <c r="X30" s="26" t="s">
        <v>111</v>
      </c>
      <c r="Y30" s="9" t="s">
        <v>366</v>
      </c>
      <c r="Z30" s="38">
        <v>16.701699999999999</v>
      </c>
      <c r="AA30" s="38">
        <v>8.0924399999999994E-3</v>
      </c>
      <c r="AB30" s="38">
        <v>7.0902900000000004</v>
      </c>
      <c r="AC30" s="38">
        <v>6.8993600000000002E-2</v>
      </c>
      <c r="AD30" s="38">
        <v>1.55258E-3</v>
      </c>
      <c r="AE30" s="38">
        <v>1.41854E-5</v>
      </c>
      <c r="AF30" s="38">
        <v>5.2652599999999999E-3</v>
      </c>
      <c r="AG30" s="38">
        <v>0.60205299999999995</v>
      </c>
      <c r="AH30" s="38">
        <v>0.15775400000000001</v>
      </c>
      <c r="AI30" s="38">
        <v>0.171456</v>
      </c>
      <c r="AJ30" s="38">
        <v>4.9522699999999999E-3</v>
      </c>
      <c r="AK30" s="38">
        <v>3.16411E-4</v>
      </c>
      <c r="AL30" s="38">
        <v>8.5854E-3</v>
      </c>
      <c r="AM30" s="38">
        <v>3.2446599999999999E-2</v>
      </c>
      <c r="AN30" s="38">
        <v>3.20398E-2</v>
      </c>
      <c r="AO30" s="38">
        <v>5.77355E-6</v>
      </c>
      <c r="AP30" s="38">
        <v>2.4544099999999999E-2</v>
      </c>
      <c r="AQ30" s="38">
        <v>3.0383300000000002</v>
      </c>
      <c r="AR30" s="31"/>
    </row>
    <row r="31" spans="1:44" ht="16" thickBot="1">
      <c r="A31" s="1" t="s">
        <v>327</v>
      </c>
      <c r="B31" s="1">
        <v>4.9500000000000002E-2</v>
      </c>
      <c r="C31" s="1" t="s">
        <v>26</v>
      </c>
      <c r="E31" s="7" t="s">
        <v>45</v>
      </c>
      <c r="F31" s="9" t="s">
        <v>83</v>
      </c>
      <c r="G31" s="8">
        <f>G29-G32</f>
        <v>439.76099999999997</v>
      </c>
      <c r="H31" s="19">
        <f>H79</f>
        <v>2893.6337319999998</v>
      </c>
      <c r="I31" s="8" t="s">
        <v>109</v>
      </c>
      <c r="K31" s="7"/>
      <c r="L31" s="9" t="str">
        <f t="shared" si="0"/>
        <v>Wastewater [kg]</v>
      </c>
      <c r="M31" s="44">
        <f t="shared" si="1"/>
        <v>4131.0096119581904</v>
      </c>
      <c r="N31" s="44" t="str">
        <f t="shared" si="2"/>
        <v>Production of Al blank foil  (anode)</v>
      </c>
      <c r="P31" s="7"/>
      <c r="Q31" s="44" t="str">
        <f>L83</f>
        <v>Hydrochloric acid（31%）[kg]</v>
      </c>
      <c r="R31" s="19">
        <f>M83</f>
        <v>525.94746661937563</v>
      </c>
      <c r="S31" s="44" t="str">
        <f>N83</f>
        <v>Corrosion reaction (anode)</v>
      </c>
      <c r="U31" s="44"/>
      <c r="V31" s="23" t="s">
        <v>222</v>
      </c>
      <c r="W31" s="26">
        <f>SUM(R40:R41)</f>
        <v>0.15740278361350213</v>
      </c>
      <c r="X31" s="26" t="s">
        <v>280</v>
      </c>
      <c r="Y31" s="9" t="s">
        <v>417</v>
      </c>
      <c r="Z31" s="38">
        <v>0.351688</v>
      </c>
      <c r="AA31" s="38">
        <v>1.2640199999999999E-4</v>
      </c>
      <c r="AB31" s="38">
        <v>0.611313</v>
      </c>
      <c r="AC31" s="38">
        <v>5.4907199999999995E-4</v>
      </c>
      <c r="AD31" s="38">
        <v>3.1074900000000003E-5</v>
      </c>
      <c r="AE31" s="38">
        <v>1.12506E-7</v>
      </c>
      <c r="AF31" s="38">
        <v>3.63119E-5</v>
      </c>
      <c r="AG31" s="38">
        <v>8.6531000000000004E-3</v>
      </c>
      <c r="AH31" s="38">
        <v>1.33934E-4</v>
      </c>
      <c r="AI31" s="38">
        <v>4.4912900000000002E-3</v>
      </c>
      <c r="AJ31" s="38">
        <v>8.8890799999999999E-5</v>
      </c>
      <c r="AK31" s="38">
        <v>1.11215E-6</v>
      </c>
      <c r="AL31" s="38">
        <v>5.59755E-4</v>
      </c>
      <c r="AM31" s="38">
        <v>6.0046399999999999E-4</v>
      </c>
      <c r="AN31" s="38">
        <v>5.9555899999999995E-4</v>
      </c>
      <c r="AO31" s="38">
        <v>2.4517399999999999E-8</v>
      </c>
      <c r="AP31" s="38">
        <v>3.3331600000000001E-4</v>
      </c>
      <c r="AQ31" s="38">
        <v>6.0876899999999998E-2</v>
      </c>
      <c r="AR31" s="31"/>
    </row>
    <row r="32" spans="1:44" ht="16" thickBot="1">
      <c r="A32" s="1" t="s">
        <v>235</v>
      </c>
      <c r="B32" s="1">
        <v>2.8476999999999999E-2</v>
      </c>
      <c r="C32" s="1" t="s">
        <v>27</v>
      </c>
      <c r="E32" s="7"/>
      <c r="F32" s="9" t="s">
        <v>86</v>
      </c>
      <c r="G32" s="8">
        <f>ROUND((1-G26*G25/G20)*G29,3)</f>
        <v>15.478</v>
      </c>
      <c r="H32" s="19">
        <f>H$31/G$31*G32</f>
        <v>101.84546356747416</v>
      </c>
      <c r="I32" s="8" t="s">
        <v>109</v>
      </c>
      <c r="K32" s="7"/>
      <c r="L32" s="9" t="str">
        <f t="shared" si="0"/>
        <v>COD [kg]</v>
      </c>
      <c r="M32" s="44">
        <f t="shared" si="1"/>
        <v>0.28976456946924806</v>
      </c>
      <c r="N32" s="44" t="str">
        <f t="shared" si="2"/>
        <v>Production of Al blank foil  (anode)</v>
      </c>
      <c r="P32" s="7"/>
      <c r="Q32" s="44" t="str">
        <f>L139</f>
        <v>Hydrochloric acid（31%）[kg]</v>
      </c>
      <c r="R32" s="19">
        <f>M139</f>
        <v>537.63809359388779</v>
      </c>
      <c r="S32" s="44" t="str">
        <f>N139</f>
        <v>Corrosion reaction  (cathode)</v>
      </c>
      <c r="U32" s="44"/>
      <c r="V32" s="23" t="s">
        <v>221</v>
      </c>
      <c r="W32" s="26">
        <f>SUM(R38:R39)</f>
        <v>0.92231389681747333</v>
      </c>
      <c r="X32" s="26" t="s">
        <v>281</v>
      </c>
      <c r="Y32" s="9" t="s">
        <v>418</v>
      </c>
      <c r="Z32" s="38">
        <v>0.25198300000000001</v>
      </c>
      <c r="AA32" s="38">
        <v>6.6722699999999997E-5</v>
      </c>
      <c r="AB32" s="38">
        <v>7.4138899999999994E-2</v>
      </c>
      <c r="AC32" s="38">
        <v>1.0476999999999999E-3</v>
      </c>
      <c r="AD32" s="38">
        <v>1.6456400000000001E-5</v>
      </c>
      <c r="AE32" s="38">
        <v>1.09231E-6</v>
      </c>
      <c r="AF32" s="38">
        <v>8.5273999999999997E-5</v>
      </c>
      <c r="AG32" s="38">
        <v>5.6793700000000004E-3</v>
      </c>
      <c r="AH32" s="38">
        <v>4.6072300000000004E-3</v>
      </c>
      <c r="AI32" s="38">
        <v>2.0783900000000001E-2</v>
      </c>
      <c r="AJ32" s="38">
        <v>4.2283100000000002E-5</v>
      </c>
      <c r="AK32" s="38">
        <v>8.2435699999999997E-6</v>
      </c>
      <c r="AL32" s="38">
        <v>4.9065299999999997E-4</v>
      </c>
      <c r="AM32" s="38">
        <v>2.5340999999999997E-4</v>
      </c>
      <c r="AN32" s="38">
        <v>2.5239000000000001E-4</v>
      </c>
      <c r="AO32" s="38">
        <v>1.2539399999999999E-7</v>
      </c>
      <c r="AP32" s="38">
        <v>2.1529700000000001E-4</v>
      </c>
      <c r="AQ32" s="38">
        <v>4.4134800000000002E-2</v>
      </c>
      <c r="AR32" s="31"/>
    </row>
    <row r="33" spans="1:44" ht="18" thickBot="1">
      <c r="A33" s="1" t="s">
        <v>234</v>
      </c>
      <c r="B33" s="1">
        <v>9.7450000000000002E-3</v>
      </c>
      <c r="C33" s="1" t="s">
        <v>27</v>
      </c>
      <c r="K33" s="7"/>
      <c r="L33" s="9" t="str">
        <f t="shared" si="0"/>
        <v>SS [kg]</v>
      </c>
      <c r="M33" s="44">
        <f t="shared" si="1"/>
        <v>0.28976456946924806</v>
      </c>
      <c r="N33" s="44" t="str">
        <f t="shared" si="2"/>
        <v>Production of Al blank foil  (anode)</v>
      </c>
      <c r="P33" s="7"/>
      <c r="Q33" s="44" t="str">
        <f t="shared" ref="Q33:S36" si="4">L89</f>
        <v>Ammonium citrate [kg]</v>
      </c>
      <c r="R33" s="19">
        <f t="shared" si="4"/>
        <v>281.91311636655814</v>
      </c>
      <c r="S33" s="44" t="str">
        <f t="shared" si="4"/>
        <v>Formation process</v>
      </c>
      <c r="U33" s="44"/>
      <c r="V33" s="23" t="s">
        <v>383</v>
      </c>
      <c r="W33" s="26">
        <f>SUM(R42:R43)</f>
        <v>6.3452997144193048</v>
      </c>
      <c r="X33" s="44" t="s">
        <v>282</v>
      </c>
      <c r="Y33" s="9" t="s">
        <v>448</v>
      </c>
      <c r="Z33" s="38">
        <v>0.121312</v>
      </c>
      <c r="AA33" s="38">
        <v>9.6980100000000003E-5</v>
      </c>
      <c r="AB33" s="38">
        <v>2.8609800000000001E-2</v>
      </c>
      <c r="AC33" s="38">
        <v>9.3013700000000004E-4</v>
      </c>
      <c r="AD33" s="38">
        <v>5.6302699999999997E-6</v>
      </c>
      <c r="AE33" s="38">
        <v>4.7285899999999999E-8</v>
      </c>
      <c r="AF33" s="38">
        <v>5.4057000000000001E-5</v>
      </c>
      <c r="AG33" s="38">
        <v>5.2815800000000001E-3</v>
      </c>
      <c r="AH33" s="38">
        <v>2.73701E-4</v>
      </c>
      <c r="AI33" s="38">
        <v>9.3528800000000005E-4</v>
      </c>
      <c r="AJ33" s="38">
        <v>3.8877900000000003E-5</v>
      </c>
      <c r="AK33" s="38">
        <v>8.7921499999999998E-7</v>
      </c>
      <c r="AL33" s="38">
        <v>8.3813799999999994E-5</v>
      </c>
      <c r="AM33" s="38">
        <v>2.2830800000000001E-4</v>
      </c>
      <c r="AN33" s="38">
        <v>2.2714600000000001E-4</v>
      </c>
      <c r="AO33" s="38">
        <v>2.1027200000000001E-8</v>
      </c>
      <c r="AP33" s="38">
        <v>2.7537599999999997E-4</v>
      </c>
      <c r="AQ33" s="38">
        <v>4.3605999999999999E-2</v>
      </c>
      <c r="AR33" s="31"/>
    </row>
    <row r="34" spans="1:44" ht="16" thickBot="1">
      <c r="A34" s="1" t="s">
        <v>328</v>
      </c>
      <c r="B34" s="1">
        <f>0.00298</f>
        <v>2.98E-3</v>
      </c>
      <c r="C34" s="1" t="s">
        <v>27</v>
      </c>
      <c r="E34" s="79" t="s">
        <v>39</v>
      </c>
      <c r="F34" s="80"/>
      <c r="G34" s="34" t="s">
        <v>374</v>
      </c>
      <c r="H34" s="34" t="s">
        <v>373</v>
      </c>
      <c r="I34" s="34" t="s">
        <v>290</v>
      </c>
      <c r="K34" s="7"/>
      <c r="L34" s="9" t="str">
        <f t="shared" si="0"/>
        <v>BOD [kg]</v>
      </c>
      <c r="M34" s="44">
        <f t="shared" si="1"/>
        <v>1.817927715598735</v>
      </c>
      <c r="N34" s="44" t="str">
        <f t="shared" si="2"/>
        <v>Production of Al blank foil  (anode)</v>
      </c>
      <c r="P34" s="7"/>
      <c r="Q34" s="44" t="str">
        <f t="shared" si="4"/>
        <v>Ammonium pentaborate [kg]</v>
      </c>
      <c r="R34" s="19">
        <f t="shared" si="4"/>
        <v>77.322495314107357</v>
      </c>
      <c r="S34" s="44" t="str">
        <f t="shared" si="4"/>
        <v>Formation process</v>
      </c>
      <c r="U34" s="44" t="s">
        <v>45</v>
      </c>
      <c r="V34" s="23" t="s">
        <v>344</v>
      </c>
      <c r="W34" s="26">
        <f>R109</f>
        <v>100000</v>
      </c>
      <c r="X34" s="26" t="s">
        <v>287</v>
      </c>
      <c r="Y34" s="26" t="s">
        <v>22</v>
      </c>
      <c r="Z34" s="38"/>
      <c r="AA34" s="38"/>
      <c r="AB34" s="38"/>
      <c r="AC34" s="38"/>
      <c r="AD34" s="38"/>
      <c r="AE34" s="38"/>
      <c r="AF34" s="38"/>
      <c r="AG34" s="38"/>
      <c r="AH34" s="38"/>
      <c r="AI34" s="38"/>
      <c r="AJ34" s="38"/>
      <c r="AK34" s="38"/>
      <c r="AL34" s="38"/>
      <c r="AM34" s="38"/>
      <c r="AN34" s="38"/>
      <c r="AO34" s="38"/>
      <c r="AP34" s="38"/>
      <c r="AQ34" s="38"/>
      <c r="AR34" s="31"/>
    </row>
    <row r="35" spans="1:44" ht="20" thickBot="1">
      <c r="A35" s="1" t="s">
        <v>32</v>
      </c>
      <c r="B35" s="1">
        <v>2276</v>
      </c>
      <c r="C35" s="1" t="s">
        <v>26</v>
      </c>
      <c r="E35" s="7" t="s">
        <v>43</v>
      </c>
      <c r="F35" s="7" t="s">
        <v>104</v>
      </c>
      <c r="G35" s="8">
        <v>1000</v>
      </c>
      <c r="H35" s="81" t="s">
        <v>22</v>
      </c>
      <c r="I35" s="82"/>
      <c r="K35" s="7"/>
      <c r="L35" s="9" t="str">
        <f t="shared" si="0"/>
        <v>NH3-N [kg]</v>
      </c>
      <c r="M35" s="44">
        <f t="shared" si="1"/>
        <v>8.2789876991213734E-2</v>
      </c>
      <c r="N35" s="44" t="str">
        <f t="shared" si="2"/>
        <v>Production of Al blank foil  (anode)</v>
      </c>
      <c r="P35" s="7"/>
      <c r="Q35" s="44" t="str">
        <f t="shared" si="4"/>
        <v>H3PO4 [kg]</v>
      </c>
      <c r="R35" s="19">
        <f t="shared" si="4"/>
        <v>805.46319272557037</v>
      </c>
      <c r="S35" s="44" t="str">
        <f t="shared" si="4"/>
        <v>Passivation</v>
      </c>
      <c r="U35" s="44"/>
      <c r="V35" s="23" t="s">
        <v>386</v>
      </c>
      <c r="W35" s="26">
        <f>R110</f>
        <v>103.74040409983328</v>
      </c>
      <c r="X35" s="44" t="s">
        <v>283</v>
      </c>
      <c r="Y35" s="26" t="s">
        <v>22</v>
      </c>
      <c r="Z35" s="38"/>
      <c r="AA35" s="38"/>
      <c r="AB35" s="38"/>
      <c r="AC35" s="38"/>
      <c r="AD35" s="38"/>
      <c r="AE35" s="38"/>
      <c r="AF35" s="38"/>
      <c r="AG35" s="38"/>
      <c r="AH35" s="38"/>
      <c r="AI35" s="38"/>
      <c r="AJ35" s="38"/>
      <c r="AK35" s="38"/>
      <c r="AL35" s="38"/>
      <c r="AM35" s="38"/>
      <c r="AN35" s="38"/>
      <c r="AO35" s="38"/>
      <c r="AP35" s="38"/>
      <c r="AQ35" s="38"/>
      <c r="AR35" s="31"/>
    </row>
    <row r="36" spans="1:44" ht="17" thickBot="1">
      <c r="A36" s="1" t="s">
        <v>33</v>
      </c>
      <c r="B36" s="1">
        <v>2326</v>
      </c>
      <c r="C36" s="1" t="s">
        <v>26</v>
      </c>
      <c r="E36" s="7"/>
      <c r="F36" s="7" t="s">
        <v>105</v>
      </c>
      <c r="G36" s="8">
        <v>75</v>
      </c>
      <c r="H36" s="83"/>
      <c r="I36" s="84"/>
      <c r="P36" s="7"/>
      <c r="Q36" s="44" t="str">
        <f t="shared" si="4"/>
        <v>NH4H2PO4 [kg]</v>
      </c>
      <c r="R36" s="19">
        <f t="shared" si="4"/>
        <v>12.88597264945291</v>
      </c>
      <c r="S36" s="44" t="str">
        <f t="shared" si="4"/>
        <v>Phosphating</v>
      </c>
      <c r="U36" s="44"/>
      <c r="V36" s="23" t="s">
        <v>345</v>
      </c>
      <c r="W36" s="26">
        <f>R112+R111</f>
        <v>6282</v>
      </c>
      <c r="X36" s="26" t="s">
        <v>274</v>
      </c>
      <c r="Y36" s="9" t="s">
        <v>387</v>
      </c>
      <c r="Z36" s="38"/>
      <c r="AA36" s="38"/>
      <c r="AB36" s="38"/>
      <c r="AC36" s="38"/>
      <c r="AD36" s="38"/>
      <c r="AE36" s="38"/>
      <c r="AF36" s="38"/>
      <c r="AG36" s="38"/>
      <c r="AH36" s="38"/>
      <c r="AI36" s="38"/>
      <c r="AJ36" s="38"/>
      <c r="AK36" s="38"/>
      <c r="AL36" s="38"/>
      <c r="AM36" s="38"/>
      <c r="AN36" s="38"/>
      <c r="AO36" s="38"/>
      <c r="AP36" s="38"/>
      <c r="AQ36" s="38"/>
      <c r="AR36" s="31"/>
    </row>
    <row r="37" spans="1:44" ht="18" customHeight="1" thickBot="1">
      <c r="A37" s="1" t="s">
        <v>329</v>
      </c>
      <c r="B37" s="1">
        <v>4902</v>
      </c>
      <c r="C37" s="1" t="s">
        <v>26</v>
      </c>
      <c r="E37" s="7"/>
      <c r="F37" s="7" t="s">
        <v>106</v>
      </c>
      <c r="G37" s="8">
        <v>500</v>
      </c>
      <c r="H37" s="83"/>
      <c r="I37" s="84"/>
      <c r="P37" s="7"/>
      <c r="Q37" s="44" t="str">
        <f>L88</f>
        <v>HBO3 [kg]</v>
      </c>
      <c r="R37" s="19">
        <f>M88</f>
        <v>146.37399422996123</v>
      </c>
      <c r="S37" s="44" t="str">
        <f>N88</f>
        <v>Formation process</v>
      </c>
      <c r="U37" s="44"/>
      <c r="V37" s="23" t="s">
        <v>346</v>
      </c>
      <c r="W37" s="26">
        <f>SUM(R113:R117)+R119+R120</f>
        <v>433.64035297292185</v>
      </c>
      <c r="X37" s="26" t="s">
        <v>274</v>
      </c>
      <c r="Y37" s="9" t="s">
        <v>387</v>
      </c>
      <c r="Z37" s="38"/>
      <c r="AA37" s="38"/>
      <c r="AB37" s="38"/>
      <c r="AC37" s="38"/>
      <c r="AD37" s="38"/>
      <c r="AE37" s="38"/>
      <c r="AF37" s="38"/>
      <c r="AG37" s="38"/>
      <c r="AH37" s="38"/>
      <c r="AI37" s="38"/>
      <c r="AJ37" s="38"/>
      <c r="AK37" s="38"/>
      <c r="AL37" s="38"/>
      <c r="AM37" s="38"/>
      <c r="AN37" s="38"/>
      <c r="AO37" s="38"/>
      <c r="AP37" s="38"/>
      <c r="AQ37" s="38"/>
      <c r="AR37" s="31"/>
    </row>
    <row r="38" spans="1:44" ht="17" thickBot="1">
      <c r="A38" s="1" t="s">
        <v>35</v>
      </c>
      <c r="B38" s="1">
        <v>55</v>
      </c>
      <c r="C38" s="1" t="s">
        <v>26</v>
      </c>
      <c r="E38" s="7"/>
      <c r="F38" s="7" t="s">
        <v>99</v>
      </c>
      <c r="G38" s="8">
        <f>B30</f>
        <v>0.05</v>
      </c>
      <c r="H38" s="83"/>
      <c r="I38" s="84"/>
      <c r="P38" s="7"/>
      <c r="Q38" s="44" t="str">
        <f>L9</f>
        <v>Ar gas [kg]</v>
      </c>
      <c r="R38" s="19">
        <f>M9</f>
        <v>0.65197028130580814</v>
      </c>
      <c r="S38" s="44" t="str">
        <f>N9</f>
        <v>Al smelting preparation  (anode)</v>
      </c>
      <c r="U38" s="44"/>
      <c r="V38" s="23" t="s">
        <v>347</v>
      </c>
      <c r="W38" s="26">
        <f>R118+R121</f>
        <v>31.498262226647906</v>
      </c>
      <c r="X38" s="26" t="s">
        <v>274</v>
      </c>
      <c r="Y38" s="9" t="s">
        <v>387</v>
      </c>
      <c r="Z38" s="38"/>
      <c r="AA38" s="38"/>
      <c r="AB38" s="38"/>
      <c r="AC38" s="38"/>
      <c r="AD38" s="38"/>
      <c r="AE38" s="38"/>
      <c r="AF38" s="38"/>
      <c r="AG38" s="38"/>
      <c r="AH38" s="38"/>
      <c r="AI38" s="38"/>
      <c r="AJ38" s="38"/>
      <c r="AK38" s="38"/>
      <c r="AL38" s="38"/>
      <c r="AM38" s="38"/>
      <c r="AN38" s="38"/>
      <c r="AO38" s="38"/>
      <c r="AP38" s="38"/>
      <c r="AQ38" s="38"/>
      <c r="AR38" s="31"/>
    </row>
    <row r="39" spans="1:44" ht="17" thickBot="1">
      <c r="A39" s="1" t="s">
        <v>36</v>
      </c>
      <c r="B39" s="1">
        <v>4.7</v>
      </c>
      <c r="C39" s="1" t="s">
        <v>26</v>
      </c>
      <c r="E39" s="7"/>
      <c r="F39" s="13" t="s">
        <v>237</v>
      </c>
      <c r="G39" s="8">
        <f>B33</f>
        <v>9.7450000000000002E-3</v>
      </c>
      <c r="H39" s="83"/>
      <c r="I39" s="84"/>
      <c r="K39" s="76" t="s">
        <v>195</v>
      </c>
      <c r="L39" s="77"/>
      <c r="M39" s="77"/>
      <c r="N39" s="78"/>
      <c r="P39" s="7"/>
      <c r="Q39" s="44" t="str">
        <f>L43</f>
        <v>Ar gas [kg]</v>
      </c>
      <c r="R39" s="19">
        <f>M43</f>
        <v>0.27034361551166525</v>
      </c>
      <c r="S39" s="44" t="str">
        <f>N43</f>
        <v>Al smelting preparation  (cathode)</v>
      </c>
      <c r="U39" s="44"/>
      <c r="V39" s="23" t="s">
        <v>348</v>
      </c>
      <c r="W39" s="26">
        <f>R122</f>
        <v>97.633718353296686</v>
      </c>
      <c r="X39" s="26" t="s">
        <v>288</v>
      </c>
      <c r="Y39" s="9" t="s">
        <v>406</v>
      </c>
      <c r="Z39" s="38"/>
      <c r="AA39" s="38"/>
      <c r="AB39" s="38"/>
      <c r="AC39" s="38"/>
      <c r="AD39" s="38"/>
      <c r="AE39" s="38"/>
      <c r="AF39" s="38"/>
      <c r="AG39" s="38"/>
      <c r="AH39" s="38"/>
      <c r="AI39" s="38"/>
      <c r="AJ39" s="38"/>
      <c r="AK39" s="38"/>
      <c r="AL39" s="38"/>
      <c r="AM39" s="38"/>
      <c r="AN39" s="38"/>
      <c r="AO39" s="38"/>
      <c r="AP39" s="38"/>
      <c r="AQ39" s="38"/>
      <c r="AR39" s="31"/>
    </row>
    <row r="40" spans="1:44" ht="19" thickBot="1">
      <c r="A40" s="1" t="s">
        <v>37</v>
      </c>
      <c r="B40" s="1">
        <v>0.1</v>
      </c>
      <c r="C40" s="1" t="s">
        <v>26</v>
      </c>
      <c r="E40" s="7"/>
      <c r="F40" s="7" t="s">
        <v>98</v>
      </c>
      <c r="G40" s="8">
        <f>B27</f>
        <v>42</v>
      </c>
      <c r="H40" s="83"/>
      <c r="I40" s="84"/>
      <c r="K40" s="45" t="s">
        <v>190</v>
      </c>
      <c r="L40" s="46"/>
      <c r="M40" s="44" t="s">
        <v>373</v>
      </c>
      <c r="N40" s="44" t="s">
        <v>143</v>
      </c>
      <c r="P40" s="7"/>
      <c r="Q40" s="44" t="str">
        <f>L11</f>
        <v>Graphitic lubricant [kg]</v>
      </c>
      <c r="R40" s="19">
        <f>M11</f>
        <v>0.11038650265495165</v>
      </c>
      <c r="S40" s="44" t="str">
        <f>N11</f>
        <v>Casting rolling (anode)</v>
      </c>
      <c r="U40" s="44"/>
      <c r="V40" s="23" t="s">
        <v>405</v>
      </c>
      <c r="W40" s="26">
        <f>SUM(R123:R127)</f>
        <v>650886.97017945268</v>
      </c>
      <c r="X40" s="26" t="s">
        <v>274</v>
      </c>
      <c r="Y40" s="9" t="s">
        <v>359</v>
      </c>
      <c r="Z40" s="38"/>
      <c r="AA40" s="38"/>
      <c r="AB40" s="38"/>
      <c r="AC40" s="38"/>
      <c r="AD40" s="38"/>
      <c r="AE40" s="38"/>
      <c r="AF40" s="38"/>
      <c r="AG40" s="38"/>
      <c r="AH40" s="38"/>
      <c r="AI40" s="38"/>
      <c r="AJ40" s="38"/>
      <c r="AK40" s="38"/>
      <c r="AL40" s="38"/>
      <c r="AM40" s="38"/>
      <c r="AN40" s="38"/>
      <c r="AO40" s="38"/>
      <c r="AP40" s="38"/>
      <c r="AQ40" s="38"/>
      <c r="AR40" s="31"/>
    </row>
    <row r="41" spans="1:44" ht="15.5">
      <c r="E41" s="7"/>
      <c r="F41" s="9" t="s">
        <v>93</v>
      </c>
      <c r="G41" s="8">
        <f>ROUNDDOWN(G35/G40,0)</f>
        <v>23</v>
      </c>
      <c r="H41" s="83"/>
      <c r="I41" s="84"/>
      <c r="K41" s="44" t="s">
        <v>186</v>
      </c>
      <c r="L41" s="9" t="str">
        <f t="shared" ref="L41:L69" si="5">F316</f>
        <v>Al ingots (99.9%) [kg]</v>
      </c>
      <c r="M41" s="19">
        <f t="shared" ref="M41:M69" si="6">H316</f>
        <v>1499.2436530150023</v>
      </c>
      <c r="N41" s="44" t="str">
        <f t="shared" ref="N41:N69" si="7">I316</f>
        <v>Al smelting preparation  (cathode)</v>
      </c>
      <c r="P41" s="7"/>
      <c r="Q41" s="44" t="str">
        <f>L45</f>
        <v>Graphitic lubricant [kg]</v>
      </c>
      <c r="R41" s="19">
        <f>M45</f>
        <v>4.7016280958550476E-2</v>
      </c>
      <c r="S41" s="44" t="str">
        <f>N45</f>
        <v>Casting rolling (cathode)</v>
      </c>
      <c r="U41" s="44"/>
      <c r="V41" s="23" t="s">
        <v>349</v>
      </c>
      <c r="W41" s="26">
        <f>R128</f>
        <v>0.23973902603633318</v>
      </c>
      <c r="X41" s="26" t="s">
        <v>283</v>
      </c>
      <c r="Y41" s="9" t="s">
        <v>359</v>
      </c>
      <c r="Z41" s="38"/>
      <c r="AA41" s="38"/>
      <c r="AB41" s="38"/>
      <c r="AC41" s="38"/>
      <c r="AD41" s="38"/>
      <c r="AE41" s="38">
        <v>1</v>
      </c>
      <c r="AF41" s="38"/>
      <c r="AG41" s="38"/>
      <c r="AH41" s="38"/>
      <c r="AI41" s="38"/>
      <c r="AJ41" s="38"/>
      <c r="AK41" s="38"/>
      <c r="AL41" s="38"/>
      <c r="AM41" s="38"/>
      <c r="AN41" s="38"/>
      <c r="AO41" s="38"/>
      <c r="AP41" s="38"/>
      <c r="AQ41" s="38"/>
      <c r="AR41" s="31"/>
    </row>
    <row r="42" spans="1:44" ht="15.5">
      <c r="E42" s="7"/>
      <c r="F42" s="7" t="s">
        <v>67</v>
      </c>
      <c r="G42" s="8">
        <v>1.7</v>
      </c>
      <c r="H42" s="83"/>
      <c r="I42" s="84"/>
      <c r="K42" s="7"/>
      <c r="L42" s="9" t="str">
        <f t="shared" si="5"/>
        <v>Electricity [kWh]</v>
      </c>
      <c r="M42" s="19">
        <f t="shared" si="6"/>
        <v>899.54634173336672</v>
      </c>
      <c r="N42" s="44" t="str">
        <f t="shared" si="7"/>
        <v>Al smelting preparation  (cathode)</v>
      </c>
      <c r="P42" s="7"/>
      <c r="Q42" s="44" t="str">
        <f>L27</f>
        <v>N2 gas[kg]</v>
      </c>
      <c r="R42" s="19">
        <f>M27</f>
        <v>4.4499558882777386</v>
      </c>
      <c r="S42" s="44" t="str">
        <f>N27</f>
        <v>Final annealing (anode)</v>
      </c>
      <c r="U42" s="44"/>
      <c r="V42" s="23" t="s">
        <v>350</v>
      </c>
      <c r="W42" s="26">
        <f>R129+R130</f>
        <v>1.0650112869127515</v>
      </c>
      <c r="X42" s="26" t="s">
        <v>273</v>
      </c>
      <c r="Y42" s="9" t="s">
        <v>359</v>
      </c>
      <c r="Z42" s="38"/>
      <c r="AA42" s="38"/>
      <c r="AB42" s="38"/>
      <c r="AC42" s="38"/>
      <c r="AD42" s="38"/>
      <c r="AE42" s="38"/>
      <c r="AF42" s="38"/>
      <c r="AG42" s="38"/>
      <c r="AH42" s="38"/>
      <c r="AI42" s="38"/>
      <c r="AJ42" s="38"/>
      <c r="AK42" s="38">
        <v>0.3</v>
      </c>
      <c r="AL42" s="38"/>
      <c r="AM42" s="38"/>
      <c r="AN42" s="38"/>
      <c r="AO42" s="38"/>
      <c r="AP42" s="38"/>
      <c r="AQ42" s="38"/>
      <c r="AR42" s="31"/>
    </row>
    <row r="43" spans="1:44" ht="18.5">
      <c r="E43" s="7"/>
      <c r="F43" s="7" t="s">
        <v>95</v>
      </c>
      <c r="G43" s="8">
        <v>1</v>
      </c>
      <c r="H43" s="91"/>
      <c r="I43" s="92"/>
      <c r="K43" s="7"/>
      <c r="L43" s="9" t="str">
        <f t="shared" si="5"/>
        <v>Ar gas [kg]</v>
      </c>
      <c r="M43" s="19">
        <f t="shared" si="6"/>
        <v>0.27034361551166525</v>
      </c>
      <c r="N43" s="44" t="str">
        <f t="shared" si="7"/>
        <v>Al smelting preparation  (cathode)</v>
      </c>
      <c r="P43" s="7"/>
      <c r="Q43" s="44" t="str">
        <f>L61</f>
        <v>N2 gas[kg]</v>
      </c>
      <c r="R43" s="19">
        <f>M61</f>
        <v>1.895343826141566</v>
      </c>
      <c r="S43" s="44" t="str">
        <f>N61</f>
        <v>Final annealing (cathode)</v>
      </c>
      <c r="U43" s="44"/>
      <c r="V43" s="23" t="s">
        <v>392</v>
      </c>
      <c r="W43" s="26">
        <f>SUM(R131:R134)</f>
        <v>8.9080511916686902</v>
      </c>
      <c r="X43" s="26" t="s">
        <v>273</v>
      </c>
      <c r="Y43" s="9" t="s">
        <v>359</v>
      </c>
      <c r="Z43" s="38"/>
      <c r="AA43" s="38"/>
      <c r="AB43" s="38"/>
      <c r="AC43" s="38"/>
      <c r="AD43" s="38"/>
      <c r="AE43" s="38"/>
      <c r="AF43" s="38"/>
      <c r="AG43" s="38"/>
      <c r="AH43" s="38"/>
      <c r="AI43" s="38"/>
      <c r="AJ43" s="38"/>
      <c r="AK43" s="38"/>
      <c r="AL43" s="38"/>
      <c r="AM43" s="38"/>
      <c r="AN43" s="38"/>
      <c r="AO43" s="38"/>
      <c r="AP43" s="38"/>
      <c r="AQ43" s="38"/>
      <c r="AR43" s="31"/>
    </row>
    <row r="44" spans="1:44" ht="18.5">
      <c r="E44" s="7" t="s">
        <v>44</v>
      </c>
      <c r="F44" s="7" t="s">
        <v>238</v>
      </c>
      <c r="G44" s="8">
        <f>ROUND(G39*((G37/2)^2-(G36/2)^2)*3.14*G35/G38/100/1000,3)</f>
        <v>373.88499999999999</v>
      </c>
      <c r="H44" s="19">
        <f>H$46/G$46*G44</f>
        <v>1047.8566415780801</v>
      </c>
      <c r="I44" s="8" t="s">
        <v>110</v>
      </c>
      <c r="K44" s="7"/>
      <c r="L44" s="9" t="str">
        <f t="shared" si="5"/>
        <v>Electricity [kWh]</v>
      </c>
      <c r="M44" s="19">
        <f t="shared" si="6"/>
        <v>45.320756326482751</v>
      </c>
      <c r="N44" s="44" t="str">
        <f t="shared" si="7"/>
        <v>Casting rolling (cathode)</v>
      </c>
      <c r="P44" s="7"/>
      <c r="Q44" s="44" t="str">
        <f>L160</f>
        <v>Tape [kg]</v>
      </c>
      <c r="R44" s="19">
        <f>M160</f>
        <v>10.947045999999999</v>
      </c>
      <c r="S44" s="44" t="str">
        <f>N160</f>
        <v>Winding</v>
      </c>
      <c r="U44" s="44"/>
      <c r="V44" s="23" t="s">
        <v>391</v>
      </c>
      <c r="W44" s="26">
        <f>SUM(R135:R139)</f>
        <v>27.570072735158242</v>
      </c>
      <c r="X44" s="26" t="s">
        <v>273</v>
      </c>
      <c r="Y44" s="9" t="s">
        <v>359</v>
      </c>
      <c r="Z44" s="38"/>
      <c r="AA44" s="38"/>
      <c r="AB44" s="38"/>
      <c r="AC44" s="38"/>
      <c r="AD44" s="38"/>
      <c r="AE44" s="38"/>
      <c r="AF44" s="38"/>
      <c r="AG44" s="38"/>
      <c r="AH44" s="38"/>
      <c r="AI44" s="38"/>
      <c r="AJ44" s="38"/>
      <c r="AK44" s="38"/>
      <c r="AL44" s="38"/>
      <c r="AM44" s="38"/>
      <c r="AN44" s="38"/>
      <c r="AO44" s="38"/>
      <c r="AP44" s="38"/>
      <c r="AQ44" s="38"/>
      <c r="AR44" s="31"/>
    </row>
    <row r="45" spans="1:44" ht="18.5">
      <c r="E45" s="7"/>
      <c r="F45" s="9" t="s">
        <v>59</v>
      </c>
      <c r="G45" s="8">
        <f>ROUND(((G37/2)^2-(G36/2)^2)*3.14/G38/1000/G43/3600*G42,3)</f>
        <v>1.8120000000000001</v>
      </c>
      <c r="H45" s="19">
        <f>H$46/G$46*G45</f>
        <v>5.0783428983229637</v>
      </c>
      <c r="I45" s="8" t="s">
        <v>110</v>
      </c>
      <c r="K45" s="7"/>
      <c r="L45" s="9" t="str">
        <f t="shared" si="5"/>
        <v>Graphitic lubricant [kg]</v>
      </c>
      <c r="M45" s="19">
        <f t="shared" si="6"/>
        <v>4.7016280958550476E-2</v>
      </c>
      <c r="N45" s="44" t="str">
        <f t="shared" si="7"/>
        <v>Casting rolling (cathode)</v>
      </c>
      <c r="P45" s="7"/>
      <c r="Q45" s="44" t="str">
        <f>L8</f>
        <v>Electricity [kWh]</v>
      </c>
      <c r="R45" s="19">
        <f>M8</f>
        <v>2178.6811550097405</v>
      </c>
      <c r="S45" s="44" t="str">
        <f>N8</f>
        <v>Al smelting preparation  (anode)</v>
      </c>
      <c r="U45" s="44"/>
      <c r="V45" s="23" t="s">
        <v>390</v>
      </c>
      <c r="W45" s="26">
        <f>R140+R141</f>
        <v>3.5119830888865069</v>
      </c>
      <c r="X45" s="26" t="s">
        <v>284</v>
      </c>
      <c r="Y45" s="9" t="s">
        <v>359</v>
      </c>
      <c r="Z45" s="38"/>
      <c r="AA45" s="38"/>
      <c r="AB45" s="38"/>
      <c r="AC45" s="38"/>
      <c r="AD45" s="38"/>
      <c r="AE45" s="38"/>
      <c r="AF45" s="38"/>
      <c r="AG45" s="38"/>
      <c r="AH45" s="38"/>
      <c r="AI45" s="38"/>
      <c r="AJ45" s="38"/>
      <c r="AK45" s="38"/>
      <c r="AL45" s="38"/>
      <c r="AM45" s="38"/>
      <c r="AN45" s="38"/>
      <c r="AO45" s="38"/>
      <c r="AP45" s="38"/>
      <c r="AQ45" s="38"/>
      <c r="AR45" s="31"/>
    </row>
    <row r="46" spans="1:44" ht="15.5">
      <c r="E46" s="7" t="s">
        <v>45</v>
      </c>
      <c r="F46" s="9" t="s">
        <v>84</v>
      </c>
      <c r="G46" s="8">
        <f>G44-G47</f>
        <v>361.173</v>
      </c>
      <c r="H46" s="19">
        <f>H80</f>
        <v>1012.2297679999999</v>
      </c>
      <c r="I46" s="8" t="s">
        <v>110</v>
      </c>
      <c r="K46" s="7"/>
      <c r="L46" s="9" t="str">
        <f t="shared" si="5"/>
        <v>Deionized water [kg]</v>
      </c>
      <c r="M46" s="19">
        <f t="shared" si="6"/>
        <v>3.7613024766840382</v>
      </c>
      <c r="N46" s="44" t="str">
        <f t="shared" si="7"/>
        <v>Casting rolling (cathode)</v>
      </c>
      <c r="P46" s="7"/>
      <c r="Q46" s="44" t="str">
        <f>L10</f>
        <v>Electricity [kWh]</v>
      </c>
      <c r="R46" s="19">
        <f>M10</f>
        <v>106.41948771578932</v>
      </c>
      <c r="S46" s="44" t="str">
        <f>N10</f>
        <v>Casting rolling (anode)</v>
      </c>
      <c r="U46" s="44"/>
      <c r="V46" s="23" t="s">
        <v>226</v>
      </c>
      <c r="W46" s="26">
        <f>SUM(R142:R146)</f>
        <v>2.9058304821221848</v>
      </c>
      <c r="X46" s="26" t="s">
        <v>273</v>
      </c>
      <c r="Y46" s="9" t="s">
        <v>359</v>
      </c>
      <c r="Z46" s="38"/>
      <c r="AA46" s="38"/>
      <c r="AB46" s="38"/>
      <c r="AC46" s="38"/>
      <c r="AD46" s="38"/>
      <c r="AE46" s="38"/>
      <c r="AF46" s="38"/>
      <c r="AG46" s="38"/>
      <c r="AH46" s="38"/>
      <c r="AI46" s="38"/>
      <c r="AJ46" s="38"/>
      <c r="AK46" s="38">
        <v>0.23</v>
      </c>
      <c r="AL46" s="38"/>
      <c r="AM46" s="38"/>
      <c r="AN46" s="38"/>
      <c r="AO46" s="38"/>
      <c r="AP46" s="38"/>
      <c r="AQ46" s="38"/>
      <c r="AR46" s="31"/>
    </row>
    <row r="47" spans="1:44" ht="18.5">
      <c r="E47" s="7"/>
      <c r="F47" s="9" t="s">
        <v>85</v>
      </c>
      <c r="G47" s="8">
        <f>ROUND((1-G41*G40/G35)*G44,3)</f>
        <v>12.712</v>
      </c>
      <c r="H47" s="19">
        <f>H$46/G$46*G47</f>
        <v>35.626873578080307</v>
      </c>
      <c r="I47" s="8" t="s">
        <v>110</v>
      </c>
      <c r="K47" s="7"/>
      <c r="L47" s="9" t="str">
        <f t="shared" si="5"/>
        <v>Tap water [kg]</v>
      </c>
      <c r="M47" s="19">
        <f t="shared" si="6"/>
        <v>1949.0173186320912</v>
      </c>
      <c r="N47" s="44" t="str">
        <f t="shared" si="7"/>
        <v>Casting rolling (cathode)</v>
      </c>
      <c r="P47" s="7"/>
      <c r="Q47" s="44" t="str">
        <f>L14</f>
        <v>Electricity [kWh]</v>
      </c>
      <c r="R47" s="19">
        <f>M14</f>
        <v>179.02276025887579</v>
      </c>
      <c r="S47" s="44" t="str">
        <f>N14</f>
        <v>Cold rolling 1 (anode)</v>
      </c>
      <c r="U47" s="44"/>
      <c r="V47" s="23" t="s">
        <v>389</v>
      </c>
      <c r="W47" s="26">
        <f>R147+R148</f>
        <v>1.8972657417221335</v>
      </c>
      <c r="X47" s="26" t="s">
        <v>281</v>
      </c>
      <c r="Y47" s="9" t="s">
        <v>360</v>
      </c>
      <c r="Z47" s="38"/>
      <c r="AA47" s="38"/>
      <c r="AB47" s="38"/>
      <c r="AC47" s="38"/>
      <c r="AD47" s="38"/>
      <c r="AE47" s="38"/>
      <c r="AF47" s="38"/>
      <c r="AG47" s="38"/>
      <c r="AH47" s="38"/>
      <c r="AI47" s="38"/>
      <c r="AJ47" s="38"/>
      <c r="AK47" s="38"/>
      <c r="AL47" s="38"/>
      <c r="AM47" s="38"/>
      <c r="AN47" s="38"/>
      <c r="AO47" s="38"/>
      <c r="AP47" s="38"/>
      <c r="AQ47" s="38"/>
      <c r="AR47" s="31"/>
    </row>
    <row r="48" spans="1:44" ht="18.5">
      <c r="K48" s="7"/>
      <c r="L48" s="9" t="str">
        <f t="shared" si="5"/>
        <v>Electricity [kWh]</v>
      </c>
      <c r="M48" s="19">
        <f t="shared" si="6"/>
        <v>76.239838091849506</v>
      </c>
      <c r="N48" s="44" t="str">
        <f t="shared" si="7"/>
        <v>Cold rolling 1 (cathode)</v>
      </c>
      <c r="P48" s="7"/>
      <c r="Q48" s="44" t="str">
        <f t="shared" ref="Q48:S49" si="8">L17</f>
        <v>Electricity [kWh]</v>
      </c>
      <c r="R48" s="19">
        <f t="shared" si="8"/>
        <v>483.63086475700686</v>
      </c>
      <c r="S48" s="44" t="str">
        <f t="shared" si="8"/>
        <v>Intermediate annealing 1 (anode)</v>
      </c>
      <c r="U48" s="44"/>
      <c r="V48" s="23" t="s">
        <v>388</v>
      </c>
      <c r="W48" s="26">
        <f>R149+R150</f>
        <v>5.2245487815233904</v>
      </c>
      <c r="X48" s="26" t="s">
        <v>286</v>
      </c>
      <c r="Y48" s="9" t="s">
        <v>360</v>
      </c>
      <c r="Z48" s="38"/>
      <c r="AA48" s="38"/>
      <c r="AB48" s="38"/>
      <c r="AC48" s="38"/>
      <c r="AD48" s="38"/>
      <c r="AE48" s="38"/>
      <c r="AF48" s="38"/>
      <c r="AG48" s="38"/>
      <c r="AH48" s="38"/>
      <c r="AI48" s="38"/>
      <c r="AJ48" s="38"/>
      <c r="AK48" s="38"/>
      <c r="AL48" s="38"/>
      <c r="AM48" s="38"/>
      <c r="AN48" s="38"/>
      <c r="AO48" s="38"/>
      <c r="AP48" s="38"/>
      <c r="AQ48" s="38"/>
      <c r="AR48" s="31"/>
    </row>
    <row r="49" spans="5:44" ht="17.5">
      <c r="E49" s="79" t="s">
        <v>323</v>
      </c>
      <c r="F49" s="80"/>
      <c r="G49" s="34" t="s">
        <v>374</v>
      </c>
      <c r="H49" s="34" t="s">
        <v>373</v>
      </c>
      <c r="I49" s="34" t="s">
        <v>290</v>
      </c>
      <c r="K49" s="7"/>
      <c r="L49" s="9" t="str">
        <f t="shared" si="5"/>
        <v>Deionized water [kg]</v>
      </c>
      <c r="M49" s="19">
        <f t="shared" si="6"/>
        <v>17.766277167212262</v>
      </c>
      <c r="N49" s="44" t="str">
        <f t="shared" si="7"/>
        <v>Cold rolling 1 (cathode)</v>
      </c>
      <c r="P49" s="7"/>
      <c r="Q49" s="44" t="str">
        <f t="shared" si="8"/>
        <v>Electricity [kWh]</v>
      </c>
      <c r="R49" s="19">
        <f t="shared" si="8"/>
        <v>1017.1667774486758</v>
      </c>
      <c r="S49" s="44" t="str">
        <f t="shared" si="8"/>
        <v>Cold rolling 2 (anode)</v>
      </c>
      <c r="U49" s="44"/>
      <c r="V49" s="23" t="s">
        <v>384</v>
      </c>
      <c r="W49" s="26">
        <f>R151+R152</f>
        <v>0.56617262839777793</v>
      </c>
      <c r="X49" s="26" t="s">
        <v>285</v>
      </c>
      <c r="Y49" s="9" t="s">
        <v>360</v>
      </c>
      <c r="Z49" s="38"/>
      <c r="AA49" s="38"/>
      <c r="AB49" s="38"/>
      <c r="AC49" s="38"/>
      <c r="AD49" s="38">
        <v>8.6973400000000006E-2</v>
      </c>
      <c r="AE49" s="38"/>
      <c r="AF49" s="38"/>
      <c r="AG49" s="38"/>
      <c r="AH49" s="38"/>
      <c r="AI49" s="38"/>
      <c r="AJ49" s="38">
        <v>0.39125700000000002</v>
      </c>
      <c r="AK49" s="38"/>
      <c r="AL49" s="38"/>
      <c r="AM49" s="38"/>
      <c r="AN49" s="38"/>
      <c r="AO49" s="38"/>
      <c r="AP49" s="38"/>
      <c r="AQ49" s="38">
        <v>5.15205</v>
      </c>
      <c r="AR49" s="31"/>
    </row>
    <row r="50" spans="5:44" ht="15.5">
      <c r="E50" s="7" t="s">
        <v>43</v>
      </c>
      <c r="F50" s="7" t="s">
        <v>324</v>
      </c>
      <c r="G50" s="8">
        <v>1000</v>
      </c>
      <c r="H50" s="81" t="s">
        <v>22</v>
      </c>
      <c r="I50" s="82"/>
      <c r="K50" s="7"/>
      <c r="L50" s="9" t="str">
        <f t="shared" si="5"/>
        <v>Rolling oil  [kg}</v>
      </c>
      <c r="M50" s="19">
        <f t="shared" si="6"/>
        <v>0.56860314784246979</v>
      </c>
      <c r="N50" s="44" t="str">
        <f t="shared" si="7"/>
        <v>Cold rolling 1 (cathode)</v>
      </c>
      <c r="P50" s="7"/>
      <c r="Q50" s="44" t="str">
        <f>L21</f>
        <v>Electricity [kWh]</v>
      </c>
      <c r="R50" s="19">
        <f>M21</f>
        <v>172.82386821915867</v>
      </c>
      <c r="S50" s="44" t="str">
        <f>N21</f>
        <v>Intermediate annealing 2 (anode)</v>
      </c>
      <c r="U50" s="44"/>
      <c r="V50" s="23" t="s">
        <v>351</v>
      </c>
      <c r="W50" s="26">
        <f>R153+R154</f>
        <v>0.64583882949269933</v>
      </c>
      <c r="X50" s="26" t="s">
        <v>285</v>
      </c>
      <c r="Y50" s="9" t="s">
        <v>360</v>
      </c>
      <c r="Z50" s="38"/>
      <c r="AA50" s="38">
        <v>0.11</v>
      </c>
      <c r="AB50" s="38"/>
      <c r="AC50" s="38"/>
      <c r="AD50" s="38"/>
      <c r="AE50" s="38"/>
      <c r="AF50" s="38"/>
      <c r="AG50" s="38"/>
      <c r="AH50" s="38"/>
      <c r="AI50" s="38"/>
      <c r="AJ50" s="38"/>
      <c r="AK50" s="38"/>
      <c r="AL50" s="38"/>
      <c r="AM50" s="38">
        <v>1</v>
      </c>
      <c r="AN50" s="38">
        <v>1</v>
      </c>
      <c r="AO50" s="38"/>
      <c r="AP50" s="38">
        <v>0.36</v>
      </c>
      <c r="AQ50" s="38"/>
      <c r="AR50" s="31"/>
    </row>
    <row r="51" spans="5:44" ht="17.5">
      <c r="E51" s="7"/>
      <c r="F51" s="7" t="s">
        <v>325</v>
      </c>
      <c r="G51" s="8">
        <v>75</v>
      </c>
      <c r="H51" s="83"/>
      <c r="I51" s="84"/>
      <c r="K51" s="7"/>
      <c r="L51" s="9" t="str">
        <f t="shared" si="5"/>
        <v>Electricity [kWh]</v>
      </c>
      <c r="M51" s="19">
        <f t="shared" si="6"/>
        <v>205.99008094964924</v>
      </c>
      <c r="N51" s="44" t="str">
        <f t="shared" si="7"/>
        <v>Intermediate annealing 1 (cathode)</v>
      </c>
      <c r="P51" s="7"/>
      <c r="Q51" s="44" t="str">
        <f>L24</f>
        <v>Electricity [kWh]</v>
      </c>
      <c r="R51" s="19">
        <f>M24</f>
        <v>1721.3567736666919</v>
      </c>
      <c r="S51" s="44" t="str">
        <f>N24</f>
        <v>Foil rolling  (anode)</v>
      </c>
      <c r="U51" s="44"/>
      <c r="V51" s="23" t="s">
        <v>385</v>
      </c>
      <c r="W51" s="26">
        <f>R155+R156</f>
        <v>0.59083709082201197</v>
      </c>
      <c r="X51" s="26" t="s">
        <v>288</v>
      </c>
      <c r="Y51" s="9" t="s">
        <v>360</v>
      </c>
      <c r="Z51" s="38"/>
      <c r="AA51" s="38"/>
      <c r="AB51" s="38"/>
      <c r="AC51" s="38"/>
      <c r="AD51" s="38"/>
      <c r="AE51" s="38"/>
      <c r="AF51" s="38"/>
      <c r="AG51" s="38"/>
      <c r="AH51" s="38"/>
      <c r="AI51" s="38"/>
      <c r="AJ51" s="38"/>
      <c r="AK51" s="38"/>
      <c r="AL51" s="38"/>
      <c r="AM51" s="38"/>
      <c r="AN51" s="38"/>
      <c r="AO51" s="38"/>
      <c r="AP51" s="38">
        <v>1.85111</v>
      </c>
      <c r="AQ51" s="38"/>
      <c r="AR51" s="31"/>
    </row>
    <row r="52" spans="5:44" ht="14.4" customHeight="1">
      <c r="E52" s="7"/>
      <c r="F52" s="7" t="s">
        <v>330</v>
      </c>
      <c r="G52" s="8">
        <v>500</v>
      </c>
      <c r="H52" s="83"/>
      <c r="I52" s="84"/>
      <c r="K52" s="7"/>
      <c r="L52" s="9" t="str">
        <f t="shared" si="5"/>
        <v>Electricity [kWh]</v>
      </c>
      <c r="M52" s="19">
        <f t="shared" si="6"/>
        <v>693.08315945657205</v>
      </c>
      <c r="N52" s="44" t="str">
        <f t="shared" si="7"/>
        <v>Cold rolling 2 (cathode)</v>
      </c>
      <c r="P52" s="7"/>
      <c r="Q52" s="44" t="str">
        <f>L26</f>
        <v>Electricity [kWh]</v>
      </c>
      <c r="R52" s="19">
        <f>M26</f>
        <v>448.10020921494436</v>
      </c>
      <c r="S52" s="44" t="str">
        <f>N26</f>
        <v>Final annealing (anode)</v>
      </c>
      <c r="U52" s="54" t="s">
        <v>432</v>
      </c>
      <c r="V52" s="55"/>
      <c r="W52" s="55"/>
      <c r="X52" s="55"/>
      <c r="Y52" s="56"/>
      <c r="Z52" s="49" t="s">
        <v>378</v>
      </c>
      <c r="AA52" s="49"/>
      <c r="AB52" s="49"/>
      <c r="AC52" s="49"/>
      <c r="AD52" s="49"/>
      <c r="AE52" s="49"/>
      <c r="AF52" s="49"/>
      <c r="AG52" s="49"/>
      <c r="AH52" s="49"/>
      <c r="AI52" s="49"/>
      <c r="AJ52" s="49"/>
      <c r="AK52" s="49"/>
      <c r="AL52" s="49"/>
      <c r="AM52" s="49"/>
      <c r="AN52" s="49"/>
      <c r="AO52" s="49"/>
      <c r="AP52" s="49"/>
      <c r="AQ52" s="50"/>
      <c r="AR52" s="31"/>
    </row>
    <row r="53" spans="5:44">
      <c r="E53" s="7"/>
      <c r="F53" s="7" t="s">
        <v>331</v>
      </c>
      <c r="G53" s="8">
        <f>B31</f>
        <v>4.9500000000000002E-2</v>
      </c>
      <c r="H53" s="83"/>
      <c r="I53" s="84"/>
      <c r="K53" s="7"/>
      <c r="L53" s="9" t="str">
        <f t="shared" si="5"/>
        <v>Deionized water [kg]</v>
      </c>
      <c r="M53" s="19">
        <f t="shared" si="6"/>
        <v>532.9692146522284</v>
      </c>
      <c r="N53" s="44" t="str">
        <f t="shared" si="7"/>
        <v>Cold rolling 2 (cathode)</v>
      </c>
      <c r="P53" s="7"/>
      <c r="Q53" s="44" t="str">
        <f>L42</f>
        <v>Electricity [kWh]</v>
      </c>
      <c r="R53" s="19">
        <f>M42</f>
        <v>899.54634173336672</v>
      </c>
      <c r="S53" s="44" t="str">
        <f>N42</f>
        <v>Al smelting preparation  (cathode)</v>
      </c>
      <c r="U53" s="57"/>
      <c r="V53" s="58"/>
      <c r="W53" s="58"/>
      <c r="X53" s="58"/>
      <c r="Y53" s="59"/>
      <c r="Z53" s="39">
        <f t="shared" ref="Z53:AQ53" si="9">SUMPRODUCT($W7:$W51,Z7:Z51)</f>
        <v>440146.51465961791</v>
      </c>
      <c r="AA53" s="38">
        <f t="shared" si="9"/>
        <v>479.16902013125849</v>
      </c>
      <c r="AB53" s="38">
        <f t="shared" si="9"/>
        <v>101994.79786906825</v>
      </c>
      <c r="AC53" s="38">
        <f t="shared" si="9"/>
        <v>4099.2845000422512</v>
      </c>
      <c r="AD53" s="38">
        <f t="shared" si="9"/>
        <v>37.964474477150361</v>
      </c>
      <c r="AE53" s="38">
        <f t="shared" si="9"/>
        <v>0.65814283500517323</v>
      </c>
      <c r="AF53" s="38">
        <f t="shared" si="9"/>
        <v>223.47034709324373</v>
      </c>
      <c r="AG53" s="38">
        <f t="shared" si="9"/>
        <v>41806.181416376348</v>
      </c>
      <c r="AH53" s="38">
        <f t="shared" si="9"/>
        <v>1205.6695240901581</v>
      </c>
      <c r="AI53" s="38">
        <f t="shared" si="9"/>
        <v>3315.2366995709676</v>
      </c>
      <c r="AJ53" s="38">
        <f t="shared" si="9"/>
        <v>399.26823672008453</v>
      </c>
      <c r="AK53" s="38">
        <f t="shared" si="9"/>
        <v>4.1114205773040498</v>
      </c>
      <c r="AL53" s="38">
        <f t="shared" si="9"/>
        <v>791.75618513859729</v>
      </c>
      <c r="AM53" s="38">
        <f t="shared" si="9"/>
        <v>862.55599650253328</v>
      </c>
      <c r="AN53" s="38">
        <f t="shared" si="9"/>
        <v>859.15745462337145</v>
      </c>
      <c r="AO53" s="38">
        <f t="shared" si="9"/>
        <v>8.1603688049833631E-2</v>
      </c>
      <c r="AP53" s="38">
        <f t="shared" si="9"/>
        <v>1250.8020263052399</v>
      </c>
      <c r="AQ53" s="38">
        <f t="shared" si="9"/>
        <v>578291.1126610057</v>
      </c>
      <c r="AR53" s="31"/>
    </row>
    <row r="54" spans="5:44">
      <c r="E54" s="7"/>
      <c r="F54" s="7" t="s">
        <v>332</v>
      </c>
      <c r="G54" s="8">
        <f>B34</f>
        <v>2.98E-3</v>
      </c>
      <c r="H54" s="83"/>
      <c r="I54" s="84"/>
      <c r="K54" s="7"/>
      <c r="L54" s="9" t="str">
        <f t="shared" si="5"/>
        <v>Rolling oil  [kg}</v>
      </c>
      <c r="M54" s="19">
        <f t="shared" si="6"/>
        <v>17.055155917714185</v>
      </c>
      <c r="N54" s="44" t="str">
        <f t="shared" si="7"/>
        <v>Cold rolling 2 (cathode)</v>
      </c>
      <c r="P54" s="7"/>
      <c r="Q54" s="44" t="str">
        <f>L44</f>
        <v>Electricity [kWh]</v>
      </c>
      <c r="R54" s="19">
        <f>M44</f>
        <v>45.320756326482751</v>
      </c>
      <c r="S54" s="44" t="str">
        <f>N44</f>
        <v>Casting rolling (cathode)</v>
      </c>
      <c r="U54" s="57"/>
      <c r="V54" s="58"/>
      <c r="W54" s="58"/>
      <c r="X54" s="58"/>
      <c r="Y54" s="59"/>
      <c r="AR54" s="31"/>
    </row>
    <row r="55" spans="5:44">
      <c r="E55" s="7"/>
      <c r="F55" s="7" t="s">
        <v>333</v>
      </c>
      <c r="G55" s="8">
        <f>B28</f>
        <v>48</v>
      </c>
      <c r="H55" s="83"/>
      <c r="I55" s="84"/>
      <c r="K55" s="7"/>
      <c r="L55" s="9" t="str">
        <f t="shared" si="5"/>
        <v>Electricity [kWh]</v>
      </c>
      <c r="M55" s="19">
        <f t="shared" si="6"/>
        <v>73.609864875730594</v>
      </c>
      <c r="N55" s="44" t="str">
        <f t="shared" si="7"/>
        <v>Intermediate annealing 2 (cathode)</v>
      </c>
      <c r="P55" s="7"/>
      <c r="Q55" s="44" t="str">
        <f>L48</f>
        <v>Electricity [kWh]</v>
      </c>
      <c r="R55" s="19">
        <f>M48</f>
        <v>76.239838091849506</v>
      </c>
      <c r="S55" s="44" t="str">
        <f>N48</f>
        <v>Cold rolling 1 (cathode)</v>
      </c>
      <c r="U55" s="57"/>
      <c r="V55" s="58"/>
      <c r="W55" s="58"/>
      <c r="X55" s="58"/>
      <c r="Y55" s="59"/>
      <c r="AR55" s="31"/>
    </row>
    <row r="56" spans="5:44">
      <c r="E56" s="7"/>
      <c r="F56" s="9" t="s">
        <v>334</v>
      </c>
      <c r="G56" s="8">
        <f>ROUNDDOWN(G50/G55,0)</f>
        <v>20</v>
      </c>
      <c r="H56" s="83"/>
      <c r="I56" s="84"/>
      <c r="K56" s="7"/>
      <c r="L56" s="9" t="str">
        <f t="shared" si="5"/>
        <v>Deionized water [kg]</v>
      </c>
      <c r="M56" s="19">
        <f t="shared" si="6"/>
        <v>1065.9384293044568</v>
      </c>
      <c r="N56" s="44" t="str">
        <f t="shared" si="7"/>
        <v>Foil rolling  (cathode)</v>
      </c>
      <c r="P56" s="7"/>
      <c r="Q56" s="44" t="str">
        <f t="shared" ref="Q56:S57" si="10">L51</f>
        <v>Electricity [kWh]</v>
      </c>
      <c r="R56" s="19">
        <f t="shared" si="10"/>
        <v>205.99008094964924</v>
      </c>
      <c r="S56" s="44" t="str">
        <f t="shared" si="10"/>
        <v>Intermediate annealing 1 (cathode)</v>
      </c>
      <c r="U56" s="57"/>
      <c r="V56" s="58"/>
      <c r="W56" s="58"/>
      <c r="X56" s="58"/>
      <c r="Y56" s="59"/>
      <c r="AR56" s="31"/>
    </row>
    <row r="57" spans="5:44">
      <c r="E57" s="7"/>
      <c r="F57" s="7" t="s">
        <v>67</v>
      </c>
      <c r="G57" s="8">
        <v>1.7</v>
      </c>
      <c r="H57" s="83"/>
      <c r="I57" s="84"/>
      <c r="K57" s="7"/>
      <c r="L57" s="9" t="str">
        <f t="shared" si="5"/>
        <v>Rolling oil  [kg}</v>
      </c>
      <c r="M57" s="19">
        <f t="shared" si="6"/>
        <v>34.110311835428369</v>
      </c>
      <c r="N57" s="44" t="str">
        <f t="shared" si="7"/>
        <v>Foil rolling  (cathode)</v>
      </c>
      <c r="P57" s="7"/>
      <c r="Q57" s="44" t="str">
        <f t="shared" si="10"/>
        <v>Electricity [kWh]</v>
      </c>
      <c r="R57" s="19">
        <f t="shared" si="10"/>
        <v>693.08315945657205</v>
      </c>
      <c r="S57" s="44" t="str">
        <f t="shared" si="10"/>
        <v>Cold rolling 2 (cathode)</v>
      </c>
      <c r="U57" s="57"/>
      <c r="V57" s="58"/>
      <c r="W57" s="58"/>
      <c r="X57" s="58"/>
      <c r="Y57" s="59"/>
      <c r="AR57" s="31"/>
    </row>
    <row r="58" spans="5:44">
      <c r="E58" s="7"/>
      <c r="F58" s="7" t="s">
        <v>95</v>
      </c>
      <c r="G58" s="8">
        <v>1</v>
      </c>
      <c r="H58" s="91"/>
      <c r="I58" s="92"/>
      <c r="K58" s="7"/>
      <c r="L58" s="9" t="str">
        <f t="shared" si="5"/>
        <v>Electricity [kWh]</v>
      </c>
      <c r="M58" s="19">
        <f t="shared" si="6"/>
        <v>1759.3653953155383</v>
      </c>
      <c r="N58" s="44" t="str">
        <f t="shared" si="7"/>
        <v>Foil rolling  (cathode)</v>
      </c>
      <c r="P58" s="7"/>
      <c r="Q58" s="44" t="str">
        <f>L55</f>
        <v>Electricity [kWh]</v>
      </c>
      <c r="R58" s="19">
        <f>M55</f>
        <v>73.609864875730594</v>
      </c>
      <c r="S58" s="44" t="str">
        <f>N55</f>
        <v>Intermediate annealing 2 (cathode)</v>
      </c>
      <c r="U58" s="57"/>
      <c r="V58" s="58"/>
      <c r="W58" s="58"/>
      <c r="X58" s="58"/>
      <c r="Y58" s="59"/>
      <c r="AR58" s="31"/>
    </row>
    <row r="59" spans="5:44">
      <c r="E59" s="7" t="s">
        <v>44</v>
      </c>
      <c r="F59" s="7" t="s">
        <v>372</v>
      </c>
      <c r="G59" s="8">
        <f>ROUND(G54*((G52/2)^2-(G51/2)^2)*3.14*G50/G53/100/1000,3)</f>
        <v>115.488</v>
      </c>
      <c r="H59" s="19">
        <f>H$61/G$61*G59</f>
        <v>776.74764622664782</v>
      </c>
      <c r="I59" s="8" t="s">
        <v>323</v>
      </c>
      <c r="K59" s="7"/>
      <c r="L59" s="9" t="str">
        <f t="shared" si="5"/>
        <v>NaOH solution (30%) [kg]</v>
      </c>
      <c r="M59" s="19">
        <f t="shared" si="6"/>
        <v>46.722429202559532</v>
      </c>
      <c r="N59" s="44" t="str">
        <f t="shared" si="7"/>
        <v>Final annealing (cathode)</v>
      </c>
      <c r="P59" s="7"/>
      <c r="Q59" s="44" t="str">
        <f>L58</f>
        <v>Electricity [kWh]</v>
      </c>
      <c r="R59" s="19">
        <f>M58</f>
        <v>1759.3653953155383</v>
      </c>
      <c r="S59" s="44" t="str">
        <f>N58</f>
        <v>Foil rolling  (cathode)</v>
      </c>
      <c r="U59" s="57"/>
      <c r="V59" s="58"/>
      <c r="W59" s="58"/>
      <c r="X59" s="58"/>
      <c r="Y59" s="59"/>
      <c r="AR59" s="31"/>
    </row>
    <row r="60" spans="5:44">
      <c r="E60" s="7"/>
      <c r="F60" s="9" t="s">
        <v>59</v>
      </c>
      <c r="G60" s="8">
        <f>ROUND(((G52/2)^2-(G51/2)^2)*3.14/G53/1000/G58/3600*G57,3)</f>
        <v>1.83</v>
      </c>
      <c r="H60" s="19">
        <f>H$61/G$61*G60</f>
        <v>12.308189531334559</v>
      </c>
      <c r="I60" s="8" t="s">
        <v>323</v>
      </c>
      <c r="K60" s="7"/>
      <c r="L60" s="9" t="str">
        <f t="shared" si="5"/>
        <v>Electricity [kWh]</v>
      </c>
      <c r="M60" s="19">
        <f t="shared" si="6"/>
        <v>190.85671551611586</v>
      </c>
      <c r="N60" s="44" t="str">
        <f t="shared" si="7"/>
        <v>Final annealing (cathode)</v>
      </c>
      <c r="P60" s="7"/>
      <c r="Q60" s="44" t="str">
        <f>L60</f>
        <v>Electricity [kWh]</v>
      </c>
      <c r="R60" s="19">
        <f>M60</f>
        <v>190.85671551611586</v>
      </c>
      <c r="S60" s="44" t="str">
        <f>N60</f>
        <v>Final annealing (cathode)</v>
      </c>
      <c r="U60" s="57"/>
      <c r="V60" s="58"/>
      <c r="W60" s="58"/>
      <c r="X60" s="58"/>
      <c r="Y60" s="59"/>
      <c r="AR60" s="31"/>
    </row>
    <row r="61" spans="5:44">
      <c r="E61" s="7" t="s">
        <v>45</v>
      </c>
      <c r="F61" s="9" t="s">
        <v>442</v>
      </c>
      <c r="G61" s="8">
        <f>G59-G62</f>
        <v>110.86799999999999</v>
      </c>
      <c r="H61" s="19">
        <f>H81</f>
        <v>745.67451199999994</v>
      </c>
      <c r="I61" s="8" t="s">
        <v>323</v>
      </c>
      <c r="K61" s="7"/>
      <c r="L61" s="9" t="str">
        <f t="shared" si="5"/>
        <v>N2 gas[kg]</v>
      </c>
      <c r="M61" s="19">
        <f t="shared" si="6"/>
        <v>1.895343826141566</v>
      </c>
      <c r="N61" s="44" t="str">
        <f t="shared" si="7"/>
        <v>Final annealing (cathode)</v>
      </c>
      <c r="P61" s="7"/>
      <c r="Q61" s="44" t="str">
        <f>L85</f>
        <v>Electricity [kWh]</v>
      </c>
      <c r="R61" s="19">
        <f>M85</f>
        <v>799.43641998771272</v>
      </c>
      <c r="S61" s="44" t="str">
        <f>N85</f>
        <v>Production of anode etched foil</v>
      </c>
      <c r="U61" s="57"/>
      <c r="V61" s="58"/>
      <c r="W61" s="58"/>
      <c r="X61" s="58"/>
      <c r="Y61" s="59"/>
      <c r="AR61" s="31"/>
    </row>
    <row r="62" spans="5:44">
      <c r="E62" s="7"/>
      <c r="F62" s="9" t="s">
        <v>335</v>
      </c>
      <c r="G62" s="8">
        <f>ROUND((1-G56*G55/G50)*G59,3)</f>
        <v>4.62</v>
      </c>
      <c r="H62" s="19">
        <f>H$61/G$61*G62</f>
        <v>31.073134226647905</v>
      </c>
      <c r="I62" s="8" t="s">
        <v>323</v>
      </c>
      <c r="K62" s="44" t="s">
        <v>191</v>
      </c>
      <c r="L62" s="9" t="str">
        <f t="shared" si="5"/>
        <v>0.05mm Al blank coil [kg]</v>
      </c>
      <c r="M62" s="19">
        <f t="shared" si="6"/>
        <v>1469.2587799547023</v>
      </c>
      <c r="N62" s="44" t="str">
        <f t="shared" si="7"/>
        <v>Production of Al blank foil  (cathode)</v>
      </c>
      <c r="P62" s="7"/>
      <c r="Q62" s="44" t="str">
        <f>L87</f>
        <v>Electricity [kWh]</v>
      </c>
      <c r="R62" s="19">
        <f>M87</f>
        <v>538.26072937329729</v>
      </c>
      <c r="S62" s="44" t="str">
        <f>N87</f>
        <v>Hydration</v>
      </c>
      <c r="U62" s="57"/>
      <c r="V62" s="58"/>
      <c r="W62" s="58"/>
      <c r="X62" s="58"/>
      <c r="Y62" s="59"/>
      <c r="AR62" s="31"/>
    </row>
    <row r="63" spans="5:44">
      <c r="K63" s="7"/>
      <c r="L63" s="9" t="str">
        <f t="shared" si="5"/>
        <v>Al scraps [kg]</v>
      </c>
      <c r="M63" s="19">
        <f t="shared" si="6"/>
        <v>29.4294932414772</v>
      </c>
      <c r="N63" s="44" t="str">
        <f t="shared" si="7"/>
        <v>Al smelting preparation  (cathode)</v>
      </c>
      <c r="P63" s="7"/>
      <c r="Q63" s="44" t="str">
        <f t="shared" ref="Q63:S70" si="11">L100</f>
        <v>Electricity [kWh]</v>
      </c>
      <c r="R63" s="19">
        <f t="shared" si="11"/>
        <v>10518.929354135344</v>
      </c>
      <c r="S63" s="44" t="str">
        <f t="shared" si="11"/>
        <v>Formation process (first stage)</v>
      </c>
      <c r="U63" s="57"/>
      <c r="V63" s="58"/>
      <c r="W63" s="58"/>
      <c r="X63" s="58"/>
      <c r="Y63" s="59"/>
    </row>
    <row r="64" spans="5:44">
      <c r="E64" s="79" t="s">
        <v>40</v>
      </c>
      <c r="F64" s="80"/>
      <c r="G64" s="34" t="s">
        <v>374</v>
      </c>
      <c r="H64" s="34" t="s">
        <v>373</v>
      </c>
      <c r="I64" s="34" t="s">
        <v>290</v>
      </c>
      <c r="K64" s="7"/>
      <c r="L64" s="9" t="str">
        <f t="shared" si="5"/>
        <v>Dust[kg]</v>
      </c>
      <c r="M64" s="19">
        <f t="shared" si="6"/>
        <v>0.55537981882287746</v>
      </c>
      <c r="N64" s="44" t="str">
        <f t="shared" si="7"/>
        <v>Al smelting preparation  (cathode)</v>
      </c>
      <c r="P64" s="7"/>
      <c r="Q64" s="44" t="str">
        <f t="shared" si="11"/>
        <v>Electricity [kWh]</v>
      </c>
      <c r="R64" s="19">
        <f t="shared" si="11"/>
        <v>23667.596041367564</v>
      </c>
      <c r="S64" s="44" t="str">
        <f t="shared" si="11"/>
        <v>Formation process (second stage)</v>
      </c>
      <c r="U64" s="57"/>
      <c r="V64" s="58"/>
      <c r="W64" s="58"/>
      <c r="X64" s="58"/>
      <c r="Y64" s="59"/>
    </row>
    <row r="65" spans="5:43">
      <c r="E65" s="7" t="s">
        <v>43</v>
      </c>
      <c r="F65" s="9" t="s">
        <v>92</v>
      </c>
      <c r="G65" s="8">
        <f>G26</f>
        <v>23</v>
      </c>
      <c r="H65" s="81" t="s">
        <v>22</v>
      </c>
      <c r="I65" s="82"/>
      <c r="K65" s="7"/>
      <c r="L65" s="9" t="str">
        <f t="shared" si="5"/>
        <v>Wastewater [kg]</v>
      </c>
      <c r="M65" s="19">
        <f t="shared" si="6"/>
        <v>3850.8155985939989</v>
      </c>
      <c r="N65" s="44" t="str">
        <f t="shared" si="7"/>
        <v>Production of Al blank foil  (cathode)</v>
      </c>
      <c r="P65" s="7"/>
      <c r="Q65" s="44" t="str">
        <f t="shared" si="11"/>
        <v>Electricity [kWh]</v>
      </c>
      <c r="R65" s="19">
        <f t="shared" si="11"/>
        <v>36816.256069182396</v>
      </c>
      <c r="S65" s="44" t="str">
        <f t="shared" si="11"/>
        <v>Formation process (third stage)</v>
      </c>
      <c r="U65" s="57"/>
      <c r="V65" s="58"/>
      <c r="W65" s="58"/>
      <c r="X65" s="58"/>
      <c r="Y65" s="59"/>
    </row>
    <row r="66" spans="5:43" ht="14.4" customHeight="1">
      <c r="E66" s="7"/>
      <c r="F66" s="9" t="s">
        <v>93</v>
      </c>
      <c r="G66" s="8">
        <f>G41</f>
        <v>23</v>
      </c>
      <c r="H66" s="83"/>
      <c r="I66" s="84"/>
      <c r="K66" s="7"/>
      <c r="L66" s="9" t="str">
        <f t="shared" si="5"/>
        <v>COD [kg]</v>
      </c>
      <c r="M66" s="19">
        <f t="shared" si="6"/>
        <v>0.26887435673171051</v>
      </c>
      <c r="N66" s="44" t="str">
        <f t="shared" si="7"/>
        <v>Production of Al blank foil  (cathode)</v>
      </c>
      <c r="P66" s="7"/>
      <c r="Q66" s="44" t="str">
        <f t="shared" si="11"/>
        <v>Electricity [kWh]</v>
      </c>
      <c r="R66" s="19">
        <f t="shared" si="11"/>
        <v>49964.92275641462</v>
      </c>
      <c r="S66" s="44" t="str">
        <f t="shared" si="11"/>
        <v>Formation process (fourth stage)</v>
      </c>
      <c r="U66" s="57"/>
      <c r="V66" s="58"/>
      <c r="W66" s="58"/>
      <c r="X66" s="58"/>
      <c r="Y66" s="59"/>
    </row>
    <row r="67" spans="5:43">
      <c r="E67" s="7"/>
      <c r="F67" s="9" t="s">
        <v>334</v>
      </c>
      <c r="G67" s="8">
        <f>G56</f>
        <v>20</v>
      </c>
      <c r="H67" s="83"/>
      <c r="I67" s="84"/>
      <c r="K67" s="7"/>
      <c r="L67" s="9" t="str">
        <f t="shared" si="5"/>
        <v>SS [kg]</v>
      </c>
      <c r="M67" s="19">
        <f t="shared" si="6"/>
        <v>0.26887435673171051</v>
      </c>
      <c r="N67" s="44" t="str">
        <f t="shared" si="7"/>
        <v>Production of Al blank foil  (cathode)</v>
      </c>
      <c r="P67" s="7"/>
      <c r="Q67" s="44" t="str">
        <f t="shared" si="11"/>
        <v>Electricity [kWh]</v>
      </c>
      <c r="R67" s="19">
        <f t="shared" si="11"/>
        <v>64428.451450777895</v>
      </c>
      <c r="S67" s="44" t="str">
        <f t="shared" si="11"/>
        <v>Formation process (fifth stage)</v>
      </c>
      <c r="U67" s="57"/>
      <c r="V67" s="58"/>
      <c r="W67" s="58"/>
      <c r="X67" s="58"/>
      <c r="Y67" s="59"/>
    </row>
    <row r="68" spans="5:43" ht="14.5">
      <c r="E68" s="7"/>
      <c r="F68" s="9" t="s">
        <v>53</v>
      </c>
      <c r="G68" s="8">
        <f>B35</f>
        <v>2276</v>
      </c>
      <c r="H68" s="83"/>
      <c r="I68" s="84"/>
      <c r="K68" s="7"/>
      <c r="L68" s="9" t="str">
        <f t="shared" si="5"/>
        <v>BOD [kg]</v>
      </c>
      <c r="M68" s="19">
        <f t="shared" si="6"/>
        <v>1.6940553732877719</v>
      </c>
      <c r="N68" s="44" t="str">
        <f t="shared" si="7"/>
        <v>Production of Al blank foil  (cathode)</v>
      </c>
      <c r="P68" s="7"/>
      <c r="Q68" s="44" t="str">
        <f t="shared" si="11"/>
        <v>Electricity [kWh]</v>
      </c>
      <c r="R68" s="19">
        <f t="shared" si="11"/>
        <v>399.28534786351292</v>
      </c>
      <c r="S68" s="44" t="str">
        <f t="shared" si="11"/>
        <v>Heat treatment</v>
      </c>
      <c r="U68" s="57"/>
      <c r="V68" s="58"/>
      <c r="W68" s="58"/>
      <c r="X68" s="58"/>
      <c r="Y68" s="59"/>
      <c r="Z68"/>
      <c r="AA68"/>
      <c r="AB68"/>
      <c r="AC68"/>
      <c r="AD68"/>
      <c r="AE68"/>
      <c r="AF68"/>
      <c r="AG68"/>
      <c r="AH68"/>
      <c r="AI68"/>
      <c r="AJ68"/>
      <c r="AK68"/>
      <c r="AL68"/>
      <c r="AM68"/>
      <c r="AN68"/>
      <c r="AO68"/>
      <c r="AP68"/>
      <c r="AQ68"/>
    </row>
    <row r="69" spans="5:43" ht="14.5">
      <c r="E69" s="7"/>
      <c r="F69" s="9" t="s">
        <v>94</v>
      </c>
      <c r="G69" s="8">
        <f>B36</f>
        <v>2326</v>
      </c>
      <c r="H69" s="83"/>
      <c r="I69" s="84"/>
      <c r="K69" s="7"/>
      <c r="L69" s="9" t="str">
        <f t="shared" si="5"/>
        <v>NH3-N [kg]</v>
      </c>
      <c r="M69" s="19">
        <f t="shared" si="6"/>
        <v>7.640145655764452E-2</v>
      </c>
      <c r="N69" s="44" t="str">
        <f t="shared" si="7"/>
        <v>Production of Al blank foil  (cathode)</v>
      </c>
      <c r="P69" s="7"/>
      <c r="Q69" s="44" t="str">
        <f t="shared" si="11"/>
        <v>Electricity [kWh]</v>
      </c>
      <c r="R69" s="19">
        <f t="shared" si="11"/>
        <v>193285.35435233367</v>
      </c>
      <c r="S69" s="44" t="str">
        <f t="shared" si="11"/>
        <v>Formation process (sixth stage)</v>
      </c>
      <c r="U69" s="60"/>
      <c r="V69" s="61"/>
      <c r="W69" s="61"/>
      <c r="X69" s="61"/>
      <c r="Y69" s="62"/>
      <c r="Z69"/>
      <c r="AA69"/>
      <c r="AB69"/>
      <c r="AC69"/>
      <c r="AD69"/>
      <c r="AE69"/>
      <c r="AF69"/>
      <c r="AG69"/>
      <c r="AH69"/>
      <c r="AI69"/>
      <c r="AJ69"/>
      <c r="AK69"/>
      <c r="AL69"/>
      <c r="AM69"/>
      <c r="AN69"/>
      <c r="AO69"/>
      <c r="AP69"/>
      <c r="AQ69"/>
    </row>
    <row r="70" spans="5:43" ht="14.5">
      <c r="E70" s="7"/>
      <c r="F70" s="9" t="s">
        <v>336</v>
      </c>
      <c r="G70" s="8">
        <f>B37</f>
        <v>4902</v>
      </c>
      <c r="H70" s="83"/>
      <c r="I70" s="84"/>
      <c r="P70" s="7"/>
      <c r="Q70" s="44" t="str">
        <f t="shared" si="11"/>
        <v>Electricity [kWh]</v>
      </c>
      <c r="R70" s="19">
        <f t="shared" si="11"/>
        <v>108.83485840310537</v>
      </c>
      <c r="S70" s="44" t="str">
        <f t="shared" si="11"/>
        <v>Drying</v>
      </c>
      <c r="Y70"/>
      <c r="Z70"/>
      <c r="AA70"/>
      <c r="AB70"/>
      <c r="AC70"/>
      <c r="AD70"/>
      <c r="AE70"/>
      <c r="AF70"/>
      <c r="AG70"/>
      <c r="AH70"/>
      <c r="AI70"/>
      <c r="AJ70"/>
      <c r="AK70"/>
      <c r="AL70"/>
      <c r="AM70"/>
      <c r="AN70"/>
      <c r="AO70"/>
      <c r="AP70"/>
      <c r="AQ70"/>
    </row>
    <row r="71" spans="5:43" ht="14.5">
      <c r="E71" s="7"/>
      <c r="F71" s="9" t="s">
        <v>90</v>
      </c>
      <c r="G71" s="8">
        <f>ROUNDDOWN(((G22/2)^2-(G21/2)^2)*3.14/G23/1000,0)</f>
        <v>1598</v>
      </c>
      <c r="H71" s="83"/>
      <c r="I71" s="84"/>
      <c r="P71" s="7"/>
      <c r="Q71" s="44" t="str">
        <f>L141</f>
        <v>Electricity [kWh]</v>
      </c>
      <c r="R71" s="19">
        <f>M141</f>
        <v>817.21137719430317</v>
      </c>
      <c r="S71" s="44" t="str">
        <f>N141</f>
        <v>Production of cathode etched foil</v>
      </c>
      <c r="Y71"/>
    </row>
    <row r="72" spans="5:43" ht="15.5">
      <c r="E72" s="7"/>
      <c r="F72" s="9" t="s">
        <v>91</v>
      </c>
      <c r="G72" s="8">
        <f>ROUND(((G37/2)^2-(G36/2)^2)*3.14/G38/1000,0)</f>
        <v>3837</v>
      </c>
      <c r="H72" s="83"/>
      <c r="I72" s="84"/>
      <c r="K72" s="76" t="s">
        <v>194</v>
      </c>
      <c r="L72" s="77"/>
      <c r="M72" s="77"/>
      <c r="N72" s="78"/>
      <c r="P72" s="7"/>
      <c r="Q72" s="44" t="str">
        <f t="shared" ref="Q72:S78" si="12">L168</f>
        <v>Electricity [kWh]</v>
      </c>
      <c r="R72" s="19">
        <f t="shared" si="12"/>
        <v>4.9679109053781492</v>
      </c>
      <c r="S72" s="44" t="str">
        <f t="shared" si="12"/>
        <v>Slitting of anode foil</v>
      </c>
      <c r="Y72"/>
    </row>
    <row r="73" spans="5:43" ht="15.5">
      <c r="E73" s="7"/>
      <c r="F73" s="9" t="s">
        <v>337</v>
      </c>
      <c r="G73" s="8">
        <f>ROUND(((G52/2)^2-(G51/2)^2)*3.14/G53/1000,0)</f>
        <v>3875</v>
      </c>
      <c r="H73" s="83"/>
      <c r="I73" s="84"/>
      <c r="K73" s="45" t="s">
        <v>190</v>
      </c>
      <c r="L73" s="46"/>
      <c r="M73" s="44" t="s">
        <v>373</v>
      </c>
      <c r="N73" s="44" t="s">
        <v>143</v>
      </c>
      <c r="P73" s="7"/>
      <c r="Q73" s="44" t="str">
        <f t="shared" si="12"/>
        <v>Electricity [kWh]</v>
      </c>
      <c r="R73" s="19">
        <f t="shared" si="12"/>
        <v>5.0783428983229637</v>
      </c>
      <c r="S73" s="44" t="str">
        <f t="shared" si="12"/>
        <v>Slitting of cathode foil</v>
      </c>
      <c r="Y73" s="32"/>
    </row>
    <row r="74" spans="5:43" ht="15.5">
      <c r="E74" s="7"/>
      <c r="F74" s="9" t="s">
        <v>87</v>
      </c>
      <c r="G74" s="8">
        <f>ROUNDDOWN(G71*1000/G68,0)*G65</f>
        <v>16146</v>
      </c>
      <c r="H74" s="83"/>
      <c r="I74" s="84"/>
      <c r="K74" s="44" t="s">
        <v>186</v>
      </c>
      <c r="L74" s="9" t="str">
        <f t="shared" ref="L74:L105" si="13">F169</f>
        <v>0.12mm Al blank coil [kg]</v>
      </c>
      <c r="M74" s="19">
        <f t="shared" ref="M74:M105" si="14">H169</f>
        <v>3449.578207967239</v>
      </c>
      <c r="N74" s="44" t="str">
        <f t="shared" ref="N74:N105" si="15">I169</f>
        <v>Preparation of sulfuric acid (anode)</v>
      </c>
      <c r="P74" s="7"/>
      <c r="Q74" s="44" t="str">
        <f t="shared" si="12"/>
        <v>Electricity [kWh]</v>
      </c>
      <c r="R74" s="19">
        <f t="shared" si="12"/>
        <v>12.308189531334559</v>
      </c>
      <c r="S74" s="44" t="str">
        <f t="shared" si="12"/>
        <v>Slitting of separator paper</v>
      </c>
      <c r="W74" s="32"/>
      <c r="AA74" s="42"/>
      <c r="AB74" s="42"/>
      <c r="AC74" s="42"/>
      <c r="AD74" s="41"/>
      <c r="AE74" s="41"/>
      <c r="AH74" s="42"/>
      <c r="AI74" s="42"/>
      <c r="AJ74" s="42"/>
      <c r="AK74" s="41"/>
      <c r="AL74" s="41"/>
    </row>
    <row r="75" spans="5:43">
      <c r="E75" s="7"/>
      <c r="F75" s="9" t="s">
        <v>88</v>
      </c>
      <c r="G75" s="8">
        <f>ROUNDDOWN(G72*1000/G69,0)*G66</f>
        <v>37927</v>
      </c>
      <c r="H75" s="83"/>
      <c r="I75" s="84"/>
      <c r="K75" s="7"/>
      <c r="L75" s="9" t="str">
        <f t="shared" si="13"/>
        <v>Deionized water [kg]</v>
      </c>
      <c r="M75" s="19">
        <f t="shared" si="14"/>
        <v>23941.084994735902</v>
      </c>
      <c r="N75" s="44" t="str">
        <f t="shared" si="15"/>
        <v>Preparation of sulfuric acid (anode)</v>
      </c>
      <c r="P75" s="7"/>
      <c r="Q75" s="44" t="str">
        <f t="shared" si="12"/>
        <v>Electricity [kWh]</v>
      </c>
      <c r="R75" s="19">
        <f t="shared" si="12"/>
        <v>472.31720799999999</v>
      </c>
      <c r="S75" s="44" t="str">
        <f t="shared" si="12"/>
        <v>Winding</v>
      </c>
      <c r="AH75" s="43"/>
      <c r="AI75" s="43"/>
      <c r="AJ75" s="43"/>
      <c r="AK75" s="43"/>
      <c r="AL75" s="43"/>
    </row>
    <row r="76" spans="5:43">
      <c r="E76" s="7"/>
      <c r="F76" s="9" t="s">
        <v>89</v>
      </c>
      <c r="G76" s="8">
        <f>ROUNDDOWN(G73*1000/G70,0)*G67</f>
        <v>15800</v>
      </c>
      <c r="H76" s="83"/>
      <c r="I76" s="84"/>
      <c r="K76" s="7"/>
      <c r="L76" s="9" t="str">
        <f t="shared" si="13"/>
        <v>Deionized water [kg]</v>
      </c>
      <c r="M76" s="19">
        <f t="shared" si="14"/>
        <v>2798.0341293743841</v>
      </c>
      <c r="N76" s="44" t="str">
        <f t="shared" si="15"/>
        <v>Cleaning after sulfuric acid treatment  (anode)</v>
      </c>
      <c r="P76" s="7"/>
      <c r="Q76" s="44" t="str">
        <f t="shared" si="12"/>
        <v>Electricity [kWh]</v>
      </c>
      <c r="R76" s="19">
        <f t="shared" si="12"/>
        <v>159.21071904127828</v>
      </c>
      <c r="S76" s="44" t="str">
        <f t="shared" si="12"/>
        <v>Soak</v>
      </c>
      <c r="AH76" s="43"/>
      <c r="AI76" s="43"/>
      <c r="AJ76" s="43"/>
      <c r="AK76" s="43"/>
      <c r="AL76" s="43"/>
    </row>
    <row r="77" spans="5:43">
      <c r="E77" s="7"/>
      <c r="F77" s="7" t="s">
        <v>67</v>
      </c>
      <c r="G77" s="8">
        <v>12</v>
      </c>
      <c r="H77" s="83"/>
      <c r="I77" s="84"/>
      <c r="K77" s="7"/>
      <c r="L77" s="9" t="str">
        <f t="shared" si="13"/>
        <v>Deionized water [kg]</v>
      </c>
      <c r="M77" s="19">
        <f t="shared" si="14"/>
        <v>5322.5793053804309</v>
      </c>
      <c r="N77" s="44" t="str">
        <f t="shared" si="15"/>
        <v>Preparation of nitric acid (anode)</v>
      </c>
      <c r="P77" s="7"/>
      <c r="Q77" s="44" t="str">
        <f t="shared" si="12"/>
        <v>Electricity [kWh]</v>
      </c>
      <c r="R77" s="19">
        <f t="shared" si="12"/>
        <v>147.62571472298745</v>
      </c>
      <c r="S77" s="44" t="str">
        <f t="shared" si="12"/>
        <v>Assembly( including sleeving)</v>
      </c>
      <c r="V77" s="28"/>
      <c r="AH77" s="43"/>
      <c r="AI77" s="43"/>
      <c r="AJ77" s="43"/>
      <c r="AK77" s="43"/>
      <c r="AL77" s="43"/>
    </row>
    <row r="78" spans="5:43">
      <c r="E78" s="7"/>
      <c r="F78" s="7" t="s">
        <v>68</v>
      </c>
      <c r="G78" s="8">
        <v>45</v>
      </c>
      <c r="H78" s="91"/>
      <c r="I78" s="92"/>
      <c r="K78" s="7"/>
      <c r="L78" s="9" t="str">
        <f t="shared" si="13"/>
        <v>Deionized water [kg]</v>
      </c>
      <c r="M78" s="19">
        <f t="shared" si="14"/>
        <v>6647.9631919875192</v>
      </c>
      <c r="N78" s="44" t="str">
        <f t="shared" si="15"/>
        <v>Cleaning after nitric acid treatment  (anode)</v>
      </c>
      <c r="P78" s="7"/>
      <c r="Q78" s="44" t="str">
        <f t="shared" si="12"/>
        <v>Electricity [kWh]</v>
      </c>
      <c r="R78" s="19">
        <f t="shared" si="12"/>
        <v>4110.8796296296296</v>
      </c>
      <c r="S78" s="44" t="str">
        <f t="shared" si="12"/>
        <v>Aging and inspection</v>
      </c>
      <c r="V78" s="28"/>
      <c r="X78" s="27"/>
      <c r="AH78" s="43"/>
      <c r="AI78" s="43"/>
      <c r="AJ78" s="43"/>
      <c r="AK78" s="43"/>
      <c r="AL78" s="43"/>
    </row>
    <row r="79" spans="5:43">
      <c r="E79" s="7" t="s">
        <v>44</v>
      </c>
      <c r="F79" s="9" t="s">
        <v>83</v>
      </c>
      <c r="G79" s="8">
        <f>ROUND(C7/1000*G85/((G74/G65*G68/1000/G71)),3)</f>
        <v>27.225999999999999</v>
      </c>
      <c r="H79" s="19">
        <f t="shared" ref="H79:H84" si="16">H$85/G$85*G79</f>
        <v>2893.6337319999998</v>
      </c>
      <c r="I79" s="8" t="s">
        <v>111</v>
      </c>
      <c r="K79" s="7"/>
      <c r="L79" s="9" t="str">
        <f t="shared" si="13"/>
        <v>Deionized water [kg]</v>
      </c>
      <c r="M79" s="19">
        <f t="shared" si="14"/>
        <v>1072.9320327734397</v>
      </c>
      <c r="N79" s="44" t="str">
        <f t="shared" si="15"/>
        <v>Cleaning of sulfuric acid recovery system (anode)</v>
      </c>
      <c r="P79" s="7"/>
      <c r="Q79" s="44" t="str">
        <f>L12</f>
        <v>Deionized water [kg]</v>
      </c>
      <c r="R79" s="19">
        <f>M12</f>
        <v>8.8309202123961317</v>
      </c>
      <c r="S79" s="44" t="str">
        <f>N12</f>
        <v>Casting rolling (anode)</v>
      </c>
      <c r="V79" s="28"/>
      <c r="X79" s="28"/>
      <c r="AH79" s="43"/>
      <c r="AI79" s="43"/>
      <c r="AJ79" s="43"/>
      <c r="AK79" s="43"/>
      <c r="AL79" s="43"/>
    </row>
    <row r="80" spans="5:43">
      <c r="E80" s="7"/>
      <c r="F80" s="9" t="s">
        <v>84</v>
      </c>
      <c r="G80" s="8">
        <f>ROUND(C8/1000*G85/(G75/G66*G69/1000/G72),3)</f>
        <v>9.5239999999999991</v>
      </c>
      <c r="H80" s="19">
        <f t="shared" si="16"/>
        <v>1012.2297679999999</v>
      </c>
      <c r="I80" s="8" t="s">
        <v>111</v>
      </c>
      <c r="K80" s="7"/>
      <c r="L80" s="9" t="str">
        <f t="shared" si="13"/>
        <v>Tap water [kg]</v>
      </c>
      <c r="M80" s="19">
        <f t="shared" si="14"/>
        <v>3050.4926426254228</v>
      </c>
      <c r="N80" s="44" t="str">
        <f t="shared" si="15"/>
        <v>Waste gas treatment (anode)</v>
      </c>
      <c r="P80" s="7"/>
      <c r="Q80" s="44" t="str">
        <f>L15</f>
        <v>Deionized water [kg]</v>
      </c>
      <c r="R80" s="19">
        <f>M15</f>
        <v>41.715749268947818</v>
      </c>
      <c r="S80" s="44" t="str">
        <f>N15</f>
        <v>Cold rolling 1 (anode)</v>
      </c>
      <c r="AH80" s="43"/>
      <c r="AI80" s="43"/>
      <c r="AJ80" s="43"/>
      <c r="AK80" s="43"/>
      <c r="AL80" s="43"/>
    </row>
    <row r="81" spans="5:44">
      <c r="E81" s="7"/>
      <c r="F81" s="9" t="s">
        <v>372</v>
      </c>
      <c r="G81" s="8">
        <f>ROUND(C9/1000*G85/(G76/G67*G70/1000/G73),3)</f>
        <v>7.016</v>
      </c>
      <c r="H81" s="19">
        <f t="shared" si="16"/>
        <v>745.67451199999994</v>
      </c>
      <c r="I81" s="8" t="s">
        <v>111</v>
      </c>
      <c r="K81" s="7"/>
      <c r="L81" s="9" t="str">
        <f t="shared" si="13"/>
        <v>Sulfur acid（98%）[kg]</v>
      </c>
      <c r="M81" s="19">
        <f t="shared" si="14"/>
        <v>3134.6410407641761</v>
      </c>
      <c r="N81" s="44" t="str">
        <f t="shared" si="15"/>
        <v>Corrosion reaction (anode)</v>
      </c>
      <c r="P81" s="7"/>
      <c r="Q81" s="44" t="str">
        <f>L19</f>
        <v>Deionized water [kg]</v>
      </c>
      <c r="R81" s="19">
        <f>M19</f>
        <v>782.18323471105134</v>
      </c>
      <c r="S81" s="44" t="str">
        <f>N19</f>
        <v>Cold rolling 2 (anode)</v>
      </c>
      <c r="AH81" s="43"/>
      <c r="AI81" s="43"/>
      <c r="AJ81" s="43"/>
      <c r="AK81" s="43"/>
      <c r="AL81" s="43"/>
    </row>
    <row r="82" spans="5:44" ht="14.5">
      <c r="E82" s="7"/>
      <c r="F82" s="9" t="s">
        <v>81</v>
      </c>
      <c r="G82" s="8">
        <f>ROUND(C14/1000*G85,3)</f>
        <v>0.10299999999999999</v>
      </c>
      <c r="H82" s="19">
        <f t="shared" si="16"/>
        <v>10.947045999999999</v>
      </c>
      <c r="I82" s="8" t="s">
        <v>111</v>
      </c>
      <c r="K82" s="7"/>
      <c r="L82" s="9" t="str">
        <f t="shared" si="13"/>
        <v>Nitric acid（98%）[kg]</v>
      </c>
      <c r="M82" s="19">
        <f t="shared" si="14"/>
        <v>157.78157621885674</v>
      </c>
      <c r="N82" s="44" t="str">
        <f t="shared" si="15"/>
        <v>Corrosion reaction (anode)</v>
      </c>
      <c r="P82" s="7"/>
      <c r="Q82" s="44" t="str">
        <f>L22</f>
        <v>Deionized water [kg]</v>
      </c>
      <c r="R82" s="19">
        <f>M22</f>
        <v>1042.9109796147352</v>
      </c>
      <c r="S82" s="44" t="str">
        <f>N22</f>
        <v>Foil rolling  (anode)</v>
      </c>
      <c r="AH82" s="43"/>
      <c r="AI82" s="43"/>
      <c r="AJ82" s="43"/>
      <c r="AK82" s="43"/>
      <c r="AL82" s="43"/>
      <c r="AR82"/>
    </row>
    <row r="83" spans="5:44">
      <c r="E83" s="7"/>
      <c r="F83" s="9" t="s">
        <v>82</v>
      </c>
      <c r="G83" s="8">
        <f>ROUND(C15/1000*G85,3)</f>
        <v>7.0000000000000007E-2</v>
      </c>
      <c r="H83" s="19">
        <f t="shared" si="16"/>
        <v>7.4397400000000005</v>
      </c>
      <c r="I83" s="8" t="s">
        <v>111</v>
      </c>
      <c r="K83" s="7"/>
      <c r="L83" s="9" t="str">
        <f t="shared" si="13"/>
        <v>Hydrochloric acid（31%）[kg]</v>
      </c>
      <c r="M83" s="19">
        <f t="shared" si="14"/>
        <v>525.94746661937563</v>
      </c>
      <c r="N83" s="44" t="str">
        <f t="shared" si="15"/>
        <v>Corrosion reaction (anode)</v>
      </c>
      <c r="P83" s="7"/>
      <c r="Q83" s="44" t="str">
        <f>L46</f>
        <v>Deionized water [kg]</v>
      </c>
      <c r="R83" s="19">
        <f>M46</f>
        <v>3.7613024766840382</v>
      </c>
      <c r="S83" s="44" t="str">
        <f>N46</f>
        <v>Casting rolling (cathode)</v>
      </c>
      <c r="AH83" s="43"/>
      <c r="AI83" s="43"/>
      <c r="AJ83" s="43"/>
      <c r="AK83" s="43"/>
      <c r="AL83" s="43"/>
    </row>
    <row r="84" spans="5:44">
      <c r="E84" s="7"/>
      <c r="F84" s="9" t="s">
        <v>59</v>
      </c>
      <c r="G84" s="8">
        <f>ROUND(G85/G78/60*G77,3)</f>
        <v>4.444</v>
      </c>
      <c r="H84" s="19">
        <f t="shared" si="16"/>
        <v>472.31720799999999</v>
      </c>
      <c r="I84" s="8" t="s">
        <v>111</v>
      </c>
      <c r="K84" s="7"/>
      <c r="L84" s="9" t="str">
        <f t="shared" si="13"/>
        <v>NaOH solution (30%) [kg]</v>
      </c>
      <c r="M84" s="19">
        <f t="shared" si="14"/>
        <v>525.94746661937563</v>
      </c>
      <c r="N84" s="44" t="str">
        <f t="shared" si="15"/>
        <v>Corrosion reaction (anode)</v>
      </c>
      <c r="P84" s="7"/>
      <c r="Q84" s="44" t="str">
        <f>L49</f>
        <v>Deionized water [kg]</v>
      </c>
      <c r="R84" s="19">
        <f>M49</f>
        <v>17.766277167212262</v>
      </c>
      <c r="S84" s="44" t="str">
        <f>N49</f>
        <v>Cold rolling 1 (cathode)</v>
      </c>
      <c r="AH84" s="43"/>
      <c r="AI84" s="43"/>
      <c r="AJ84" s="43"/>
      <c r="AK84" s="43"/>
      <c r="AL84" s="43"/>
    </row>
    <row r="85" spans="5:44">
      <c r="E85" s="7" t="s">
        <v>45</v>
      </c>
      <c r="F85" s="10" t="s">
        <v>75</v>
      </c>
      <c r="G85" s="14">
        <v>1000</v>
      </c>
      <c r="H85" s="19">
        <f>H99</f>
        <v>106282</v>
      </c>
      <c r="I85" s="8" t="s">
        <v>111</v>
      </c>
      <c r="K85" s="7"/>
      <c r="L85" s="9" t="str">
        <f t="shared" si="13"/>
        <v>Electricity [kWh]</v>
      </c>
      <c r="M85" s="19">
        <f t="shared" si="14"/>
        <v>799.43641998771272</v>
      </c>
      <c r="N85" s="44" t="str">
        <f t="shared" si="15"/>
        <v>Production of anode etched foil</v>
      </c>
      <c r="P85" s="7"/>
      <c r="Q85" s="44" t="str">
        <f>L53</f>
        <v>Deionized water [kg]</v>
      </c>
      <c r="R85" s="19">
        <f>M53</f>
        <v>532.9692146522284</v>
      </c>
      <c r="S85" s="44" t="str">
        <f>N53</f>
        <v>Cold rolling 2 (cathode)</v>
      </c>
      <c r="X85" s="28"/>
    </row>
    <row r="86" spans="5:44">
      <c r="E86" s="7"/>
      <c r="F86" s="9" t="s">
        <v>86</v>
      </c>
      <c r="G86" s="8">
        <f>ROUND(G79*(1-(G74/G65*G68/1000/G71)),3)</f>
        <v>4.0000000000000001E-3</v>
      </c>
      <c r="H86" s="19">
        <f>H$85/G$85*G86</f>
        <v>0.42512800000000001</v>
      </c>
      <c r="I86" s="8" t="s">
        <v>111</v>
      </c>
      <c r="K86" s="7"/>
      <c r="L86" s="9" t="str">
        <f t="shared" si="13"/>
        <v>Deionized water [kg]</v>
      </c>
      <c r="M86" s="19">
        <f t="shared" si="14"/>
        <v>6443.6922229697839</v>
      </c>
      <c r="N86" s="44" t="str">
        <f t="shared" si="15"/>
        <v>Hydration</v>
      </c>
      <c r="P86" s="7"/>
      <c r="Q86" s="44" t="str">
        <f>L56</f>
        <v>Deionized water [kg]</v>
      </c>
      <c r="R86" s="19">
        <f>M56</f>
        <v>1065.9384293044568</v>
      </c>
      <c r="S86" s="44" t="str">
        <f>N56</f>
        <v>Foil rolling  (cathode)</v>
      </c>
      <c r="V86" s="27"/>
      <c r="X86" s="28"/>
    </row>
    <row r="87" spans="5:44">
      <c r="E87" s="7"/>
      <c r="F87" s="9" t="s">
        <v>85</v>
      </c>
      <c r="G87" s="8">
        <f>ROUND(G80*(1-G75/G66*G69/1000/G72),3)</f>
        <v>4.0000000000000001E-3</v>
      </c>
      <c r="H87" s="19">
        <f>H$85/G$85*G87</f>
        <v>0.42512800000000001</v>
      </c>
      <c r="I87" s="8" t="s">
        <v>111</v>
      </c>
      <c r="K87" s="7"/>
      <c r="L87" s="9" t="str">
        <f t="shared" si="13"/>
        <v>Electricity [kWh]</v>
      </c>
      <c r="M87" s="19">
        <f t="shared" si="14"/>
        <v>538.26072937329729</v>
      </c>
      <c r="N87" s="44" t="str">
        <f t="shared" si="15"/>
        <v>Hydration</v>
      </c>
      <c r="P87" s="7"/>
      <c r="Q87" s="44" t="str">
        <f t="shared" ref="Q87:S91" si="17">L75</f>
        <v>Deionized water [kg]</v>
      </c>
      <c r="R87" s="19">
        <f t="shared" si="17"/>
        <v>23941.084994735902</v>
      </c>
      <c r="S87" s="44" t="str">
        <f t="shared" si="17"/>
        <v>Preparation of sulfuric acid (anode)</v>
      </c>
      <c r="V87" s="28"/>
      <c r="X87" s="28"/>
    </row>
    <row r="88" spans="5:44">
      <c r="E88" s="7"/>
      <c r="F88" s="9" t="s">
        <v>335</v>
      </c>
      <c r="G88" s="8">
        <f>ROUND(G81*(1-G76/G67*G70/1000/G73),3)</f>
        <v>4.0000000000000001E-3</v>
      </c>
      <c r="H88" s="19">
        <f>H$85/G$85*G88</f>
        <v>0.42512800000000001</v>
      </c>
      <c r="I88" s="8" t="s">
        <v>111</v>
      </c>
      <c r="K88" s="7"/>
      <c r="L88" s="9" t="str">
        <f t="shared" si="13"/>
        <v>HBO3 [kg]</v>
      </c>
      <c r="M88" s="19">
        <f t="shared" si="14"/>
        <v>146.37399422996123</v>
      </c>
      <c r="N88" s="44" t="str">
        <f t="shared" si="15"/>
        <v>Formation process</v>
      </c>
      <c r="P88" s="7"/>
      <c r="Q88" s="44" t="str">
        <f t="shared" si="17"/>
        <v>Deionized water [kg]</v>
      </c>
      <c r="R88" s="19">
        <f t="shared" si="17"/>
        <v>2798.0341293743841</v>
      </c>
      <c r="S88" s="44" t="str">
        <f t="shared" si="17"/>
        <v>Cleaning after sulfuric acid treatment  (anode)</v>
      </c>
    </row>
    <row r="89" spans="5:44">
      <c r="K89" s="7"/>
      <c r="L89" s="9" t="str">
        <f t="shared" si="13"/>
        <v>Ammonium citrate [kg]</v>
      </c>
      <c r="M89" s="19">
        <f t="shared" si="14"/>
        <v>281.91311636655814</v>
      </c>
      <c r="N89" s="44" t="str">
        <f t="shared" si="15"/>
        <v>Formation process</v>
      </c>
      <c r="P89" s="7"/>
      <c r="Q89" s="44" t="str">
        <f t="shared" si="17"/>
        <v>Deionized water [kg]</v>
      </c>
      <c r="R89" s="19">
        <f t="shared" si="17"/>
        <v>5322.5793053804309</v>
      </c>
      <c r="S89" s="44" t="str">
        <f t="shared" si="17"/>
        <v>Preparation of nitric acid (anode)</v>
      </c>
    </row>
    <row r="90" spans="5:44">
      <c r="E90" s="79" t="s">
        <v>41</v>
      </c>
      <c r="F90" s="80"/>
      <c r="G90" s="34" t="s">
        <v>374</v>
      </c>
      <c r="H90" s="34" t="s">
        <v>373</v>
      </c>
      <c r="I90" s="34" t="s">
        <v>290</v>
      </c>
      <c r="K90" s="7"/>
      <c r="L90" s="9" t="str">
        <f t="shared" si="13"/>
        <v>Ammonium pentaborate [kg]</v>
      </c>
      <c r="M90" s="19">
        <f t="shared" si="14"/>
        <v>77.322495314107357</v>
      </c>
      <c r="N90" s="44" t="str">
        <f t="shared" si="15"/>
        <v>Formation process</v>
      </c>
      <c r="P90" s="7"/>
      <c r="Q90" s="44" t="str">
        <f t="shared" si="17"/>
        <v>Deionized water [kg]</v>
      </c>
      <c r="R90" s="19">
        <f t="shared" si="17"/>
        <v>6647.9631919875192</v>
      </c>
      <c r="S90" s="44" t="str">
        <f t="shared" si="17"/>
        <v>Cleaning after nitric acid treatment  (anode)</v>
      </c>
    </row>
    <row r="91" spans="5:44">
      <c r="E91" s="7" t="s">
        <v>43</v>
      </c>
      <c r="F91" s="7" t="s">
        <v>253</v>
      </c>
      <c r="G91" s="8">
        <v>15</v>
      </c>
      <c r="H91" s="81" t="s">
        <v>22</v>
      </c>
      <c r="I91" s="82"/>
      <c r="K91" s="7"/>
      <c r="L91" s="9" t="str">
        <f t="shared" si="13"/>
        <v>H3PO4 [kg]</v>
      </c>
      <c r="M91" s="19">
        <f t="shared" si="14"/>
        <v>805.46319272557037</v>
      </c>
      <c r="N91" s="44" t="str">
        <f t="shared" si="15"/>
        <v>Passivation</v>
      </c>
      <c r="P91" s="7"/>
      <c r="Q91" s="44" t="str">
        <f t="shared" si="17"/>
        <v>Deionized water [kg]</v>
      </c>
      <c r="R91" s="19">
        <f t="shared" si="17"/>
        <v>1072.9320327734397</v>
      </c>
      <c r="S91" s="44" t="str">
        <f t="shared" si="17"/>
        <v>Cleaning of sulfuric acid recovery system (anode)</v>
      </c>
    </row>
    <row r="92" spans="5:44">
      <c r="E92" s="7"/>
      <c r="F92" s="7" t="s">
        <v>97</v>
      </c>
      <c r="G92" s="8">
        <f>18/60</f>
        <v>0.3</v>
      </c>
      <c r="H92" s="83"/>
      <c r="I92" s="84"/>
      <c r="K92" s="7"/>
      <c r="L92" s="9" t="str">
        <f t="shared" si="13"/>
        <v>NH4H2PO4 [kg]</v>
      </c>
      <c r="M92" s="19">
        <f t="shared" si="14"/>
        <v>12.88597264945291</v>
      </c>
      <c r="N92" s="44" t="str">
        <f t="shared" si="15"/>
        <v>Phosphating</v>
      </c>
      <c r="P92" s="7"/>
      <c r="Q92" s="44" t="str">
        <f>L86</f>
        <v>Deionized water [kg]</v>
      </c>
      <c r="R92" s="19">
        <f>M86</f>
        <v>6443.6922229697839</v>
      </c>
      <c r="S92" s="44" t="str">
        <f>N86</f>
        <v>Hydration</v>
      </c>
    </row>
    <row r="93" spans="5:44">
      <c r="E93" s="7"/>
      <c r="F93" s="7" t="s">
        <v>77</v>
      </c>
      <c r="G93" s="8">
        <v>1.5</v>
      </c>
      <c r="H93" s="83"/>
      <c r="I93" s="84"/>
      <c r="K93" s="7"/>
      <c r="L93" s="9" t="str">
        <f t="shared" si="13"/>
        <v>Deionized water [kg]</v>
      </c>
      <c r="M93" s="19">
        <f t="shared" si="14"/>
        <v>341952.99177914101</v>
      </c>
      <c r="N93" s="44" t="str">
        <f t="shared" si="15"/>
        <v>Formation process</v>
      </c>
      <c r="P93" s="7"/>
      <c r="Q93" s="44" t="str">
        <f t="shared" ref="Q93:S98" si="18">L93</f>
        <v>Deionized water [kg]</v>
      </c>
      <c r="R93" s="19">
        <f t="shared" si="18"/>
        <v>341952.99177914101</v>
      </c>
      <c r="S93" s="44" t="str">
        <f t="shared" si="18"/>
        <v>Formation process</v>
      </c>
    </row>
    <row r="94" spans="5:44">
      <c r="E94" s="7"/>
      <c r="F94" s="7" t="s">
        <v>78</v>
      </c>
      <c r="G94" s="8">
        <v>0.75</v>
      </c>
      <c r="H94" s="83"/>
      <c r="I94" s="84"/>
      <c r="K94" s="7"/>
      <c r="L94" s="9" t="str">
        <f t="shared" si="13"/>
        <v>Deionized water [kg]</v>
      </c>
      <c r="M94" s="19">
        <f t="shared" si="14"/>
        <v>225362.88887637758</v>
      </c>
      <c r="N94" s="44" t="str">
        <f t="shared" si="15"/>
        <v>Water cleaning</v>
      </c>
      <c r="P94" s="7"/>
      <c r="Q94" s="44" t="str">
        <f t="shared" si="18"/>
        <v>Deionized water [kg]</v>
      </c>
      <c r="R94" s="19">
        <f t="shared" si="18"/>
        <v>225362.88887637758</v>
      </c>
      <c r="S94" s="44" t="str">
        <f t="shared" si="18"/>
        <v>Water cleaning</v>
      </c>
    </row>
    <row r="95" spans="5:44">
      <c r="E95" s="7"/>
      <c r="F95" s="7" t="s">
        <v>79</v>
      </c>
      <c r="G95" s="8">
        <v>3</v>
      </c>
      <c r="H95" s="83"/>
      <c r="I95" s="84"/>
      <c r="K95" s="7"/>
      <c r="L95" s="9" t="str">
        <f t="shared" si="13"/>
        <v>Deionized water [kg]</v>
      </c>
      <c r="M95" s="19">
        <f t="shared" si="14"/>
        <v>22104.737330636708</v>
      </c>
      <c r="N95" s="44" t="str">
        <f t="shared" si="15"/>
        <v>Passivation</v>
      </c>
      <c r="P95" s="7"/>
      <c r="Q95" s="44" t="str">
        <f t="shared" si="18"/>
        <v>Deionized water [kg]</v>
      </c>
      <c r="R95" s="19">
        <f t="shared" si="18"/>
        <v>22104.737330636708</v>
      </c>
      <c r="S95" s="44" t="str">
        <f t="shared" si="18"/>
        <v>Passivation</v>
      </c>
    </row>
    <row r="96" spans="5:44">
      <c r="E96" s="7"/>
      <c r="F96" s="7" t="s">
        <v>80</v>
      </c>
      <c r="G96" s="8">
        <v>80</v>
      </c>
      <c r="H96" s="83"/>
      <c r="I96" s="84"/>
      <c r="K96" s="7"/>
      <c r="L96" s="9" t="str">
        <f t="shared" si="13"/>
        <v>Deionized water [kg]</v>
      </c>
      <c r="M96" s="19">
        <f t="shared" si="14"/>
        <v>49496.426083617895</v>
      </c>
      <c r="N96" s="44" t="str">
        <f t="shared" si="15"/>
        <v>Phosphating</v>
      </c>
      <c r="P96" s="7"/>
      <c r="Q96" s="44" t="str">
        <f t="shared" si="18"/>
        <v>Deionized water [kg]</v>
      </c>
      <c r="R96" s="19">
        <f t="shared" si="18"/>
        <v>49496.426083617895</v>
      </c>
      <c r="S96" s="44" t="str">
        <f t="shared" si="18"/>
        <v>Phosphating</v>
      </c>
    </row>
    <row r="97" spans="5:19" ht="15" customHeight="1">
      <c r="E97" s="7"/>
      <c r="F97" s="7" t="s">
        <v>435</v>
      </c>
      <c r="G97" s="8">
        <f>ROUNDDOWN(G96*G95*1000/(C18-C13-C12-C11-C16-C17),0)</f>
        <v>3755</v>
      </c>
      <c r="H97" s="83"/>
      <c r="I97" s="84"/>
      <c r="K97" s="7"/>
      <c r="L97" s="9" t="str">
        <f t="shared" si="13"/>
        <v>Deionized water [kg]</v>
      </c>
      <c r="M97" s="19">
        <f t="shared" si="14"/>
        <v>31906.827018671247</v>
      </c>
      <c r="N97" s="44" t="str">
        <f t="shared" si="15"/>
        <v>Equipment wash</v>
      </c>
      <c r="P97" s="7"/>
      <c r="Q97" s="44" t="str">
        <f t="shared" si="18"/>
        <v>Deionized water [kg]</v>
      </c>
      <c r="R97" s="19">
        <f t="shared" si="18"/>
        <v>31906.827018671247</v>
      </c>
      <c r="S97" s="44" t="str">
        <f t="shared" si="18"/>
        <v>Equipment wash</v>
      </c>
    </row>
    <row r="98" spans="5:19">
      <c r="E98" s="7"/>
      <c r="F98" s="7" t="s">
        <v>70</v>
      </c>
      <c r="G98" s="8">
        <v>0.95</v>
      </c>
      <c r="H98" s="91"/>
      <c r="I98" s="92"/>
      <c r="K98" s="7"/>
      <c r="L98" s="9" t="str">
        <f t="shared" si="13"/>
        <v>Deionized water [kg]</v>
      </c>
      <c r="M98" s="19">
        <f t="shared" si="14"/>
        <v>3196.5203471511095</v>
      </c>
      <c r="N98" s="44" t="str">
        <f t="shared" si="15"/>
        <v>Water for phosphoric acid recovery system</v>
      </c>
      <c r="P98" s="7"/>
      <c r="Q98" s="44" t="str">
        <f t="shared" si="18"/>
        <v>Deionized water [kg]</v>
      </c>
      <c r="R98" s="19">
        <f t="shared" si="18"/>
        <v>3196.5203471511095</v>
      </c>
      <c r="S98" s="44" t="str">
        <f t="shared" si="18"/>
        <v>Water for phosphoric acid recovery system</v>
      </c>
    </row>
    <row r="99" spans="5:19">
      <c r="E99" s="7" t="s">
        <v>44</v>
      </c>
      <c r="F99" s="10" t="s">
        <v>96</v>
      </c>
      <c r="G99" s="8">
        <f>G97</f>
        <v>3755</v>
      </c>
      <c r="H99" s="19">
        <f>H$102/G$102*G99</f>
        <v>106282</v>
      </c>
      <c r="I99" s="8" t="s">
        <v>112</v>
      </c>
      <c r="K99" s="7"/>
      <c r="L99" s="9" t="str">
        <f t="shared" si="13"/>
        <v>Tap water [kg]</v>
      </c>
      <c r="M99" s="19">
        <f t="shared" si="14"/>
        <v>418406.20004425797</v>
      </c>
      <c r="N99" s="44" t="str">
        <f t="shared" si="15"/>
        <v xml:space="preserve">Water for cooling tower </v>
      </c>
      <c r="P99" s="7"/>
      <c r="Q99" s="44" t="str">
        <f t="shared" ref="Q99:S103" si="19">L131</f>
        <v>Deionized water [kg]</v>
      </c>
      <c r="R99" s="19">
        <f t="shared" si="19"/>
        <v>24473.310186580653</v>
      </c>
      <c r="S99" s="44" t="str">
        <f t="shared" si="19"/>
        <v>Preparation of sulfuric acid (cathode)</v>
      </c>
    </row>
    <row r="100" spans="5:19">
      <c r="E100" s="7"/>
      <c r="F100" s="10" t="s">
        <v>76</v>
      </c>
      <c r="G100" s="8">
        <f>ROUND(C10/1000*G97/G98,3)</f>
        <v>78.986000000000004</v>
      </c>
      <c r="H100" s="19">
        <f>H$102/G$102*G100</f>
        <v>2235.6298407456725</v>
      </c>
      <c r="I100" s="8" t="s">
        <v>112</v>
      </c>
      <c r="K100" s="7"/>
      <c r="L100" s="9" t="str">
        <f t="shared" si="13"/>
        <v>Electricity [kWh]</v>
      </c>
      <c r="M100" s="19">
        <f t="shared" si="14"/>
        <v>10518.929354135344</v>
      </c>
      <c r="N100" s="44" t="str">
        <f t="shared" si="15"/>
        <v>Formation process (first stage)</v>
      </c>
      <c r="P100" s="7"/>
      <c r="Q100" s="44" t="str">
        <f t="shared" si="19"/>
        <v>Deionized water [kg]</v>
      </c>
      <c r="R100" s="19">
        <f t="shared" si="19"/>
        <v>2860.2384019766055</v>
      </c>
      <c r="S100" s="44" t="str">
        <f t="shared" si="19"/>
        <v>Cleaning after sulfuric acid treatment  (cathode)</v>
      </c>
    </row>
    <row r="101" spans="5:19">
      <c r="E101" s="7"/>
      <c r="F101" s="9" t="s">
        <v>59</v>
      </c>
      <c r="G101" s="8">
        <f>ROUND(G91*G92+G93*G94,3)</f>
        <v>5.625</v>
      </c>
      <c r="H101" s="19">
        <f>H$102/G$102*G101</f>
        <v>159.21071904127828</v>
      </c>
      <c r="I101" s="8" t="s">
        <v>112</v>
      </c>
      <c r="K101" s="7"/>
      <c r="L101" s="9" t="str">
        <f t="shared" si="13"/>
        <v>Electricity [kWh]</v>
      </c>
      <c r="M101" s="19">
        <f t="shared" si="14"/>
        <v>23667.596041367564</v>
      </c>
      <c r="N101" s="44" t="str">
        <f t="shared" si="15"/>
        <v>Formation process (second stage)</v>
      </c>
      <c r="P101" s="7"/>
      <c r="Q101" s="44" t="str">
        <f t="shared" si="19"/>
        <v>Deionized water [kg]</v>
      </c>
      <c r="R101" s="19">
        <f t="shared" si="19"/>
        <v>5440.9035203527956</v>
      </c>
      <c r="S101" s="44" t="str">
        <f t="shared" si="19"/>
        <v>Preparation of nitric acid (cathode)</v>
      </c>
    </row>
    <row r="102" spans="5:19">
      <c r="E102" s="7" t="s">
        <v>45</v>
      </c>
      <c r="F102" s="10" t="s">
        <v>71</v>
      </c>
      <c r="G102" s="8">
        <f>G99</f>
        <v>3755</v>
      </c>
      <c r="H102" s="19">
        <f>H109</f>
        <v>106282</v>
      </c>
      <c r="I102" s="8" t="s">
        <v>112</v>
      </c>
      <c r="K102" s="7"/>
      <c r="L102" s="9" t="str">
        <f t="shared" si="13"/>
        <v>Electricity [kWh]</v>
      </c>
      <c r="M102" s="19">
        <f t="shared" si="14"/>
        <v>36816.256069182396</v>
      </c>
      <c r="N102" s="44" t="str">
        <f t="shared" si="15"/>
        <v>Formation process (third stage)</v>
      </c>
      <c r="P102" s="7"/>
      <c r="Q102" s="44" t="str">
        <f t="shared" si="19"/>
        <v>Deionized water [kg]</v>
      </c>
      <c r="R102" s="19">
        <f t="shared" si="19"/>
        <v>6795.7529911409865</v>
      </c>
      <c r="S102" s="44" t="str">
        <f t="shared" si="19"/>
        <v>Cleaning after nitric acid treatment  (cathode)</v>
      </c>
    </row>
    <row r="103" spans="5:19">
      <c r="K103" s="7"/>
      <c r="L103" s="9" t="str">
        <f t="shared" si="13"/>
        <v>Electricity [kWh]</v>
      </c>
      <c r="M103" s="19">
        <f t="shared" si="14"/>
        <v>49964.92275641462</v>
      </c>
      <c r="N103" s="44" t="str">
        <f t="shared" si="15"/>
        <v>Formation process (fourth stage)</v>
      </c>
      <c r="P103" s="7"/>
      <c r="Q103" s="44" t="str">
        <f t="shared" si="19"/>
        <v>Deionized water [kg]</v>
      </c>
      <c r="R103" s="19">
        <f t="shared" si="19"/>
        <v>1096.7818243878073</v>
      </c>
      <c r="S103" s="44" t="str">
        <f t="shared" si="19"/>
        <v>Cleaning of sulfuric acid recovery system (cathode)</v>
      </c>
    </row>
    <row r="104" spans="5:19">
      <c r="E104" s="79" t="s">
        <v>239</v>
      </c>
      <c r="F104" s="80"/>
      <c r="G104" s="34" t="s">
        <v>374</v>
      </c>
      <c r="H104" s="34" t="s">
        <v>373</v>
      </c>
      <c r="I104" s="34" t="s">
        <v>290</v>
      </c>
      <c r="K104" s="7"/>
      <c r="L104" s="9" t="str">
        <f t="shared" si="13"/>
        <v>Electricity [kWh]</v>
      </c>
      <c r="M104" s="19">
        <f t="shared" si="14"/>
        <v>64428.451450777895</v>
      </c>
      <c r="N104" s="44" t="str">
        <f t="shared" si="15"/>
        <v>Formation process (fifth stage)</v>
      </c>
      <c r="P104" s="7"/>
      <c r="Q104" s="44" t="str">
        <f>L13</f>
        <v>Tap water [kg]</v>
      </c>
      <c r="R104" s="19">
        <f>M13</f>
        <v>4720.4752609247371</v>
      </c>
      <c r="S104" s="44" t="str">
        <f>N13</f>
        <v>Casting rolling (anode)</v>
      </c>
    </row>
    <row r="105" spans="5:19">
      <c r="E105" s="7" t="s">
        <v>43</v>
      </c>
      <c r="F105" s="7" t="s">
        <v>67</v>
      </c>
      <c r="G105" s="8">
        <v>2.5</v>
      </c>
      <c r="H105" s="81" t="s">
        <v>22</v>
      </c>
      <c r="I105" s="82"/>
      <c r="K105" s="7"/>
      <c r="L105" s="9" t="str">
        <f t="shared" si="13"/>
        <v>Electricity [kWh]</v>
      </c>
      <c r="M105" s="19">
        <f t="shared" si="14"/>
        <v>399.28534786351292</v>
      </c>
      <c r="N105" s="44" t="str">
        <f t="shared" si="15"/>
        <v>Heat treatment</v>
      </c>
      <c r="P105" s="7"/>
      <c r="Q105" s="44" t="str">
        <f>L47</f>
        <v>Tap water [kg]</v>
      </c>
      <c r="R105" s="19">
        <f>M47</f>
        <v>1949.0173186320912</v>
      </c>
      <c r="S105" s="44" t="str">
        <f>N47</f>
        <v>Casting rolling (cathode)</v>
      </c>
    </row>
    <row r="106" spans="5:19">
      <c r="E106" s="7"/>
      <c r="F106" s="7" t="s">
        <v>68</v>
      </c>
      <c r="G106" s="8">
        <v>30</v>
      </c>
      <c r="H106" s="83"/>
      <c r="I106" s="84"/>
      <c r="K106" s="7"/>
      <c r="L106" s="9" t="str">
        <f t="shared" ref="L106:L124" si="20">F201</f>
        <v>Electricity [kWh]</v>
      </c>
      <c r="M106" s="19">
        <f t="shared" ref="M106:M124" si="21">H201</f>
        <v>193285.35435233367</v>
      </c>
      <c r="N106" s="44" t="str">
        <f t="shared" ref="N106:N124" si="22">I201</f>
        <v>Formation process (sixth stage)</v>
      </c>
      <c r="P106" s="7"/>
      <c r="Q106" s="44" t="str">
        <f>L80</f>
        <v>Tap water [kg]</v>
      </c>
      <c r="R106" s="19">
        <f>M80</f>
        <v>3050.4926426254228</v>
      </c>
      <c r="S106" s="44" t="str">
        <f>N80</f>
        <v>Waste gas treatment (anode)</v>
      </c>
    </row>
    <row r="107" spans="5:19">
      <c r="E107" s="7"/>
      <c r="F107" s="9" t="s">
        <v>255</v>
      </c>
      <c r="G107" s="8">
        <f>0.99</f>
        <v>0.99</v>
      </c>
      <c r="H107" s="83"/>
      <c r="I107" s="84"/>
      <c r="K107" s="7"/>
      <c r="L107" s="9" t="str">
        <f t="shared" si="20"/>
        <v>Electricity [kWh]</v>
      </c>
      <c r="M107" s="19">
        <f t="shared" si="21"/>
        <v>108.83485840310537</v>
      </c>
      <c r="N107" s="44" t="str">
        <f t="shared" si="22"/>
        <v>Drying</v>
      </c>
      <c r="P107" s="7"/>
      <c r="Q107" s="44" t="str">
        <f>L99</f>
        <v>Tap water [kg]</v>
      </c>
      <c r="R107" s="19">
        <f>M99</f>
        <v>418406.20004425797</v>
      </c>
      <c r="S107" s="44" t="str">
        <f>N99</f>
        <v xml:space="preserve">Water for cooling tower </v>
      </c>
    </row>
    <row r="108" spans="5:19">
      <c r="E108" s="7"/>
      <c r="F108" s="9" t="s">
        <v>254</v>
      </c>
      <c r="G108" s="8">
        <f>0.99</f>
        <v>0.99</v>
      </c>
      <c r="H108" s="91"/>
      <c r="I108" s="92"/>
      <c r="K108" s="44" t="s">
        <v>192</v>
      </c>
      <c r="L108" s="9" t="str">
        <f t="shared" si="20"/>
        <v>Al coil of 0.12 mm anode formed foil [kg]</v>
      </c>
      <c r="M108" s="19">
        <f t="shared" si="21"/>
        <v>2995.4791955674741</v>
      </c>
      <c r="N108" s="44" t="str">
        <f t="shared" si="22"/>
        <v>Production of anode formed foil</v>
      </c>
      <c r="P108" s="7"/>
      <c r="Q108" s="44" t="str">
        <f>L136</f>
        <v>Tap water [kg]</v>
      </c>
      <c r="R108" s="19">
        <f>M136</f>
        <v>3118.3032119700774</v>
      </c>
      <c r="S108" s="44" t="str">
        <f>N136</f>
        <v>Waste gas treatment</v>
      </c>
    </row>
    <row r="109" spans="5:19">
      <c r="E109" s="7" t="s">
        <v>44</v>
      </c>
      <c r="F109" s="10" t="s">
        <v>241</v>
      </c>
      <c r="G109" s="8">
        <f>1000</f>
        <v>1000</v>
      </c>
      <c r="H109" s="19">
        <f>ROUND(H$116/G$116*G109,0)</f>
        <v>106282</v>
      </c>
      <c r="I109" s="8" t="s">
        <v>240</v>
      </c>
      <c r="K109" s="7"/>
      <c r="L109" s="9" t="str">
        <f t="shared" si="20"/>
        <v>AlPO4 [kg]</v>
      </c>
      <c r="M109" s="19">
        <f t="shared" si="21"/>
        <v>103.74040409983328</v>
      </c>
      <c r="N109" s="44" t="str">
        <f t="shared" si="22"/>
        <v>Production of anode formed foil</v>
      </c>
      <c r="P109" s="44" t="s">
        <v>225</v>
      </c>
      <c r="Q109" s="44" t="str">
        <f>L175</f>
        <v>Capacitors (qualified) [pcs]</v>
      </c>
      <c r="R109" s="19">
        <f>M175</f>
        <v>100000</v>
      </c>
      <c r="S109" s="44" t="str">
        <f>N175</f>
        <v>Aging and inspection</v>
      </c>
    </row>
    <row r="110" spans="5:19">
      <c r="E110" s="7"/>
      <c r="F110" s="10" t="s">
        <v>434</v>
      </c>
      <c r="G110" s="15">
        <f>C11/1000*G109</f>
        <v>2.3655975000000002</v>
      </c>
      <c r="H110" s="19">
        <f t="shared" ref="H110:H115" si="23">H$116/G$116*G110</f>
        <v>251.42046197581882</v>
      </c>
      <c r="I110" s="8" t="s">
        <v>240</v>
      </c>
      <c r="K110" s="7"/>
      <c r="L110" s="9" t="str">
        <f t="shared" si="20"/>
        <v>Waste Al foil [kg]</v>
      </c>
      <c r="M110" s="19">
        <f t="shared" si="21"/>
        <v>85.673404721039631</v>
      </c>
      <c r="N110" s="44" t="str">
        <f t="shared" si="22"/>
        <v>Production of anode formed foil</v>
      </c>
      <c r="P110" s="7"/>
      <c r="Q110" s="44" t="str">
        <f>L109</f>
        <v>AlPO4 [kg]</v>
      </c>
      <c r="R110" s="19">
        <f>M109</f>
        <v>103.74040409983328</v>
      </c>
      <c r="S110" s="44" t="str">
        <f>N109</f>
        <v>Production of anode formed foil</v>
      </c>
    </row>
    <row r="111" spans="5:19">
      <c r="E111" s="7"/>
      <c r="F111" s="10" t="s">
        <v>72</v>
      </c>
      <c r="G111" s="15">
        <f>C12/1000*G109</f>
        <v>9.4582687500000002</v>
      </c>
      <c r="H111" s="19">
        <f t="shared" si="23"/>
        <v>1005.243833161157</v>
      </c>
      <c r="I111" s="8" t="s">
        <v>240</v>
      </c>
      <c r="K111" s="7"/>
      <c r="L111" s="9" t="str">
        <f t="shared" si="20"/>
        <v>Wastewater [kg]</v>
      </c>
      <c r="M111" s="19">
        <f t="shared" si="21"/>
        <v>538048.4138280726</v>
      </c>
      <c r="N111" s="44" t="str">
        <f t="shared" si="22"/>
        <v>Production of anode formed foil</v>
      </c>
      <c r="P111" s="7"/>
      <c r="Q111" s="44" t="str">
        <f t="shared" ref="Q111:S112" si="24">L182</f>
        <v>Capacitors (waste) [pcs]</v>
      </c>
      <c r="R111" s="19">
        <f t="shared" si="24"/>
        <v>2115</v>
      </c>
      <c r="S111" s="44" t="str">
        <f t="shared" si="24"/>
        <v>Assembly( including sleeving)</v>
      </c>
    </row>
    <row r="112" spans="5:19">
      <c r="E112" s="7"/>
      <c r="F112" s="10" t="s">
        <v>73</v>
      </c>
      <c r="G112" s="15">
        <f>C16/1000*G109</f>
        <v>5.9346000000000003E-2</v>
      </c>
      <c r="H112" s="19">
        <f t="shared" si="23"/>
        <v>6.3074122865013775</v>
      </c>
      <c r="I112" s="8" t="s">
        <v>240</v>
      </c>
      <c r="K112" s="7"/>
      <c r="L112" s="9" t="str">
        <f t="shared" si="20"/>
        <v>COD [kg]</v>
      </c>
      <c r="M112" s="19">
        <f t="shared" si="21"/>
        <v>14.257812631771927</v>
      </c>
      <c r="N112" s="44" t="str">
        <f t="shared" si="22"/>
        <v>Production of anode formed foil</v>
      </c>
      <c r="P112" s="7"/>
      <c r="Q112" s="44" t="str">
        <f t="shared" si="24"/>
        <v>Capacitors (waste) [pcs]</v>
      </c>
      <c r="R112" s="19">
        <f t="shared" si="24"/>
        <v>4167</v>
      </c>
      <c r="S112" s="44" t="str">
        <f t="shared" si="24"/>
        <v>Aging and inspection</v>
      </c>
    </row>
    <row r="113" spans="5:24">
      <c r="E113" s="7"/>
      <c r="F113" s="10" t="s">
        <v>74</v>
      </c>
      <c r="G113" s="15">
        <f>C17/1000*G109</f>
        <v>0.14629367999999995</v>
      </c>
      <c r="H113" s="19">
        <f t="shared" si="23"/>
        <v>15.5483866590756</v>
      </c>
      <c r="I113" s="8" t="s">
        <v>240</v>
      </c>
      <c r="K113" s="7"/>
      <c r="L113" s="9" t="str">
        <f t="shared" si="20"/>
        <v>NH3-N [kg]</v>
      </c>
      <c r="M113" s="19">
        <f t="shared" si="21"/>
        <v>2.4773032690421095</v>
      </c>
      <c r="N113" s="44" t="str">
        <f t="shared" si="22"/>
        <v>Production of anode formed foil</v>
      </c>
      <c r="P113" s="7"/>
      <c r="Q113" s="44" t="str">
        <f>L110</f>
        <v>Waste Al foil [kg]</v>
      </c>
      <c r="R113" s="19">
        <f>M110</f>
        <v>85.673404721039631</v>
      </c>
      <c r="S113" s="44" t="str">
        <f>N110</f>
        <v>Production of anode formed foil</v>
      </c>
    </row>
    <row r="114" spans="5:24">
      <c r="E114" s="7"/>
      <c r="F114" s="10" t="s">
        <v>65</v>
      </c>
      <c r="G114" s="8">
        <f>ROUND(C13/1000*G109*G107,3)</f>
        <v>0.96099999999999997</v>
      </c>
      <c r="H114" s="19">
        <f>H$116/G$116*G114</f>
        <v>102.13701357004388</v>
      </c>
      <c r="I114" s="8" t="s">
        <v>240</v>
      </c>
      <c r="J114" s="18"/>
      <c r="K114" s="7"/>
      <c r="L114" s="9" t="str">
        <f t="shared" si="20"/>
        <v>TP  [kg]</v>
      </c>
      <c r="M114" s="19">
        <f t="shared" si="21"/>
        <v>0.23973902603633318</v>
      </c>
      <c r="N114" s="44" t="str">
        <f t="shared" si="22"/>
        <v>Production of anode formed foil</v>
      </c>
      <c r="P114" s="7"/>
      <c r="Q114" s="44" t="str">
        <f>L29</f>
        <v>Al scraps [kg]</v>
      </c>
      <c r="R114" s="19">
        <f>M29</f>
        <v>180.2148618648506</v>
      </c>
      <c r="S114" s="44" t="str">
        <f>N29</f>
        <v>Al smelting preparation  (anode)</v>
      </c>
    </row>
    <row r="115" spans="5:24">
      <c r="E115" s="7"/>
      <c r="F115" s="9" t="s">
        <v>59</v>
      </c>
      <c r="G115" s="8">
        <f>ROUND((G109/G106)/60*G105,3)</f>
        <v>1.389</v>
      </c>
      <c r="H115" s="19">
        <f t="shared" si="23"/>
        <v>147.62571472298745</v>
      </c>
      <c r="I115" s="8" t="s">
        <v>240</v>
      </c>
      <c r="K115" s="7"/>
      <c r="L115" s="9" t="str">
        <f t="shared" si="20"/>
        <v>Sludge [kg]</v>
      </c>
      <c r="M115" s="19">
        <f t="shared" si="21"/>
        <v>97.633718353296686</v>
      </c>
      <c r="N115" s="44" t="str">
        <f t="shared" si="22"/>
        <v>Sewage treatment</v>
      </c>
      <c r="P115" s="7"/>
      <c r="Q115" s="44" t="str">
        <f>L63</f>
        <v>Al scraps [kg]</v>
      </c>
      <c r="R115" s="19">
        <f>M63</f>
        <v>29.4294932414772</v>
      </c>
      <c r="S115" s="44" t="str">
        <f>N63</f>
        <v>Al smelting preparation  (cathode)</v>
      </c>
    </row>
    <row r="116" spans="5:24">
      <c r="E116" s="7" t="s">
        <v>45</v>
      </c>
      <c r="F116" s="10" t="s">
        <v>69</v>
      </c>
      <c r="G116" s="8">
        <f>ROUND(G109*G107*G108,3)</f>
        <v>980.1</v>
      </c>
      <c r="H116" s="19">
        <f>H148</f>
        <v>104167</v>
      </c>
      <c r="I116" s="8" t="s">
        <v>240</v>
      </c>
      <c r="K116" s="7"/>
      <c r="L116" s="9" t="str">
        <f t="shared" si="20"/>
        <v>Wastewater [kg]</v>
      </c>
      <c r="M116" s="19">
        <f t="shared" si="21"/>
        <v>51852.015181024835</v>
      </c>
      <c r="N116" s="44" t="str">
        <f t="shared" si="22"/>
        <v>Production of anode etched foil</v>
      </c>
      <c r="P116" s="7"/>
      <c r="Q116" s="44" t="str">
        <f t="shared" ref="Q116:S121" si="25">L176</f>
        <v>Scraps of anode formed foil [kg]</v>
      </c>
      <c r="R116" s="19">
        <f t="shared" si="25"/>
        <v>101.84546356747416</v>
      </c>
      <c r="S116" s="44" t="str">
        <f t="shared" si="25"/>
        <v>Slitting of anode foil</v>
      </c>
    </row>
    <row r="117" spans="5:24">
      <c r="E117" s="10"/>
      <c r="F117" s="10" t="s">
        <v>66</v>
      </c>
      <c r="G117" s="16">
        <f>ROUND(G109-G116,3)</f>
        <v>19.899999999999999</v>
      </c>
      <c r="H117" s="19">
        <f>ROUND(H$116/G$116*G117,0)</f>
        <v>2115</v>
      </c>
      <c r="I117" s="8" t="s">
        <v>240</v>
      </c>
      <c r="K117" s="7"/>
      <c r="L117" s="9" t="str">
        <f t="shared" si="20"/>
        <v>HCl gas [kg]</v>
      </c>
      <c r="M117" s="19">
        <f t="shared" si="21"/>
        <v>2.5838539472804802</v>
      </c>
      <c r="N117" s="44" t="str">
        <f t="shared" si="22"/>
        <v>Production of anode etched foil</v>
      </c>
      <c r="P117" s="7"/>
      <c r="Q117" s="44" t="str">
        <f t="shared" si="25"/>
        <v>Scraps of cathode etched foil [kg]</v>
      </c>
      <c r="R117" s="19">
        <f t="shared" si="25"/>
        <v>35.626873578080307</v>
      </c>
      <c r="S117" s="44" t="str">
        <f t="shared" si="25"/>
        <v>Slitting of cathode foil</v>
      </c>
    </row>
    <row r="118" spans="5:24">
      <c r="K118" s="7"/>
      <c r="L118" s="9" t="str">
        <f t="shared" si="20"/>
        <v>H2SO4 gas [kg]</v>
      </c>
      <c r="M118" s="19">
        <f t="shared" si="21"/>
        <v>0.27969553037572209</v>
      </c>
      <c r="N118" s="44" t="str">
        <f t="shared" si="22"/>
        <v>Production of anode etched foil</v>
      </c>
      <c r="P118" s="7"/>
      <c r="Q118" s="44" t="str">
        <f t="shared" si="25"/>
        <v>Scraps of separator paper [kg]</v>
      </c>
      <c r="R118" s="19">
        <f t="shared" si="25"/>
        <v>31.073134226647905</v>
      </c>
      <c r="S118" s="44" t="str">
        <f t="shared" si="25"/>
        <v>Slitting of separator paper</v>
      </c>
    </row>
    <row r="119" spans="5:24">
      <c r="E119" s="79" t="s">
        <v>42</v>
      </c>
      <c r="F119" s="80"/>
      <c r="G119" s="34" t="s">
        <v>374</v>
      </c>
      <c r="H119" s="34" t="s">
        <v>373</v>
      </c>
      <c r="I119" s="34" t="s">
        <v>290</v>
      </c>
      <c r="K119" s="7"/>
      <c r="L119" s="9" t="str">
        <f t="shared" si="20"/>
        <v>NOx   [kg]</v>
      </c>
      <c r="M119" s="19">
        <f t="shared" si="21"/>
        <v>0.31965203471511094</v>
      </c>
      <c r="N119" s="44" t="str">
        <f t="shared" si="22"/>
        <v>Production of anode etched foil</v>
      </c>
      <c r="P119" s="7"/>
      <c r="Q119" s="44" t="str">
        <f t="shared" si="25"/>
        <v>Scraps of anode formed foil [kg]</v>
      </c>
      <c r="R119" s="19">
        <f t="shared" si="25"/>
        <v>0.42512800000000001</v>
      </c>
      <c r="S119" s="44" t="str">
        <f t="shared" si="25"/>
        <v>Winding</v>
      </c>
    </row>
    <row r="120" spans="5:24">
      <c r="E120" s="7" t="s">
        <v>43</v>
      </c>
      <c r="F120" s="7" t="s">
        <v>47</v>
      </c>
      <c r="G120" s="8">
        <v>8</v>
      </c>
      <c r="H120" s="81" t="s">
        <v>22</v>
      </c>
      <c r="I120" s="82"/>
      <c r="K120" s="7"/>
      <c r="L120" s="9" t="str">
        <f t="shared" si="20"/>
        <v>NH3 gas [kg]</v>
      </c>
      <c r="M120" s="19">
        <f t="shared" si="21"/>
        <v>0.29301436515551832</v>
      </c>
      <c r="N120" s="44" t="str">
        <f t="shared" si="22"/>
        <v>Sewage treatment</v>
      </c>
      <c r="P120" s="7"/>
      <c r="Q120" s="44" t="str">
        <f t="shared" si="25"/>
        <v>Scraps of cathode etched foil [kg]</v>
      </c>
      <c r="R120" s="19">
        <f t="shared" si="25"/>
        <v>0.42512800000000001</v>
      </c>
      <c r="S120" s="44" t="str">
        <f t="shared" si="25"/>
        <v>Winding</v>
      </c>
    </row>
    <row r="121" spans="5:24">
      <c r="E121" s="7"/>
      <c r="F121" s="7" t="s">
        <v>46</v>
      </c>
      <c r="G121" s="8">
        <v>1800</v>
      </c>
      <c r="H121" s="83"/>
      <c r="I121" s="84"/>
      <c r="K121" s="7"/>
      <c r="L121" s="9" t="str">
        <f t="shared" si="20"/>
        <v>COD [kg]</v>
      </c>
      <c r="M121" s="19">
        <f t="shared" si="21"/>
        <v>6.3064682682335427</v>
      </c>
      <c r="N121" s="44" t="str">
        <f t="shared" si="22"/>
        <v>Production of anode etched foil</v>
      </c>
      <c r="P121" s="7"/>
      <c r="Q121" s="44" t="str">
        <f t="shared" si="25"/>
        <v>Scraps of separator paper [kg]</v>
      </c>
      <c r="R121" s="19">
        <f t="shared" si="25"/>
        <v>0.42512800000000001</v>
      </c>
      <c r="S121" s="44" t="str">
        <f t="shared" si="25"/>
        <v>Winding</v>
      </c>
    </row>
    <row r="122" spans="5:24">
      <c r="E122" s="7"/>
      <c r="F122" s="7" t="s">
        <v>49</v>
      </c>
      <c r="G122" s="8">
        <f>1.75*B26</f>
        <v>735</v>
      </c>
      <c r="H122" s="83"/>
      <c r="I122" s="84"/>
      <c r="K122" s="7"/>
      <c r="L122" s="9" t="str">
        <f t="shared" si="20"/>
        <v>SS  [kg]</v>
      </c>
      <c r="M122" s="19">
        <f t="shared" si="21"/>
        <v>4.1288387817368495</v>
      </c>
      <c r="N122" s="44" t="str">
        <f t="shared" si="22"/>
        <v>Production of anode etched foil</v>
      </c>
      <c r="P122" s="7"/>
      <c r="Q122" s="44" t="str">
        <f>L115</f>
        <v>Sludge [kg]</v>
      </c>
      <c r="R122" s="19">
        <f>M115</f>
        <v>97.633718353296686</v>
      </c>
      <c r="S122" s="44" t="str">
        <f>N115</f>
        <v>Sewage treatment</v>
      </c>
    </row>
    <row r="123" spans="5:24">
      <c r="E123" s="7"/>
      <c r="F123" s="7" t="s">
        <v>50</v>
      </c>
      <c r="G123" s="8">
        <f>B25</f>
        <v>680</v>
      </c>
      <c r="H123" s="83"/>
      <c r="I123" s="84"/>
      <c r="K123" s="7"/>
      <c r="L123" s="9" t="str">
        <f t="shared" si="20"/>
        <v>NH3-N [kg]</v>
      </c>
      <c r="M123" s="19">
        <f t="shared" si="21"/>
        <v>0.1331883477979629</v>
      </c>
      <c r="N123" s="44" t="str">
        <f t="shared" si="22"/>
        <v>Production of anode etched foil</v>
      </c>
      <c r="P123" s="7"/>
      <c r="Q123" s="44" t="str">
        <f>L111</f>
        <v>Wastewater [kg]</v>
      </c>
      <c r="R123" s="19">
        <f>M111</f>
        <v>538048.4138280726</v>
      </c>
      <c r="S123" s="44" t="str">
        <f>N111</f>
        <v>Production of anode formed foil</v>
      </c>
    </row>
    <row r="124" spans="5:24">
      <c r="E124" s="7"/>
      <c r="F124" s="7" t="s">
        <v>51</v>
      </c>
      <c r="G124" s="8">
        <f>0.01*G122*G123/1000000</f>
        <v>4.9979999999999998E-3</v>
      </c>
      <c r="H124" s="83"/>
      <c r="I124" s="84"/>
      <c r="K124" s="7"/>
      <c r="L124" s="9" t="str">
        <f t="shared" si="20"/>
        <v>TN  [kg]</v>
      </c>
      <c r="M124" s="19">
        <f t="shared" si="21"/>
        <v>0.52609397380195344</v>
      </c>
      <c r="N124" s="44" t="str">
        <f t="shared" si="22"/>
        <v>Production of anode etched foil</v>
      </c>
      <c r="P124" s="7"/>
      <c r="Q124" s="44" t="str">
        <f>L116</f>
        <v>Wastewater [kg]</v>
      </c>
      <c r="R124" s="19">
        <f>M116</f>
        <v>51852.015181024835</v>
      </c>
      <c r="S124" s="44" t="str">
        <f>N116</f>
        <v>Production of anode etched foil</v>
      </c>
    </row>
    <row r="125" spans="5:24">
      <c r="E125" s="7"/>
      <c r="F125" s="7" t="s">
        <v>52</v>
      </c>
      <c r="G125" s="8">
        <f>B29</f>
        <v>0.12</v>
      </c>
      <c r="H125" s="83"/>
      <c r="I125" s="84"/>
      <c r="P125" s="7"/>
      <c r="Q125" s="44" t="str">
        <f>L143</f>
        <v>Wastewater [kg]</v>
      </c>
      <c r="R125" s="19">
        <f>M143</f>
        <v>53004.715959803107</v>
      </c>
      <c r="S125" s="44" t="str">
        <f>N143</f>
        <v>Production of cathode etched foil</v>
      </c>
    </row>
    <row r="126" spans="5:24" ht="14.5">
      <c r="E126" s="7"/>
      <c r="F126" s="7" t="s">
        <v>53</v>
      </c>
      <c r="G126" s="8">
        <f>B35</f>
        <v>2276</v>
      </c>
      <c r="H126" s="83"/>
      <c r="I126" s="84"/>
      <c r="P126" s="7"/>
      <c r="Q126" s="44" t="str">
        <f>L31</f>
        <v>Wastewater [kg]</v>
      </c>
      <c r="R126" s="19">
        <f>M31</f>
        <v>4131.0096119581904</v>
      </c>
      <c r="S126" s="44" t="str">
        <f>N31</f>
        <v>Production of Al blank foil  (anode)</v>
      </c>
      <c r="X126" s="29"/>
    </row>
    <row r="127" spans="5:24">
      <c r="E127" s="7"/>
      <c r="F127" s="7" t="s">
        <v>243</v>
      </c>
      <c r="G127" s="8">
        <f>B27</f>
        <v>42</v>
      </c>
      <c r="H127" s="83"/>
      <c r="I127" s="84"/>
      <c r="P127" s="7"/>
      <c r="Q127" s="44" t="str">
        <f>L65</f>
        <v>Wastewater [kg]</v>
      </c>
      <c r="R127" s="19">
        <f>M65</f>
        <v>3850.8155985939989</v>
      </c>
      <c r="S127" s="44" t="str">
        <f>N65</f>
        <v>Production of Al blank foil  (cathode)</v>
      </c>
    </row>
    <row r="128" spans="5:24" ht="15.5">
      <c r="E128" s="7"/>
      <c r="F128" s="7" t="s">
        <v>245</v>
      </c>
      <c r="G128" s="8">
        <f>B38</f>
        <v>55</v>
      </c>
      <c r="H128" s="83"/>
      <c r="I128" s="84"/>
      <c r="K128" s="76" t="s">
        <v>193</v>
      </c>
      <c r="L128" s="77"/>
      <c r="M128" s="77"/>
      <c r="N128" s="78"/>
      <c r="P128" s="7"/>
      <c r="Q128" s="44" t="str">
        <f>L114</f>
        <v>TP  [kg]</v>
      </c>
      <c r="R128" s="19">
        <f>M114</f>
        <v>0.23973902603633318</v>
      </c>
      <c r="S128" s="44" t="str">
        <f>N114</f>
        <v>Production of anode formed foil</v>
      </c>
    </row>
    <row r="129" spans="5:19">
      <c r="E129" s="7"/>
      <c r="F129" s="7" t="s">
        <v>244</v>
      </c>
      <c r="G129" s="8">
        <f>B39</f>
        <v>4.7</v>
      </c>
      <c r="H129" s="83"/>
      <c r="I129" s="84"/>
      <c r="K129" s="45" t="s">
        <v>190</v>
      </c>
      <c r="L129" s="46"/>
      <c r="M129" s="44" t="s">
        <v>373</v>
      </c>
      <c r="N129" s="44" t="s">
        <v>143</v>
      </c>
      <c r="P129" s="7"/>
      <c r="Q129" s="44" t="str">
        <f>L151</f>
        <v>TN  [kg]</v>
      </c>
      <c r="R129" s="19">
        <f>M151</f>
        <v>0.53891731311079805</v>
      </c>
      <c r="S129" s="44" t="str">
        <f>N151</f>
        <v>Production of cathode etched foil</v>
      </c>
    </row>
    <row r="130" spans="5:19">
      <c r="E130" s="7"/>
      <c r="F130" s="7" t="s">
        <v>252</v>
      </c>
      <c r="G130" s="8">
        <f>B40</f>
        <v>0.1</v>
      </c>
      <c r="H130" s="83"/>
      <c r="I130" s="84"/>
      <c r="K130" s="44" t="s">
        <v>186</v>
      </c>
      <c r="L130" s="9" t="str">
        <f t="shared" ref="L130:L151" si="26">F227</f>
        <v>0.05mm Al blank coil[kg]</v>
      </c>
      <c r="M130" s="19">
        <f t="shared" ref="M130:M151" si="27">H227</f>
        <v>1469.2587799547023</v>
      </c>
      <c r="N130" s="44" t="str">
        <f t="shared" ref="N130:N151" si="28">I227</f>
        <v>Preparation of sulfuric acid (cathode)</v>
      </c>
      <c r="P130" s="7"/>
      <c r="Q130" s="44" t="str">
        <f>L124</f>
        <v>TN  [kg]</v>
      </c>
      <c r="R130" s="19">
        <f>M124</f>
        <v>0.52609397380195344</v>
      </c>
      <c r="S130" s="44" t="str">
        <f>N124</f>
        <v>Production of anode etched foil</v>
      </c>
    </row>
    <row r="131" spans="5:19">
      <c r="E131" s="7"/>
      <c r="F131" s="7" t="s">
        <v>242</v>
      </c>
      <c r="G131" s="8">
        <f>(G126+G127)*2*G125+(G128-7)*G129+((G128-7)*2+G129)*G130</f>
        <v>791.99</v>
      </c>
      <c r="H131" s="83"/>
      <c r="I131" s="84"/>
      <c r="K131" s="7"/>
      <c r="L131" s="9" t="str">
        <f t="shared" si="26"/>
        <v>Deionized water [kg]</v>
      </c>
      <c r="M131" s="19">
        <f t="shared" si="27"/>
        <v>24473.310186580653</v>
      </c>
      <c r="N131" s="44" t="str">
        <f t="shared" si="28"/>
        <v>Preparation of sulfuric acid (cathode)</v>
      </c>
      <c r="P131" s="7"/>
      <c r="Q131" s="44" t="str">
        <f>L149</f>
        <v>SS  [kg]</v>
      </c>
      <c r="R131" s="19">
        <f>M149</f>
        <v>4.2205734837308819</v>
      </c>
      <c r="S131" s="44" t="str">
        <f>N149</f>
        <v>Production of cathode etched foil</v>
      </c>
    </row>
    <row r="132" spans="5:19">
      <c r="E132" s="7"/>
      <c r="F132" s="7" t="s">
        <v>54</v>
      </c>
      <c r="G132" s="8">
        <v>1.4</v>
      </c>
      <c r="H132" s="83"/>
      <c r="I132" s="84"/>
      <c r="K132" s="7"/>
      <c r="L132" s="9" t="str">
        <f t="shared" si="26"/>
        <v>Deionized water [kg]</v>
      </c>
      <c r="M132" s="19">
        <f t="shared" si="27"/>
        <v>2860.2384019766055</v>
      </c>
      <c r="N132" s="44" t="str">
        <f t="shared" si="28"/>
        <v>Cleaning after sulfuric acid treatment  (cathode)</v>
      </c>
      <c r="P132" s="7"/>
      <c r="Q132" s="44" t="str">
        <f>L33</f>
        <v>SS [kg]</v>
      </c>
      <c r="R132" s="19">
        <f>M33</f>
        <v>0.28976456946924806</v>
      </c>
      <c r="S132" s="44" t="str">
        <f>N33</f>
        <v>Production of Al blank foil  (anode)</v>
      </c>
    </row>
    <row r="133" spans="5:19">
      <c r="E133" s="7"/>
      <c r="F133" s="7" t="s">
        <v>55</v>
      </c>
      <c r="G133" s="8">
        <f>G122*G132/1000</f>
        <v>1.0289999999999999</v>
      </c>
      <c r="H133" s="83"/>
      <c r="I133" s="84"/>
      <c r="K133" s="7"/>
      <c r="L133" s="9" t="str">
        <f t="shared" si="26"/>
        <v>Deionized water [kg]</v>
      </c>
      <c r="M133" s="19">
        <f t="shared" si="27"/>
        <v>5440.9035203527956</v>
      </c>
      <c r="N133" s="44" t="str">
        <f t="shared" si="28"/>
        <v>Preparation of nitric acid (cathode)</v>
      </c>
      <c r="P133" s="7"/>
      <c r="Q133" s="44" t="str">
        <f>L67</f>
        <v>SS [kg]</v>
      </c>
      <c r="R133" s="19">
        <f>M67</f>
        <v>0.26887435673171051</v>
      </c>
      <c r="S133" s="44" t="str">
        <f>N67</f>
        <v>Production of Al blank foil  (cathode)</v>
      </c>
    </row>
    <row r="134" spans="5:19" ht="16">
      <c r="E134" s="7"/>
      <c r="F134" s="9" t="s">
        <v>437</v>
      </c>
      <c r="G134" s="8">
        <f>G133/1000000*G131/1000000</f>
        <v>8.1495771000000008E-10</v>
      </c>
      <c r="H134" s="83"/>
      <c r="I134" s="84"/>
      <c r="K134" s="7"/>
      <c r="L134" s="9" t="str">
        <f t="shared" si="26"/>
        <v>Deionized water [kg]</v>
      </c>
      <c r="M134" s="19">
        <f t="shared" si="27"/>
        <v>6795.7529911409865</v>
      </c>
      <c r="N134" s="44" t="str">
        <f t="shared" si="28"/>
        <v>Cleaning after nitric acid treatment  (cathode)</v>
      </c>
      <c r="P134" s="7"/>
      <c r="Q134" s="44" t="str">
        <f>L122</f>
        <v>SS  [kg]</v>
      </c>
      <c r="R134" s="19">
        <f>M122</f>
        <v>4.1288387817368495</v>
      </c>
      <c r="S134" s="44" t="str">
        <f>N122</f>
        <v>Production of anode etched foil</v>
      </c>
    </row>
    <row r="135" spans="5:19" ht="16">
      <c r="E135" s="7"/>
      <c r="F135" s="9" t="s">
        <v>438</v>
      </c>
      <c r="G135" s="8">
        <v>3.5</v>
      </c>
      <c r="H135" s="83"/>
      <c r="I135" s="84"/>
      <c r="K135" s="7"/>
      <c r="L135" s="9" t="str">
        <f t="shared" si="26"/>
        <v>Deionized water [kg]</v>
      </c>
      <c r="M135" s="19">
        <f t="shared" si="27"/>
        <v>1096.7818243878073</v>
      </c>
      <c r="N135" s="44" t="str">
        <f t="shared" si="28"/>
        <v>Cleaning of sulfuric acid recovery system (cathode)</v>
      </c>
      <c r="P135" s="7"/>
      <c r="Q135" s="44" t="str">
        <f>L112</f>
        <v>COD [kg]</v>
      </c>
      <c r="R135" s="19">
        <f>M112</f>
        <v>14.257812631771927</v>
      </c>
      <c r="S135" s="44" t="str">
        <f>N112</f>
        <v>Production of anode formed foil</v>
      </c>
    </row>
    <row r="136" spans="5:19">
      <c r="E136" s="7"/>
      <c r="F136" s="9" t="s">
        <v>256</v>
      </c>
      <c r="G136" s="8">
        <f>G134*1000000*G135</f>
        <v>2.8523519850000003E-3</v>
      </c>
      <c r="H136" s="83"/>
      <c r="I136" s="84"/>
      <c r="K136" s="7"/>
      <c r="L136" s="9" t="str">
        <f t="shared" si="26"/>
        <v>Tap water [kg]</v>
      </c>
      <c r="M136" s="19">
        <f t="shared" si="27"/>
        <v>3118.3032119700774</v>
      </c>
      <c r="N136" s="44" t="str">
        <f t="shared" si="28"/>
        <v>Waste gas treatment</v>
      </c>
      <c r="P136" s="7"/>
      <c r="Q136" s="44" t="str">
        <f>L121</f>
        <v>COD [kg]</v>
      </c>
      <c r="R136" s="19">
        <f>M121</f>
        <v>6.3064682682335427</v>
      </c>
      <c r="S136" s="44" t="str">
        <f>N121</f>
        <v>Production of anode etched foil</v>
      </c>
    </row>
    <row r="137" spans="5:19">
      <c r="E137" s="7"/>
      <c r="F137" s="9" t="s">
        <v>61</v>
      </c>
      <c r="G137" s="8">
        <v>102</v>
      </c>
      <c r="H137" s="83"/>
      <c r="I137" s="84"/>
      <c r="K137" s="7"/>
      <c r="L137" s="9" t="str">
        <f t="shared" si="26"/>
        <v>Sulfur acid（98%）[kg]</v>
      </c>
      <c r="M137" s="19">
        <f t="shared" si="27"/>
        <v>3204.3257607702053</v>
      </c>
      <c r="N137" s="44" t="str">
        <f t="shared" si="28"/>
        <v>Corrosion reaction  (cathode)</v>
      </c>
      <c r="P137" s="7"/>
      <c r="Q137" s="44" t="str">
        <f>L148</f>
        <v>COD [kg]</v>
      </c>
      <c r="R137" s="19">
        <f>M148</f>
        <v>6.4471529089518116</v>
      </c>
      <c r="S137" s="44" t="str">
        <f>N148</f>
        <v>Production of cathode etched foil</v>
      </c>
    </row>
    <row r="138" spans="5:19">
      <c r="E138" s="7"/>
      <c r="F138" s="9" t="s">
        <v>62</v>
      </c>
      <c r="G138" s="8">
        <f>G136/G137</f>
        <v>2.7964235147058826E-5</v>
      </c>
      <c r="H138" s="83"/>
      <c r="I138" s="84"/>
      <c r="K138" s="7"/>
      <c r="L138" s="9" t="str">
        <f t="shared" si="26"/>
        <v>Nitric acid（98%）[kg]</v>
      </c>
      <c r="M138" s="19">
        <f t="shared" si="27"/>
        <v>161.29227900023966</v>
      </c>
      <c r="N138" s="44" t="str">
        <f t="shared" si="28"/>
        <v>Corrosion reaction  (cathode)</v>
      </c>
      <c r="P138" s="7"/>
      <c r="Q138" s="44" t="str">
        <f>L32</f>
        <v>COD [kg]</v>
      </c>
      <c r="R138" s="19">
        <f>M32</f>
        <v>0.28976456946924806</v>
      </c>
      <c r="S138" s="44" t="str">
        <f>N32</f>
        <v>Production of Al blank foil  (anode)</v>
      </c>
    </row>
    <row r="139" spans="5:19">
      <c r="E139" s="7"/>
      <c r="F139" s="9" t="s">
        <v>57</v>
      </c>
      <c r="G139" s="8">
        <f>G138*6</f>
        <v>1.6778541088235296E-4</v>
      </c>
      <c r="H139" s="83"/>
      <c r="I139" s="84"/>
      <c r="K139" s="7"/>
      <c r="L139" s="9" t="str">
        <f t="shared" si="26"/>
        <v>Hydrochloric acid（31%）[kg]</v>
      </c>
      <c r="M139" s="19">
        <f t="shared" si="27"/>
        <v>537.63809359388779</v>
      </c>
      <c r="N139" s="44" t="str">
        <f t="shared" si="28"/>
        <v>Corrosion reaction  (cathode)</v>
      </c>
      <c r="P139" s="7"/>
      <c r="Q139" s="44" t="str">
        <f>L66</f>
        <v>COD [kg]</v>
      </c>
      <c r="R139" s="19">
        <f>M66</f>
        <v>0.26887435673171051</v>
      </c>
      <c r="S139" s="44" t="str">
        <f>N66</f>
        <v>Production of Al blank foil  (cathode)</v>
      </c>
    </row>
    <row r="140" spans="5:19" ht="16">
      <c r="E140" s="7"/>
      <c r="F140" s="9" t="s">
        <v>436</v>
      </c>
      <c r="G140" s="8">
        <v>96485.338300000003</v>
      </c>
      <c r="H140" s="83"/>
      <c r="I140" s="84"/>
      <c r="K140" s="7"/>
      <c r="L140" s="9" t="str">
        <f t="shared" si="26"/>
        <v>NaOH solution (30%) [kg]</v>
      </c>
      <c r="M140" s="19">
        <f t="shared" si="27"/>
        <v>537.63809359388779</v>
      </c>
      <c r="N140" s="44" t="str">
        <f t="shared" si="28"/>
        <v>Corrosion reaction (cathode)</v>
      </c>
      <c r="P140" s="7"/>
      <c r="Q140" s="44" t="str">
        <f>L34</f>
        <v>BOD [kg]</v>
      </c>
      <c r="R140" s="19">
        <f>M34</f>
        <v>1.817927715598735</v>
      </c>
      <c r="S140" s="44" t="str">
        <f>N34</f>
        <v>Production of Al blank foil  (anode)</v>
      </c>
    </row>
    <row r="141" spans="5:19">
      <c r="E141" s="7"/>
      <c r="F141" s="9" t="s">
        <v>60</v>
      </c>
      <c r="G141" s="8">
        <f>G140*G139</f>
        <v>16.188832130788327</v>
      </c>
      <c r="H141" s="83"/>
      <c r="I141" s="84"/>
      <c r="K141" s="7"/>
      <c r="L141" s="9" t="str">
        <f t="shared" si="26"/>
        <v>Electricity [kWh]</v>
      </c>
      <c r="M141" s="19">
        <f t="shared" si="27"/>
        <v>817.21137719430317</v>
      </c>
      <c r="N141" s="44" t="str">
        <f t="shared" si="28"/>
        <v>Production of cathode etched foil</v>
      </c>
      <c r="P141" s="7"/>
      <c r="Q141" s="44" t="str">
        <f>L68</f>
        <v>BOD [kg]</v>
      </c>
      <c r="R141" s="19">
        <f>M68</f>
        <v>1.6940553732877719</v>
      </c>
      <c r="S141" s="44" t="str">
        <f>N68</f>
        <v>Production of Al blank foil  (cathode)</v>
      </c>
    </row>
    <row r="142" spans="5:19">
      <c r="E142" s="7"/>
      <c r="F142" s="9" t="s">
        <v>63</v>
      </c>
      <c r="G142" s="8">
        <f>G141*G122/3600000</f>
        <v>3.3052198933692838E-3</v>
      </c>
      <c r="H142" s="83"/>
      <c r="I142" s="84"/>
      <c r="K142" s="7" t="s">
        <v>192</v>
      </c>
      <c r="L142" s="9" t="str">
        <f t="shared" si="26"/>
        <v>Al coil of 0.05mm etched foil [kg]</v>
      </c>
      <c r="M142" s="19">
        <f t="shared" si="27"/>
        <v>1047.8566415780801</v>
      </c>
      <c r="N142" s="44" t="str">
        <f t="shared" si="28"/>
        <v>Production of cathode etched foil</v>
      </c>
      <c r="P142" s="7"/>
      <c r="Q142" s="44" t="str">
        <f>L113</f>
        <v>NH3-N [kg]</v>
      </c>
      <c r="R142" s="19">
        <f>M113</f>
        <v>2.4773032690421095</v>
      </c>
      <c r="S142" s="44" t="str">
        <f>N113</f>
        <v>Production of anode formed foil</v>
      </c>
    </row>
    <row r="143" spans="5:19">
      <c r="E143" s="7"/>
      <c r="F143" s="9" t="s">
        <v>56</v>
      </c>
      <c r="G143" s="8">
        <v>0.8</v>
      </c>
      <c r="H143" s="83"/>
      <c r="I143" s="84"/>
      <c r="K143" s="7"/>
      <c r="L143" s="9" t="str">
        <f t="shared" si="26"/>
        <v>Wastewater [kg]</v>
      </c>
      <c r="M143" s="19">
        <f t="shared" si="27"/>
        <v>53004.715959803107</v>
      </c>
      <c r="N143" s="44" t="str">
        <f t="shared" si="28"/>
        <v>Production of cathode etched foil</v>
      </c>
      <c r="P143" s="7"/>
      <c r="Q143" s="44" t="str">
        <f>L150</f>
        <v>NH3-N [kg]</v>
      </c>
      <c r="R143" s="19">
        <f>M150</f>
        <v>0.13614753173325425</v>
      </c>
      <c r="S143" s="44" t="str">
        <f>N150</f>
        <v>Production of cathode etched foil</v>
      </c>
    </row>
    <row r="144" spans="5:19">
      <c r="E144" s="7"/>
      <c r="F144" s="9" t="s">
        <v>64</v>
      </c>
      <c r="G144" s="8">
        <f>G142/G143+G124*G122/1000*G120</f>
        <v>3.3519764866711606E-2</v>
      </c>
      <c r="H144" s="83"/>
      <c r="I144" s="84"/>
      <c r="K144" s="7"/>
      <c r="L144" s="9" t="str">
        <f t="shared" si="26"/>
        <v>HCl gas [kg]</v>
      </c>
      <c r="M144" s="19">
        <f t="shared" si="27"/>
        <v>2.6406948342429106</v>
      </c>
      <c r="N144" s="44" t="str">
        <f t="shared" si="28"/>
        <v>Production of cathode etched foil</v>
      </c>
      <c r="P144" s="7"/>
      <c r="Q144" s="44" t="str">
        <f>L35</f>
        <v>NH3-N [kg]</v>
      </c>
      <c r="R144" s="19">
        <f>M35</f>
        <v>8.2789876991213734E-2</v>
      </c>
      <c r="S144" s="44" t="str">
        <f>N35</f>
        <v>Production of Al blank foil  (anode)</v>
      </c>
    </row>
    <row r="145" spans="5:19">
      <c r="E145" s="7"/>
      <c r="F145" s="7" t="s">
        <v>253</v>
      </c>
      <c r="G145" s="8">
        <v>18</v>
      </c>
      <c r="H145" s="83"/>
      <c r="I145" s="84"/>
      <c r="K145" s="7"/>
      <c r="L145" s="9" t="str">
        <f t="shared" si="26"/>
        <v>H2SO4 gas [kg]</v>
      </c>
      <c r="M145" s="19">
        <f t="shared" si="27"/>
        <v>0.28647709802205584</v>
      </c>
      <c r="N145" s="44" t="str">
        <f t="shared" si="28"/>
        <v>Production of cathode etched foil</v>
      </c>
      <c r="P145" s="7"/>
      <c r="Q145" s="44" t="str">
        <f>L123</f>
        <v>NH3-N [kg]</v>
      </c>
      <c r="R145" s="19">
        <f>M123</f>
        <v>0.1331883477979629</v>
      </c>
      <c r="S145" s="44" t="str">
        <f>N123</f>
        <v>Production of anode etched foil</v>
      </c>
    </row>
    <row r="146" spans="5:19">
      <c r="E146" s="7"/>
      <c r="F146" s="7" t="s">
        <v>48</v>
      </c>
      <c r="G146" s="8">
        <v>0.8</v>
      </c>
      <c r="H146" s="83"/>
      <c r="I146" s="84"/>
      <c r="K146" s="7"/>
      <c r="L146" s="9" t="str">
        <f t="shared" si="26"/>
        <v>NOx   [kg]</v>
      </c>
      <c r="M146" s="19">
        <f t="shared" si="27"/>
        <v>0.32618679477758833</v>
      </c>
      <c r="N146" s="44" t="str">
        <f t="shared" si="28"/>
        <v>Production of cathode etched foil</v>
      </c>
      <c r="P146" s="7"/>
      <c r="Q146" s="44" t="str">
        <f>L69</f>
        <v>NH3-N [kg]</v>
      </c>
      <c r="R146" s="19">
        <f>M69</f>
        <v>7.640145655764452E-2</v>
      </c>
      <c r="S146" s="44" t="str">
        <f>N69</f>
        <v>Production of Al blank foil  (cathode)</v>
      </c>
    </row>
    <row r="147" spans="5:19">
      <c r="E147" s="7"/>
      <c r="F147" s="9" t="s">
        <v>58</v>
      </c>
      <c r="G147" s="8">
        <v>0.96</v>
      </c>
      <c r="H147" s="83"/>
      <c r="I147" s="84"/>
      <c r="K147" s="7"/>
      <c r="L147" s="9" t="str">
        <f t="shared" si="26"/>
        <v>NH3 gas [kg]</v>
      </c>
      <c r="M147" s="19">
        <f t="shared" si="27"/>
        <v>0.29782272566649365</v>
      </c>
      <c r="N147" s="44" t="str">
        <f t="shared" si="28"/>
        <v>Sewage treatment</v>
      </c>
      <c r="P147" s="7"/>
      <c r="Q147" s="44" t="str">
        <f>L30</f>
        <v>Dust[kg]</v>
      </c>
      <c r="R147" s="19">
        <f>M30</f>
        <v>1.3418859228992559</v>
      </c>
      <c r="S147" s="44" t="str">
        <f>N30</f>
        <v>Al smelting preparation  (anode)</v>
      </c>
    </row>
    <row r="148" spans="5:19">
      <c r="E148" s="7" t="s">
        <v>44</v>
      </c>
      <c r="F148" s="10" t="s">
        <v>115</v>
      </c>
      <c r="G148" s="8">
        <f>G121</f>
        <v>1800</v>
      </c>
      <c r="H148" s="19">
        <f>ROUND(H$150/G$150*G148,0)</f>
        <v>104167</v>
      </c>
      <c r="I148" s="8" t="s">
        <v>113</v>
      </c>
      <c r="K148" s="7"/>
      <c r="L148" s="9" t="str">
        <f t="shared" si="26"/>
        <v>COD [kg]</v>
      </c>
      <c r="M148" s="19">
        <f t="shared" si="27"/>
        <v>6.4471529089518116</v>
      </c>
      <c r="N148" s="44" t="str">
        <f t="shared" si="28"/>
        <v>Production of cathode etched foil</v>
      </c>
      <c r="P148" s="7"/>
      <c r="Q148" s="44" t="str">
        <f>L64</f>
        <v>Dust[kg]</v>
      </c>
      <c r="R148" s="19">
        <f>M64</f>
        <v>0.55537981882287746</v>
      </c>
      <c r="S148" s="44" t="str">
        <f>N64</f>
        <v>Al smelting preparation  (cathode)</v>
      </c>
    </row>
    <row r="149" spans="5:19">
      <c r="E149" s="7"/>
      <c r="F149" s="9" t="s">
        <v>59</v>
      </c>
      <c r="G149" s="8">
        <f>ROUND(G144*G148+(G145*0.25+G146*(8-0.25)),3)</f>
        <v>71.036000000000001</v>
      </c>
      <c r="H149" s="19">
        <f>H$150/G$150*G149</f>
        <v>4110.8796296296296</v>
      </c>
      <c r="I149" s="8" t="s">
        <v>113</v>
      </c>
      <c r="K149" s="7"/>
      <c r="L149" s="9" t="str">
        <f t="shared" si="26"/>
        <v>SS  [kg]</v>
      </c>
      <c r="M149" s="19">
        <f t="shared" si="27"/>
        <v>4.2205734837308819</v>
      </c>
      <c r="N149" s="44" t="str">
        <f t="shared" si="28"/>
        <v>Production of cathode etched foil</v>
      </c>
      <c r="P149" s="7"/>
      <c r="Q149" s="44" t="str">
        <f>L117</f>
        <v>HCl gas [kg]</v>
      </c>
      <c r="R149" s="19">
        <f>M117</f>
        <v>2.5838539472804802</v>
      </c>
      <c r="S149" s="44" t="str">
        <f>N117</f>
        <v>Production of anode etched foil</v>
      </c>
    </row>
    <row r="150" spans="5:19">
      <c r="E150" s="7" t="s">
        <v>45</v>
      </c>
      <c r="F150" s="7" t="s">
        <v>116</v>
      </c>
      <c r="G150" s="8">
        <f>G121*G147</f>
        <v>1728</v>
      </c>
      <c r="H150" s="19">
        <f>100000</f>
        <v>100000</v>
      </c>
      <c r="I150" s="8" t="s">
        <v>113</v>
      </c>
      <c r="K150" s="7"/>
      <c r="L150" s="9" t="str">
        <f t="shared" si="26"/>
        <v>NH3-N [kg]</v>
      </c>
      <c r="M150" s="19">
        <f t="shared" si="27"/>
        <v>0.13614753173325425</v>
      </c>
      <c r="N150" s="44" t="str">
        <f t="shared" si="28"/>
        <v>Production of cathode etched foil</v>
      </c>
      <c r="P150" s="7"/>
      <c r="Q150" s="44" t="str">
        <f>L144</f>
        <v>HCl gas [kg]</v>
      </c>
      <c r="R150" s="19">
        <f>M144</f>
        <v>2.6406948342429106</v>
      </c>
      <c r="S150" s="44" t="str">
        <f>N144</f>
        <v>Production of cathode etched foil</v>
      </c>
    </row>
    <row r="151" spans="5:19">
      <c r="E151" s="7"/>
      <c r="F151" s="7" t="s">
        <v>66</v>
      </c>
      <c r="G151" s="8">
        <f>ROUND(G148-G150,3)</f>
        <v>72</v>
      </c>
      <c r="H151" s="19">
        <f>ROUND(H$150/G$150*G151,0)</f>
        <v>4167</v>
      </c>
      <c r="I151" s="8" t="s">
        <v>113</v>
      </c>
      <c r="K151" s="7"/>
      <c r="L151" s="9" t="str">
        <f t="shared" si="26"/>
        <v>TN  [kg]</v>
      </c>
      <c r="M151" s="19">
        <f t="shared" si="27"/>
        <v>0.53891731311079805</v>
      </c>
      <c r="N151" s="44" t="str">
        <f t="shared" si="28"/>
        <v>Production of cathode etched foil</v>
      </c>
      <c r="P151" s="7"/>
      <c r="Q151" s="44" t="str">
        <f>L118</f>
        <v>H2SO4 gas [kg]</v>
      </c>
      <c r="R151" s="19">
        <f>M118</f>
        <v>0.27969553037572209</v>
      </c>
      <c r="S151" s="44" t="str">
        <f>N118</f>
        <v>Production of anode etched foil</v>
      </c>
    </row>
    <row r="152" spans="5:19" ht="13.25" customHeight="1">
      <c r="P152" s="7"/>
      <c r="Q152" s="44" t="str">
        <f>L145</f>
        <v>H2SO4 gas [kg]</v>
      </c>
      <c r="R152" s="19">
        <f>M145</f>
        <v>0.28647709802205584</v>
      </c>
      <c r="S152" s="44" t="str">
        <f>N145</f>
        <v>Production of cathode etched foil</v>
      </c>
    </row>
    <row r="153" spans="5:19">
      <c r="P153" s="7"/>
      <c r="Q153" s="44" t="str">
        <f>L119</f>
        <v>NOx   [kg]</v>
      </c>
      <c r="R153" s="19">
        <f>M119</f>
        <v>0.31965203471511094</v>
      </c>
      <c r="S153" s="44" t="str">
        <f>N119</f>
        <v>Production of anode etched foil</v>
      </c>
    </row>
    <row r="154" spans="5:19">
      <c r="P154" s="7"/>
      <c r="Q154" s="44" t="str">
        <f>L146</f>
        <v>NOx   [kg]</v>
      </c>
      <c r="R154" s="19">
        <f>M146</f>
        <v>0.32618679477758833</v>
      </c>
      <c r="S154" s="44" t="str">
        <f>N146</f>
        <v>Production of cathode etched foil</v>
      </c>
    </row>
    <row r="155" spans="5:19" ht="15.5">
      <c r="K155" s="76" t="s">
        <v>21</v>
      </c>
      <c r="L155" s="77"/>
      <c r="M155" s="77"/>
      <c r="N155" s="78"/>
      <c r="P155" s="7"/>
      <c r="Q155" s="44" t="str">
        <f>L120</f>
        <v>NH3 gas [kg]</v>
      </c>
      <c r="R155" s="19">
        <f>M120</f>
        <v>0.29301436515551832</v>
      </c>
      <c r="S155" s="44" t="str">
        <f>N120</f>
        <v>Sewage treatment</v>
      </c>
    </row>
    <row r="156" spans="5:19">
      <c r="E156" s="79" t="s">
        <v>118</v>
      </c>
      <c r="F156" s="80"/>
      <c r="G156" s="34" t="s">
        <v>374</v>
      </c>
      <c r="H156" s="34" t="s">
        <v>373</v>
      </c>
      <c r="I156" s="34" t="s">
        <v>290</v>
      </c>
      <c r="K156" s="45" t="s">
        <v>190</v>
      </c>
      <c r="L156" s="46"/>
      <c r="M156" s="44" t="s">
        <v>373</v>
      </c>
      <c r="N156" s="44" t="s">
        <v>143</v>
      </c>
      <c r="P156" s="7"/>
      <c r="Q156" s="44" t="str">
        <f>L147</f>
        <v>NH3 gas [kg]</v>
      </c>
      <c r="R156" s="19">
        <f>M147</f>
        <v>0.29782272566649365</v>
      </c>
      <c r="S156" s="44" t="str">
        <f>N147</f>
        <v>Sewage treatment</v>
      </c>
    </row>
    <row r="157" spans="5:19">
      <c r="E157" s="7" t="s">
        <v>23</v>
      </c>
      <c r="F157" s="9" t="s">
        <v>128</v>
      </c>
      <c r="G157" s="16">
        <f>1.75*B26</f>
        <v>735</v>
      </c>
      <c r="H157" s="85"/>
      <c r="I157" s="86"/>
      <c r="J157" s="22"/>
      <c r="K157" s="44" t="s">
        <v>186</v>
      </c>
      <c r="L157" s="9" t="str">
        <f>F29</f>
        <v>Al coil of 0.12mm anode formed foil [kg]</v>
      </c>
      <c r="M157" s="19">
        <f>H29</f>
        <v>2995.4791955674741</v>
      </c>
      <c r="N157" s="44" t="s">
        <v>109</v>
      </c>
    </row>
    <row r="158" spans="5:19">
      <c r="E158" s="16"/>
      <c r="F158" s="9" t="s">
        <v>227</v>
      </c>
      <c r="G158" s="16">
        <f>B32</f>
        <v>2.8476999999999999E-2</v>
      </c>
      <c r="H158" s="87"/>
      <c r="I158" s="88"/>
      <c r="K158" s="44"/>
      <c r="L158" s="9" t="str">
        <f>F44</f>
        <v>Al coil of  0.05mm cathode etcthed foil [kg]</v>
      </c>
      <c r="M158" s="19">
        <f>H44</f>
        <v>1047.8566415780801</v>
      </c>
      <c r="N158" s="44" t="s">
        <v>110</v>
      </c>
    </row>
    <row r="159" spans="5:19">
      <c r="E159" s="7"/>
      <c r="F159" s="9" t="s">
        <v>257</v>
      </c>
      <c r="G159" s="16">
        <v>3.2793999999999997E-2</v>
      </c>
      <c r="H159" s="87"/>
      <c r="I159" s="88"/>
      <c r="K159" s="44"/>
      <c r="L159" s="9" t="str">
        <f>F59</f>
        <v>Separator paper coil [kg]</v>
      </c>
      <c r="M159" s="19">
        <f>H59</f>
        <v>776.74764622664782</v>
      </c>
      <c r="N159" s="44" t="s">
        <v>323</v>
      </c>
    </row>
    <row r="160" spans="5:19">
      <c r="E160" s="7"/>
      <c r="F160" s="9" t="s">
        <v>216</v>
      </c>
      <c r="G160" s="16">
        <f>G158/G159</f>
        <v>0.86836006586570724</v>
      </c>
      <c r="H160" s="87"/>
      <c r="I160" s="88"/>
      <c r="K160" s="44"/>
      <c r="L160" s="9" t="str">
        <f>F82</f>
        <v>Tape [kg]</v>
      </c>
      <c r="M160" s="19">
        <f>H82</f>
        <v>10.947045999999999</v>
      </c>
      <c r="N160" s="44" t="s">
        <v>111</v>
      </c>
    </row>
    <row r="161" spans="5:14">
      <c r="E161" s="7"/>
      <c r="F161" s="9" t="s">
        <v>246</v>
      </c>
      <c r="G161" s="16">
        <v>120</v>
      </c>
      <c r="H161" s="87"/>
      <c r="I161" s="88"/>
      <c r="J161" s="22"/>
      <c r="K161" s="44"/>
      <c r="L161" s="9" t="str">
        <f>F83</f>
        <v>Tab [kg]</v>
      </c>
      <c r="M161" s="19">
        <f>H83</f>
        <v>7.4397400000000005</v>
      </c>
      <c r="N161" s="44" t="s">
        <v>111</v>
      </c>
    </row>
    <row r="162" spans="5:14">
      <c r="E162" s="7"/>
      <c r="F162" s="9" t="s">
        <v>247</v>
      </c>
      <c r="G162" s="8">
        <f>ROUND(((G165-G161)/4+G161)/10,0)*10</f>
        <v>270</v>
      </c>
      <c r="H162" s="87"/>
      <c r="I162" s="88"/>
      <c r="K162" s="44"/>
      <c r="L162" s="9" t="str">
        <f>F100</f>
        <v>Electrolyte [kg]</v>
      </c>
      <c r="M162" s="19">
        <f>H100</f>
        <v>2235.6298407456725</v>
      </c>
      <c r="N162" s="44" t="s">
        <v>112</v>
      </c>
    </row>
    <row r="163" spans="5:14">
      <c r="E163" s="7"/>
      <c r="F163" s="9" t="s">
        <v>248</v>
      </c>
      <c r="G163" s="8">
        <f>ROUND(((G165-G161)/4+G162)/10,0)*10</f>
        <v>420</v>
      </c>
      <c r="H163" s="87"/>
      <c r="I163" s="88"/>
      <c r="J163" s="11"/>
      <c r="K163" s="44"/>
      <c r="L163" s="9" t="str">
        <f>F110</f>
        <v>Sealing cover [kg]</v>
      </c>
      <c r="M163" s="19">
        <f>H110</f>
        <v>251.42046197581882</v>
      </c>
      <c r="N163" s="44" t="s">
        <v>240</v>
      </c>
    </row>
    <row r="164" spans="5:14">
      <c r="E164" s="7"/>
      <c r="F164" s="9" t="s">
        <v>249</v>
      </c>
      <c r="G164" s="8">
        <f>ROUND(((G165-G161)/4+G163)/10,0)*10</f>
        <v>570</v>
      </c>
      <c r="H164" s="87"/>
      <c r="I164" s="88"/>
      <c r="J164" s="22"/>
      <c r="K164" s="44"/>
      <c r="L164" s="9" t="str">
        <f>F111</f>
        <v>Can [kg]</v>
      </c>
      <c r="M164" s="19">
        <f>H111</f>
        <v>1005.243833161157</v>
      </c>
      <c r="N164" s="44" t="s">
        <v>240</v>
      </c>
    </row>
    <row r="165" spans="5:14">
      <c r="E165" s="7"/>
      <c r="F165" s="9" t="s">
        <v>250</v>
      </c>
      <c r="G165" s="8">
        <v>735</v>
      </c>
      <c r="H165" s="87"/>
      <c r="I165" s="88"/>
      <c r="K165" s="44"/>
      <c r="L165" s="9" t="str">
        <f>F112</f>
        <v>Rivet  [kg]</v>
      </c>
      <c r="M165" s="19">
        <f>H112</f>
        <v>6.3074122865013775</v>
      </c>
      <c r="N165" s="44" t="s">
        <v>240</v>
      </c>
    </row>
    <row r="166" spans="5:14">
      <c r="E166" s="7"/>
      <c r="F166" s="9" t="s">
        <v>251</v>
      </c>
      <c r="G166" s="17">
        <f>G165</f>
        <v>735</v>
      </c>
      <c r="H166" s="87"/>
      <c r="I166" s="88"/>
      <c r="J166" s="11"/>
      <c r="K166" s="44"/>
      <c r="L166" s="9" t="str">
        <f>F113</f>
        <v>Terminal  [kg]</v>
      </c>
      <c r="M166" s="19">
        <f>H113</f>
        <v>15.5483866590756</v>
      </c>
      <c r="N166" s="44" t="s">
        <v>240</v>
      </c>
    </row>
    <row r="167" spans="5:14">
      <c r="E167" s="7"/>
      <c r="F167" s="9" t="s">
        <v>140</v>
      </c>
      <c r="G167" s="8">
        <v>5</v>
      </c>
      <c r="H167" s="87"/>
      <c r="I167" s="88"/>
      <c r="K167" s="44"/>
      <c r="L167" s="9" t="str">
        <f>F114</f>
        <v>Sleeve [kg]</v>
      </c>
      <c r="M167" s="19">
        <f>H114</f>
        <v>102.13701357004388</v>
      </c>
      <c r="N167" s="44" t="s">
        <v>240</v>
      </c>
    </row>
    <row r="168" spans="5:14">
      <c r="E168" s="7"/>
      <c r="F168" s="9" t="s">
        <v>266</v>
      </c>
      <c r="G168" s="8">
        <f>G169*1000/G159*2</f>
        <v>31591144.721595418</v>
      </c>
      <c r="H168" s="89"/>
      <c r="I168" s="90"/>
      <c r="K168" s="44"/>
      <c r="L168" s="9" t="str">
        <f>F30</f>
        <v>Electricity [kWh]</v>
      </c>
      <c r="M168" s="19">
        <f>H30</f>
        <v>4.9679109053781492</v>
      </c>
      <c r="N168" s="44" t="s">
        <v>109</v>
      </c>
    </row>
    <row r="169" spans="5:14">
      <c r="E169" s="7" t="s">
        <v>44</v>
      </c>
      <c r="F169" s="9" t="s">
        <v>131</v>
      </c>
      <c r="G169" s="8">
        <v>518</v>
      </c>
      <c r="H169" s="19">
        <f t="shared" ref="H169:H201" si="29">H$203/G$203*G169</f>
        <v>3449.578207967239</v>
      </c>
      <c r="I169" s="8" t="s">
        <v>206</v>
      </c>
      <c r="J169" s="11"/>
      <c r="K169" s="44"/>
      <c r="L169" s="9" t="str">
        <f>F45</f>
        <v>Electricity [kWh]</v>
      </c>
      <c r="M169" s="19">
        <f>H45</f>
        <v>5.0783428983229637</v>
      </c>
      <c r="N169" s="44" t="s">
        <v>110</v>
      </c>
    </row>
    <row r="170" spans="5:14">
      <c r="E170" s="7"/>
      <c r="F170" s="9" t="s">
        <v>120</v>
      </c>
      <c r="G170" s="8">
        <f>ROUND(1.138*G168/10000,3)</f>
        <v>3595.0720000000001</v>
      </c>
      <c r="H170" s="19">
        <f t="shared" si="29"/>
        <v>23941.084994735902</v>
      </c>
      <c r="I170" s="8" t="s">
        <v>206</v>
      </c>
      <c r="K170" s="44"/>
      <c r="L170" s="9" t="str">
        <f>F60</f>
        <v>Electricity [kWh]</v>
      </c>
      <c r="M170" s="19">
        <f>H60</f>
        <v>12.308189531334559</v>
      </c>
      <c r="N170" s="44" t="s">
        <v>323</v>
      </c>
    </row>
    <row r="171" spans="5:14">
      <c r="E171" s="7"/>
      <c r="F171" s="9" t="s">
        <v>120</v>
      </c>
      <c r="G171" s="8">
        <f>ROUND(0.133*G168/10000,3)</f>
        <v>420.16199999999998</v>
      </c>
      <c r="H171" s="19">
        <f t="shared" si="29"/>
        <v>2798.0341293743841</v>
      </c>
      <c r="I171" s="8" t="s">
        <v>207</v>
      </c>
      <c r="J171" s="11"/>
      <c r="K171" s="44"/>
      <c r="L171" s="9" t="str">
        <f>F84</f>
        <v>Electricity [kWh]</v>
      </c>
      <c r="M171" s="19">
        <f>H84</f>
        <v>472.31720799999999</v>
      </c>
      <c r="N171" s="44" t="s">
        <v>111</v>
      </c>
    </row>
    <row r="172" spans="5:14">
      <c r="E172" s="7"/>
      <c r="F172" s="9" t="s">
        <v>120</v>
      </c>
      <c r="G172" s="8">
        <f>ROUND(0.253*G168/10000,3)</f>
        <v>799.25599999999997</v>
      </c>
      <c r="H172" s="19">
        <f t="shared" si="29"/>
        <v>5322.5793053804309</v>
      </c>
      <c r="I172" s="8" t="s">
        <v>208</v>
      </c>
      <c r="J172" s="11"/>
      <c r="K172" s="44"/>
      <c r="L172" s="9" t="str">
        <f>F101</f>
        <v>Electricity [kWh]</v>
      </c>
      <c r="M172" s="19">
        <f>H101</f>
        <v>159.21071904127828</v>
      </c>
      <c r="N172" s="44" t="s">
        <v>112</v>
      </c>
    </row>
    <row r="173" spans="5:14">
      <c r="E173" s="7"/>
      <c r="F173" s="9" t="s">
        <v>120</v>
      </c>
      <c r="G173" s="8">
        <f>ROUND(0.316*G168/10000,3)</f>
        <v>998.28</v>
      </c>
      <c r="H173" s="19">
        <f t="shared" si="29"/>
        <v>6647.9631919875192</v>
      </c>
      <c r="I173" s="8" t="s">
        <v>209</v>
      </c>
      <c r="J173" s="11"/>
      <c r="K173" s="44"/>
      <c r="L173" s="9" t="str">
        <f>F115</f>
        <v>Electricity [kWh]</v>
      </c>
      <c r="M173" s="19">
        <f>H115</f>
        <v>147.62571472298745</v>
      </c>
      <c r="N173" s="44" t="s">
        <v>240</v>
      </c>
    </row>
    <row r="174" spans="5:14">
      <c r="E174" s="7"/>
      <c r="F174" s="9" t="s">
        <v>120</v>
      </c>
      <c r="G174" s="8">
        <f>ROUND(0.051*G168/10000,3)</f>
        <v>161.11500000000001</v>
      </c>
      <c r="H174" s="19">
        <f t="shared" si="29"/>
        <v>1072.9320327734397</v>
      </c>
      <c r="I174" s="8" t="s">
        <v>210</v>
      </c>
      <c r="J174" s="11"/>
      <c r="K174" s="44"/>
      <c r="L174" s="9" t="str">
        <f>F149</f>
        <v>Electricity [kWh]</v>
      </c>
      <c r="M174" s="19">
        <f>H149</f>
        <v>4110.8796296296296</v>
      </c>
      <c r="N174" s="44" t="s">
        <v>113</v>
      </c>
    </row>
    <row r="175" spans="5:14">
      <c r="E175" s="7"/>
      <c r="F175" s="9" t="s">
        <v>445</v>
      </c>
      <c r="G175" s="8">
        <f>ROUND(0.145*G168/10000,3)</f>
        <v>458.072</v>
      </c>
      <c r="H175" s="19">
        <f t="shared" si="29"/>
        <v>3050.4926426254228</v>
      </c>
      <c r="I175" s="8" t="s">
        <v>211</v>
      </c>
      <c r="K175" s="44" t="s">
        <v>114</v>
      </c>
      <c r="L175" s="9" t="str">
        <f>F150</f>
        <v>Capacitors (qualified) [pcs]</v>
      </c>
      <c r="M175" s="19">
        <f>H150</f>
        <v>100000</v>
      </c>
      <c r="N175" s="44" t="s">
        <v>113</v>
      </c>
    </row>
    <row r="176" spans="5:14">
      <c r="E176" s="7"/>
      <c r="F176" s="9" t="s">
        <v>121</v>
      </c>
      <c r="G176" s="20">
        <f>ROUND(0.149*G168/10000,3)</f>
        <v>470.70800000000003</v>
      </c>
      <c r="H176" s="19">
        <f t="shared" si="29"/>
        <v>3134.6410407641761</v>
      </c>
      <c r="I176" s="8" t="s">
        <v>198</v>
      </c>
      <c r="K176" s="44"/>
      <c r="L176" s="9" t="str">
        <f>F32</f>
        <v>Scraps of anode formed foil [kg]</v>
      </c>
      <c r="M176" s="19">
        <f>H32</f>
        <v>101.84546356747416</v>
      </c>
      <c r="N176" s="44" t="s">
        <v>109</v>
      </c>
    </row>
    <row r="177" spans="5:30" ht="14.5">
      <c r="E177" s="7"/>
      <c r="F177" s="9" t="s">
        <v>220</v>
      </c>
      <c r="G177" s="8">
        <f>ROUND(0.0075*G168/10000,3)</f>
        <v>23.693000000000001</v>
      </c>
      <c r="H177" s="19">
        <f t="shared" si="29"/>
        <v>157.78157621885674</v>
      </c>
      <c r="I177" s="8" t="s">
        <v>198</v>
      </c>
      <c r="J177" s="11"/>
      <c r="K177" s="44"/>
      <c r="L177" s="9" t="str">
        <f>F47</f>
        <v>Scraps of cathode etched foil [kg]</v>
      </c>
      <c r="M177" s="19">
        <f>H47</f>
        <v>35.626873578080307</v>
      </c>
      <c r="N177" s="44" t="s">
        <v>110</v>
      </c>
    </row>
    <row r="178" spans="5:30" ht="14.5">
      <c r="E178" s="7"/>
      <c r="F178" s="9" t="s">
        <v>122</v>
      </c>
      <c r="G178" s="8">
        <f>ROUND(0.025*G168/10000,3)</f>
        <v>78.977999999999994</v>
      </c>
      <c r="H178" s="19">
        <f t="shared" si="29"/>
        <v>525.94746661937563</v>
      </c>
      <c r="I178" s="8" t="s">
        <v>198</v>
      </c>
      <c r="J178" s="11"/>
      <c r="K178" s="44"/>
      <c r="L178" s="9" t="str">
        <f>F62</f>
        <v>Scraps of separator paper [kg]</v>
      </c>
      <c r="M178" s="19">
        <f>H62</f>
        <v>31.073134226647905</v>
      </c>
      <c r="N178" s="44" t="s">
        <v>323</v>
      </c>
      <c r="Z178" s="29"/>
    </row>
    <row r="179" spans="5:30" ht="14.5">
      <c r="E179" s="7"/>
      <c r="F179" s="9" t="s">
        <v>268</v>
      </c>
      <c r="G179" s="8">
        <f>ROUND(0.025*G168/10000,3)</f>
        <v>78.977999999999994</v>
      </c>
      <c r="H179" s="19">
        <f t="shared" si="29"/>
        <v>525.94746661937563</v>
      </c>
      <c r="I179" s="8" t="s">
        <v>198</v>
      </c>
      <c r="J179" s="11"/>
      <c r="K179" s="44"/>
      <c r="L179" s="9" t="str">
        <f>F86</f>
        <v>Scraps of anode formed foil [kg]</v>
      </c>
      <c r="M179" s="19">
        <f>H86</f>
        <v>0.42512800000000001</v>
      </c>
      <c r="N179" s="44" t="s">
        <v>111</v>
      </c>
      <c r="AD179" s="29"/>
    </row>
    <row r="180" spans="5:30">
      <c r="E180" s="7"/>
      <c r="F180" s="9" t="s">
        <v>59</v>
      </c>
      <c r="G180" s="8">
        <f>ROUND(0.038*G168/10000,3)</f>
        <v>120.04600000000001</v>
      </c>
      <c r="H180" s="19">
        <f t="shared" si="29"/>
        <v>799.43641998771272</v>
      </c>
      <c r="I180" s="8" t="s">
        <v>129</v>
      </c>
      <c r="K180" s="44"/>
      <c r="L180" s="9" t="str">
        <f>F87</f>
        <v>Scraps of cathode etched foil [kg]</v>
      </c>
      <c r="M180" s="19">
        <f>H87</f>
        <v>0.42512800000000001</v>
      </c>
      <c r="N180" s="44" t="s">
        <v>111</v>
      </c>
    </row>
    <row r="181" spans="5:30">
      <c r="E181" s="7"/>
      <c r="F181" s="9" t="s">
        <v>120</v>
      </c>
      <c r="G181" s="8">
        <f>ROUND(0.3062903*G168/10000,3)</f>
        <v>967.60599999999999</v>
      </c>
      <c r="H181" s="19">
        <f t="shared" si="29"/>
        <v>6443.6922229697839</v>
      </c>
      <c r="I181" s="8" t="s">
        <v>134</v>
      </c>
      <c r="J181" s="11"/>
      <c r="K181" s="44"/>
      <c r="L181" s="9" t="str">
        <f>F88</f>
        <v>Scraps of separator paper [kg]</v>
      </c>
      <c r="M181" s="19">
        <f>H88</f>
        <v>0.42512800000000001</v>
      </c>
      <c r="N181" s="44" t="s">
        <v>111</v>
      </c>
    </row>
    <row r="182" spans="5:30">
      <c r="E182" s="7"/>
      <c r="F182" s="9" t="s">
        <v>59</v>
      </c>
      <c r="G182" s="8">
        <f>ROUND(0.0255853*G168/10000,3)</f>
        <v>80.826999999999998</v>
      </c>
      <c r="H182" s="19">
        <f t="shared" si="29"/>
        <v>538.26072937329729</v>
      </c>
      <c r="I182" s="8" t="s">
        <v>134</v>
      </c>
      <c r="J182" s="11"/>
      <c r="K182" s="44"/>
      <c r="L182" s="9" t="str">
        <f>F117</f>
        <v>Capacitors (waste) [pcs]</v>
      </c>
      <c r="M182" s="19">
        <f>H117</f>
        <v>2115</v>
      </c>
      <c r="N182" s="44" t="s">
        <v>240</v>
      </c>
    </row>
    <row r="183" spans="5:30" ht="17">
      <c r="E183" s="7"/>
      <c r="F183" s="9" t="s">
        <v>426</v>
      </c>
      <c r="G183" s="8">
        <f>ROUND(0.0069576*G168/10000,3)</f>
        <v>21.98</v>
      </c>
      <c r="H183" s="19">
        <f t="shared" si="29"/>
        <v>146.37399422996123</v>
      </c>
      <c r="I183" s="8" t="s">
        <v>130</v>
      </c>
      <c r="J183" s="11"/>
      <c r="K183" s="44"/>
      <c r="L183" s="9" t="str">
        <f>F151</f>
        <v>Capacitors (waste) [pcs]</v>
      </c>
      <c r="M183" s="19">
        <f>H151</f>
        <v>4167</v>
      </c>
      <c r="N183" s="44" t="s">
        <v>113</v>
      </c>
    </row>
    <row r="184" spans="5:30">
      <c r="E184" s="7"/>
      <c r="F184" s="9" t="s">
        <v>184</v>
      </c>
      <c r="G184" s="8">
        <f>ROUND(0.0134003*G168/10000,3)</f>
        <v>42.332999999999998</v>
      </c>
      <c r="H184" s="19">
        <f t="shared" si="29"/>
        <v>281.91311636655814</v>
      </c>
      <c r="I184" s="8" t="s">
        <v>130</v>
      </c>
      <c r="J184" s="11"/>
    </row>
    <row r="185" spans="5:30">
      <c r="E185" s="7"/>
      <c r="F185" s="9" t="s">
        <v>185</v>
      </c>
      <c r="G185" s="8">
        <f>ROUND(0.0036754*G168/10000,3)</f>
        <v>11.611000000000001</v>
      </c>
      <c r="H185" s="19">
        <f t="shared" si="29"/>
        <v>77.322495314107357</v>
      </c>
      <c r="I185" s="8" t="s">
        <v>130</v>
      </c>
      <c r="J185" s="11"/>
      <c r="AD185" s="30"/>
    </row>
    <row r="186" spans="5:30" ht="17">
      <c r="E186" s="7"/>
      <c r="F186" s="9" t="s">
        <v>427</v>
      </c>
      <c r="G186" s="8">
        <f>ROUND(0.0382864*G168/10000,3)</f>
        <v>120.95099999999999</v>
      </c>
      <c r="H186" s="19">
        <f t="shared" si="29"/>
        <v>805.46319272557037</v>
      </c>
      <c r="I186" s="8" t="s">
        <v>135</v>
      </c>
      <c r="J186" s="11"/>
      <c r="AD186" s="30"/>
    </row>
    <row r="187" spans="5:30" ht="17">
      <c r="E187" s="7"/>
      <c r="F187" s="9" t="s">
        <v>428</v>
      </c>
      <c r="G187" s="8">
        <f>ROUND(0.0006125*G168/10000,3)</f>
        <v>1.9350000000000001</v>
      </c>
      <c r="H187" s="19">
        <f t="shared" si="29"/>
        <v>12.88597264945291</v>
      </c>
      <c r="I187" s="8" t="s">
        <v>212</v>
      </c>
      <c r="J187" s="11"/>
    </row>
    <row r="188" spans="5:30">
      <c r="E188" s="7"/>
      <c r="F188" s="9" t="s">
        <v>120</v>
      </c>
      <c r="G188" s="8">
        <f>ROUND(16.2541704*G168/10000,3)</f>
        <v>51348.785000000003</v>
      </c>
      <c r="H188" s="19">
        <f t="shared" si="29"/>
        <v>341952.99177914101</v>
      </c>
      <c r="I188" s="8" t="s">
        <v>130</v>
      </c>
      <c r="J188" s="11"/>
    </row>
    <row r="189" spans="5:30">
      <c r="E189" s="7"/>
      <c r="F189" s="9" t="s">
        <v>120</v>
      </c>
      <c r="G189" s="8">
        <f>ROUND(10.7122525*G168/10000,3)</f>
        <v>33841.232000000004</v>
      </c>
      <c r="H189" s="19">
        <f t="shared" si="29"/>
        <v>225362.88887637758</v>
      </c>
      <c r="I189" s="8" t="s">
        <v>136</v>
      </c>
      <c r="J189" s="11"/>
    </row>
    <row r="190" spans="5:30">
      <c r="E190" s="7"/>
      <c r="F190" s="9" t="s">
        <v>120</v>
      </c>
      <c r="G190" s="8">
        <f>ROUND(1.0507122*G168/10000,3)</f>
        <v>3319.32</v>
      </c>
      <c r="H190" s="19">
        <f t="shared" si="29"/>
        <v>22104.737330636708</v>
      </c>
      <c r="I190" s="8" t="s">
        <v>135</v>
      </c>
      <c r="J190" s="11"/>
    </row>
    <row r="191" spans="5:30">
      <c r="E191" s="7"/>
      <c r="F191" s="9" t="s">
        <v>120</v>
      </c>
      <c r="G191" s="8">
        <f>ROUND(2.3527308*G168/10000,3)</f>
        <v>7432.5460000000003</v>
      </c>
      <c r="H191" s="19">
        <f t="shared" si="29"/>
        <v>49496.426083617895</v>
      </c>
      <c r="I191" s="8" t="s">
        <v>212</v>
      </c>
      <c r="J191" s="11"/>
    </row>
    <row r="192" spans="5:30">
      <c r="E192" s="7"/>
      <c r="F192" s="9" t="s">
        <v>120</v>
      </c>
      <c r="G192" s="8">
        <f>ROUND(1.5166383*G168/10000,3)</f>
        <v>4791.2340000000004</v>
      </c>
      <c r="H192" s="19">
        <f t="shared" si="29"/>
        <v>31906.827018671247</v>
      </c>
      <c r="I192" s="8" t="s">
        <v>139</v>
      </c>
      <c r="J192" s="11"/>
      <c r="AD192" s="30"/>
    </row>
    <row r="193" spans="5:30">
      <c r="E193" s="7"/>
      <c r="F193" s="9" t="s">
        <v>120</v>
      </c>
      <c r="G193" s="8">
        <f>ROUND(0.1519413*G168/10000,3)</f>
        <v>480</v>
      </c>
      <c r="H193" s="19">
        <f t="shared" si="29"/>
        <v>3196.5203471511095</v>
      </c>
      <c r="I193" s="8" t="s">
        <v>138</v>
      </c>
      <c r="J193" s="11"/>
    </row>
    <row r="194" spans="5:30">
      <c r="E194" s="7"/>
      <c r="F194" s="9" t="s">
        <v>445</v>
      </c>
      <c r="G194" s="8">
        <f>ROUND(19.8882473*G168/10000,3)</f>
        <v>62829.25</v>
      </c>
      <c r="H194" s="19">
        <f t="shared" si="29"/>
        <v>418406.20004425797</v>
      </c>
      <c r="I194" s="8" t="s">
        <v>137</v>
      </c>
      <c r="J194" s="11"/>
    </row>
    <row r="195" spans="5:30">
      <c r="E195" s="7"/>
      <c r="F195" s="9" t="s">
        <v>59</v>
      </c>
      <c r="G195" s="8">
        <f>ROUND(G167*G168/1000*G161/1000*5/60,3)</f>
        <v>1579.557</v>
      </c>
      <c r="H195" s="19">
        <f t="shared" si="29"/>
        <v>10518.929354135344</v>
      </c>
      <c r="I195" s="8" t="s">
        <v>259</v>
      </c>
      <c r="J195" s="11"/>
    </row>
    <row r="196" spans="5:30">
      <c r="E196" s="7"/>
      <c r="F196" s="9" t="s">
        <v>59</v>
      </c>
      <c r="G196" s="8">
        <f>ROUND(G167*G168/1000*G162/1000*5/60,3)</f>
        <v>3554.0039999999999</v>
      </c>
      <c r="H196" s="19">
        <f t="shared" si="29"/>
        <v>23667.596041367564</v>
      </c>
      <c r="I196" s="8" t="s">
        <v>260</v>
      </c>
      <c r="J196" s="11"/>
      <c r="AD196" s="30"/>
    </row>
    <row r="197" spans="5:30">
      <c r="E197" s="7"/>
      <c r="F197" s="9" t="s">
        <v>59</v>
      </c>
      <c r="G197" s="8">
        <f>ROUND(G167*G168/1000*G163/1000*5/60,3)</f>
        <v>5528.45</v>
      </c>
      <c r="H197" s="19">
        <f t="shared" si="29"/>
        <v>36816.256069182396</v>
      </c>
      <c r="I197" s="8" t="s">
        <v>261</v>
      </c>
      <c r="J197" s="11"/>
    </row>
    <row r="198" spans="5:30">
      <c r="E198" s="7"/>
      <c r="F198" s="9" t="s">
        <v>59</v>
      </c>
      <c r="G198" s="8">
        <f>ROUND(G167*G168/1000*G164/1000*5/60,3)</f>
        <v>7502.8969999999999</v>
      </c>
      <c r="H198" s="19">
        <f t="shared" si="29"/>
        <v>49964.92275641462</v>
      </c>
      <c r="I198" s="8" t="s">
        <v>262</v>
      </c>
      <c r="J198" s="11"/>
    </row>
    <row r="199" spans="5:30">
      <c r="E199" s="7"/>
      <c r="F199" s="9" t="s">
        <v>59</v>
      </c>
      <c r="G199" s="8">
        <f>ROUND(G167*G168/1000*G165/1000*5/60,3)</f>
        <v>9674.7880000000005</v>
      </c>
      <c r="H199" s="19">
        <f t="shared" si="29"/>
        <v>64428.451450777895</v>
      </c>
      <c r="I199" s="8" t="s">
        <v>263</v>
      </c>
      <c r="J199" s="11"/>
    </row>
    <row r="200" spans="5:30">
      <c r="E200" s="7"/>
      <c r="F200" s="9" t="s">
        <v>59</v>
      </c>
      <c r="G200" s="8">
        <f>ROUND(0.0189794*G168/10000,3)</f>
        <v>59.957999999999998</v>
      </c>
      <c r="H200" s="19">
        <f t="shared" si="29"/>
        <v>399.28534786351292</v>
      </c>
      <c r="I200" s="8" t="s">
        <v>132</v>
      </c>
      <c r="J200" s="11"/>
    </row>
    <row r="201" spans="5:30">
      <c r="E201" s="7"/>
      <c r="F201" s="9" t="s">
        <v>59</v>
      </c>
      <c r="G201" s="11">
        <f>ROUND(G167*G168/1000*G166/1000*15/60,3)</f>
        <v>29024.364000000001</v>
      </c>
      <c r="H201" s="19">
        <f t="shared" si="29"/>
        <v>193285.35435233367</v>
      </c>
      <c r="I201" s="8" t="s">
        <v>264</v>
      </c>
    </row>
    <row r="202" spans="5:30">
      <c r="E202" s="7"/>
      <c r="F202" s="9" t="s">
        <v>59</v>
      </c>
      <c r="G202" s="8">
        <f>ROUND(0.0051733*G168/10000,3)</f>
        <v>16.343</v>
      </c>
      <c r="H202" s="19">
        <f t="shared" ref="H202" si="30">H$203/G$203*G202</f>
        <v>108.83485840310537</v>
      </c>
      <c r="I202" s="8" t="s">
        <v>133</v>
      </c>
      <c r="J202" s="11"/>
    </row>
    <row r="203" spans="5:30">
      <c r="E203" s="7" t="s">
        <v>45</v>
      </c>
      <c r="F203" s="7" t="s">
        <v>214</v>
      </c>
      <c r="G203" s="8">
        <f>ROUND(518*G160,3)</f>
        <v>449.81099999999998</v>
      </c>
      <c r="H203" s="19">
        <f>H29</f>
        <v>2995.4791955674741</v>
      </c>
      <c r="I203" s="8" t="s">
        <v>118</v>
      </c>
      <c r="J203" s="11"/>
    </row>
    <row r="204" spans="5:30" ht="17">
      <c r="E204" s="7"/>
      <c r="F204" s="9" t="s">
        <v>439</v>
      </c>
      <c r="G204" s="8">
        <f>ROUND(G186*0.1288,3)</f>
        <v>15.577999999999999</v>
      </c>
      <c r="H204" s="19">
        <f>H$203/G$203*G204</f>
        <v>103.74040409983328</v>
      </c>
      <c r="I204" s="8" t="s">
        <v>118</v>
      </c>
      <c r="J204" s="11"/>
    </row>
    <row r="205" spans="5:30">
      <c r="E205" s="7"/>
      <c r="F205" s="9" t="s">
        <v>189</v>
      </c>
      <c r="G205" s="8">
        <f>ROUND(0.0286*G203,3)</f>
        <v>12.865</v>
      </c>
      <c r="H205" s="19">
        <f t="shared" ref="H205:H211" si="31">H$203/G$203*G205</f>
        <v>85.673404721039631</v>
      </c>
      <c r="I205" s="8" t="s">
        <v>118</v>
      </c>
      <c r="J205" s="11"/>
    </row>
    <row r="206" spans="5:30">
      <c r="E206" s="8"/>
      <c r="F206" s="9" t="s">
        <v>404</v>
      </c>
      <c r="G206" s="8">
        <f>ROUND(25.5752423*G168/10000,3)</f>
        <v>80795.118000000002</v>
      </c>
      <c r="H206" s="19">
        <f t="shared" si="31"/>
        <v>538048.4138280726</v>
      </c>
      <c r="I206" s="8" t="s">
        <v>118</v>
      </c>
      <c r="J206" s="11"/>
    </row>
    <row r="207" spans="5:30">
      <c r="E207" s="7"/>
      <c r="F207" s="9" t="s">
        <v>124</v>
      </c>
      <c r="G207" s="8">
        <f>ROUND(0.0006777*G168/10000,3)</f>
        <v>2.141</v>
      </c>
      <c r="H207" s="19">
        <f t="shared" si="31"/>
        <v>14.257812631771927</v>
      </c>
      <c r="I207" s="8" t="s">
        <v>118</v>
      </c>
      <c r="J207" s="11"/>
    </row>
    <row r="208" spans="5:30" ht="17">
      <c r="E208" s="7"/>
      <c r="F208" s="9" t="s">
        <v>441</v>
      </c>
      <c r="G208" s="8">
        <f>ROUND(0.0001176*G168/10000,3)</f>
        <v>0.372</v>
      </c>
      <c r="H208" s="19">
        <f t="shared" si="31"/>
        <v>2.4773032690421095</v>
      </c>
      <c r="I208" s="8" t="s">
        <v>118</v>
      </c>
      <c r="J208" s="11"/>
    </row>
    <row r="209" spans="5:26">
      <c r="E209" s="7"/>
      <c r="F209" s="9" t="s">
        <v>187</v>
      </c>
      <c r="G209" s="8">
        <f>ROUND(0.0000114*G168/10000,3)</f>
        <v>3.5999999999999997E-2</v>
      </c>
      <c r="H209" s="19">
        <f t="shared" si="31"/>
        <v>0.23973902603633318</v>
      </c>
      <c r="I209" s="8" t="s">
        <v>118</v>
      </c>
      <c r="J209" s="11"/>
    </row>
    <row r="210" spans="5:26">
      <c r="E210" s="7"/>
      <c r="F210" s="9" t="s">
        <v>188</v>
      </c>
      <c r="G210" s="8">
        <f>ROUND(0.0046409*G168/10000,3)</f>
        <v>14.661</v>
      </c>
      <c r="H210" s="19">
        <f t="shared" si="31"/>
        <v>97.633718353296686</v>
      </c>
      <c r="I210" s="8" t="s">
        <v>289</v>
      </c>
      <c r="J210" s="11"/>
    </row>
    <row r="211" spans="5:26">
      <c r="E211" s="7"/>
      <c r="F211" s="9" t="s">
        <v>404</v>
      </c>
      <c r="G211" s="8">
        <f>ROUND(2.4647*G168/10000,3)</f>
        <v>7786.2690000000002</v>
      </c>
      <c r="H211" s="19">
        <f t="shared" si="31"/>
        <v>51852.015181024835</v>
      </c>
      <c r="I211" s="8" t="s">
        <v>129</v>
      </c>
      <c r="J211" s="11"/>
    </row>
    <row r="212" spans="5:26">
      <c r="E212" s="7"/>
      <c r="F212" s="9" t="s">
        <v>123</v>
      </c>
      <c r="G212" s="8">
        <f>ROUND(0.0001228*G168/10000,3)</f>
        <v>0.38800000000000001</v>
      </c>
      <c r="H212" s="19">
        <f t="shared" ref="H212:H219" si="32">H$203/G$203*G212</f>
        <v>2.5838539472804802</v>
      </c>
      <c r="I212" s="8" t="s">
        <v>129</v>
      </c>
      <c r="J212" s="11"/>
    </row>
    <row r="213" spans="5:26" ht="17">
      <c r="E213" s="7"/>
      <c r="F213" s="9" t="s">
        <v>141</v>
      </c>
      <c r="G213" s="8">
        <f>ROUND(0.0000133*G168/10000,3)</f>
        <v>4.2000000000000003E-2</v>
      </c>
      <c r="H213" s="19">
        <f t="shared" si="32"/>
        <v>0.27969553037572209</v>
      </c>
      <c r="I213" s="8" t="s">
        <v>129</v>
      </c>
      <c r="J213" s="11"/>
    </row>
    <row r="214" spans="5:26">
      <c r="E214" s="7"/>
      <c r="F214" s="9" t="s">
        <v>142</v>
      </c>
      <c r="G214" s="8">
        <f>ROUND(0.0000152*G168/10000,3)</f>
        <v>4.8000000000000001E-2</v>
      </c>
      <c r="H214" s="19">
        <f t="shared" si="32"/>
        <v>0.31965203471511094</v>
      </c>
      <c r="I214" s="8" t="s">
        <v>129</v>
      </c>
      <c r="J214" s="11"/>
    </row>
    <row r="215" spans="5:26" ht="17">
      <c r="E215" s="7"/>
      <c r="F215" s="9" t="s">
        <v>440</v>
      </c>
      <c r="G215" s="8">
        <f>ROUND(0.0000139*G168/10000,3)</f>
        <v>4.3999999999999997E-2</v>
      </c>
      <c r="H215" s="19">
        <f t="shared" si="32"/>
        <v>0.29301436515551832</v>
      </c>
      <c r="I215" s="8" t="s">
        <v>289</v>
      </c>
      <c r="J215" s="11"/>
    </row>
    <row r="216" spans="5:26">
      <c r="E216" s="7"/>
      <c r="F216" s="9" t="s">
        <v>124</v>
      </c>
      <c r="G216" s="8">
        <f>ROUND(0.0002998*G168/10000,3)</f>
        <v>0.94699999999999995</v>
      </c>
      <c r="H216" s="19">
        <f t="shared" si="32"/>
        <v>6.3064682682335427</v>
      </c>
      <c r="I216" s="8" t="s">
        <v>129</v>
      </c>
      <c r="J216" s="11"/>
    </row>
    <row r="217" spans="5:26">
      <c r="E217" s="8"/>
      <c r="F217" s="9" t="s">
        <v>125</v>
      </c>
      <c r="G217" s="8">
        <f>ROUND(0.0001963*G168/10000,3)</f>
        <v>0.62</v>
      </c>
      <c r="H217" s="19">
        <f t="shared" si="32"/>
        <v>4.1288387817368495</v>
      </c>
      <c r="I217" s="8" t="s">
        <v>129</v>
      </c>
      <c r="J217" s="11"/>
    </row>
    <row r="218" spans="5:26" ht="17">
      <c r="E218" s="7"/>
      <c r="F218" s="9" t="s">
        <v>441</v>
      </c>
      <c r="G218" s="8">
        <f>ROUND(0.0000063*G168/10000,3)</f>
        <v>0.02</v>
      </c>
      <c r="H218" s="19">
        <f t="shared" si="32"/>
        <v>0.1331883477979629</v>
      </c>
      <c r="I218" s="8" t="s">
        <v>129</v>
      </c>
      <c r="J218" s="11"/>
    </row>
    <row r="219" spans="5:26" ht="14.5">
      <c r="E219" s="7"/>
      <c r="F219" s="9" t="s">
        <v>126</v>
      </c>
      <c r="G219" s="8">
        <f>ROUND(0.000025*G168/10000,3)</f>
        <v>7.9000000000000001E-2</v>
      </c>
      <c r="H219" s="19">
        <f t="shared" si="32"/>
        <v>0.52609397380195344</v>
      </c>
      <c r="I219" s="8" t="s">
        <v>129</v>
      </c>
      <c r="J219" s="11"/>
      <c r="Z219" s="29"/>
    </row>
    <row r="222" spans="5:26">
      <c r="E222" s="79" t="s">
        <v>117</v>
      </c>
      <c r="F222" s="80"/>
      <c r="G222" s="34" t="s">
        <v>374</v>
      </c>
      <c r="H222" s="34" t="s">
        <v>373</v>
      </c>
      <c r="I222" s="34" t="s">
        <v>290</v>
      </c>
    </row>
    <row r="223" spans="5:26">
      <c r="E223" s="8"/>
      <c r="F223" s="9" t="s">
        <v>217</v>
      </c>
      <c r="G223" s="8">
        <f>B33</f>
        <v>9.7450000000000002E-3</v>
      </c>
      <c r="H223" s="81"/>
      <c r="I223" s="82"/>
    </row>
    <row r="224" spans="5:26">
      <c r="E224" s="8"/>
      <c r="F224" s="9" t="s">
        <v>258</v>
      </c>
      <c r="G224" s="8">
        <v>1.3664000000000001E-2</v>
      </c>
      <c r="H224" s="83"/>
      <c r="I224" s="84"/>
    </row>
    <row r="225" spans="5:30">
      <c r="E225" s="8"/>
      <c r="F225" s="9" t="s">
        <v>218</v>
      </c>
      <c r="G225" s="8">
        <f>G223/G224</f>
        <v>0.71318793911007028</v>
      </c>
      <c r="H225" s="83"/>
      <c r="I225" s="84"/>
    </row>
    <row r="226" spans="5:30">
      <c r="E226" s="8"/>
      <c r="F226" s="9" t="s">
        <v>265</v>
      </c>
      <c r="G226" s="8">
        <f>G227*1000/G224*2</f>
        <v>75819672.131147534</v>
      </c>
      <c r="H226" s="91"/>
      <c r="I226" s="92"/>
    </row>
    <row r="227" spans="5:30" ht="14.4" customHeight="1">
      <c r="E227" s="7" t="s">
        <v>44</v>
      </c>
      <c r="F227" s="9" t="s">
        <v>119</v>
      </c>
      <c r="G227" s="8">
        <v>518</v>
      </c>
      <c r="H227" s="19">
        <f>H$239/G$239*G227</f>
        <v>1469.2587799547023</v>
      </c>
      <c r="I227" s="8" t="s">
        <v>205</v>
      </c>
      <c r="AD227" s="30"/>
    </row>
    <row r="228" spans="5:30">
      <c r="E228" s="8"/>
      <c r="F228" s="9" t="s">
        <v>120</v>
      </c>
      <c r="G228" s="8">
        <f>ROUND(1.138*G226/10000,3)</f>
        <v>8628.2790000000005</v>
      </c>
      <c r="H228" s="19">
        <f t="shared" ref="H228" si="33">H$239/G$239*G228</f>
        <v>24473.310186580653</v>
      </c>
      <c r="I228" s="8" t="s">
        <v>205</v>
      </c>
      <c r="L228" s="25"/>
    </row>
    <row r="229" spans="5:30">
      <c r="E229" s="7"/>
      <c r="F229" s="9" t="s">
        <v>120</v>
      </c>
      <c r="G229" s="8">
        <f>ROUND(0.133*G226/10000,3)</f>
        <v>1008.402</v>
      </c>
      <c r="H229" s="19">
        <f>H$239/G$239*G229</f>
        <v>2860.2384019766055</v>
      </c>
      <c r="I229" s="8" t="s">
        <v>204</v>
      </c>
      <c r="L229" s="25"/>
    </row>
    <row r="230" spans="5:30">
      <c r="E230" s="7"/>
      <c r="F230" s="9" t="s">
        <v>120</v>
      </c>
      <c r="G230" s="8">
        <f>ROUND(0.253*G226/10000,3)</f>
        <v>1918.2380000000001</v>
      </c>
      <c r="H230" s="19">
        <f>H$239/G$239*G230</f>
        <v>5440.9035203527956</v>
      </c>
      <c r="I230" s="8" t="s">
        <v>203</v>
      </c>
      <c r="L230" s="25"/>
    </row>
    <row r="231" spans="5:30">
      <c r="E231" s="7"/>
      <c r="F231" s="9" t="s">
        <v>120</v>
      </c>
      <c r="G231" s="8">
        <f>ROUND(0.316*G226/10000,3)</f>
        <v>2395.902</v>
      </c>
      <c r="H231" s="19">
        <f t="shared" ref="H231:H238" si="34">H$239/G$239*G231</f>
        <v>6795.7529911409865</v>
      </c>
      <c r="I231" s="8" t="s">
        <v>202</v>
      </c>
      <c r="L231" s="25"/>
    </row>
    <row r="232" spans="5:30">
      <c r="E232" s="7"/>
      <c r="F232" s="9" t="s">
        <v>120</v>
      </c>
      <c r="G232" s="8">
        <f>ROUND(0.051*G226/10000,3)</f>
        <v>386.68</v>
      </c>
      <c r="H232" s="19">
        <f t="shared" si="34"/>
        <v>1096.7818243878073</v>
      </c>
      <c r="I232" s="8" t="s">
        <v>201</v>
      </c>
      <c r="L232" s="25"/>
    </row>
    <row r="233" spans="5:30">
      <c r="E233" s="7"/>
      <c r="F233" s="9" t="s">
        <v>445</v>
      </c>
      <c r="G233" s="8">
        <f>ROUND(0.145*G226/10000,3)</f>
        <v>1099.385</v>
      </c>
      <c r="H233" s="19">
        <f t="shared" si="34"/>
        <v>3118.3032119700774</v>
      </c>
      <c r="I233" s="8" t="s">
        <v>127</v>
      </c>
      <c r="L233" s="25"/>
      <c r="AD233" s="30"/>
    </row>
    <row r="234" spans="5:30">
      <c r="E234" s="7"/>
      <c r="F234" s="9" t="s">
        <v>121</v>
      </c>
      <c r="G234" s="20">
        <f>ROUND(0.149*G226/10000,3)</f>
        <v>1129.713</v>
      </c>
      <c r="H234" s="19">
        <f t="shared" si="34"/>
        <v>3204.3257607702053</v>
      </c>
      <c r="I234" s="8" t="s">
        <v>199</v>
      </c>
      <c r="L234" s="25"/>
    </row>
    <row r="235" spans="5:30" ht="14.5">
      <c r="E235" s="8"/>
      <c r="F235" s="9" t="s">
        <v>220</v>
      </c>
      <c r="G235" s="8">
        <f>ROUND(0.0075*G226/10000,3)</f>
        <v>56.865000000000002</v>
      </c>
      <c r="H235" s="19">
        <f t="shared" si="34"/>
        <v>161.29227900023966</v>
      </c>
      <c r="I235" s="8" t="s">
        <v>199</v>
      </c>
      <c r="L235" s="25"/>
    </row>
    <row r="236" spans="5:30">
      <c r="E236" s="7"/>
      <c r="F236" s="9" t="s">
        <v>122</v>
      </c>
      <c r="G236" s="8">
        <f>ROUND(0.025*G226/10000,3)</f>
        <v>189.54900000000001</v>
      </c>
      <c r="H236" s="19">
        <f t="shared" si="34"/>
        <v>537.63809359388779</v>
      </c>
      <c r="I236" s="8" t="s">
        <v>199</v>
      </c>
      <c r="L236" s="25"/>
    </row>
    <row r="237" spans="5:30">
      <c r="E237" s="7"/>
      <c r="F237" s="9" t="s">
        <v>268</v>
      </c>
      <c r="G237" s="8">
        <f>ROUND(0.025*G226/10000,3)</f>
        <v>189.54900000000001</v>
      </c>
      <c r="H237" s="19">
        <f t="shared" si="34"/>
        <v>537.63809359388779</v>
      </c>
      <c r="I237" s="8" t="s">
        <v>200</v>
      </c>
      <c r="AD237" s="30"/>
    </row>
    <row r="238" spans="5:30">
      <c r="E238" s="7"/>
      <c r="F238" s="9" t="s">
        <v>59</v>
      </c>
      <c r="G238" s="8">
        <f>ROUND(0.038*G226/10000,3)</f>
        <v>288.11500000000001</v>
      </c>
      <c r="H238" s="19">
        <f t="shared" si="34"/>
        <v>817.21137719430317</v>
      </c>
      <c r="I238" s="8" t="s">
        <v>117</v>
      </c>
    </row>
    <row r="239" spans="5:30">
      <c r="E239" s="7" t="s">
        <v>45</v>
      </c>
      <c r="F239" s="9" t="s">
        <v>213</v>
      </c>
      <c r="G239" s="8">
        <f>ROUND(G227*G225,3)</f>
        <v>369.43099999999998</v>
      </c>
      <c r="H239" s="19">
        <f>H44</f>
        <v>1047.8566415780801</v>
      </c>
      <c r="I239" s="8" t="s">
        <v>117</v>
      </c>
    </row>
    <row r="240" spans="5:30">
      <c r="E240" s="7"/>
      <c r="F240" s="9" t="s">
        <v>404</v>
      </c>
      <c r="G240" s="8">
        <f>ROUND(2.4647*G226/10000,3)</f>
        <v>18687.275000000001</v>
      </c>
      <c r="H240" s="19">
        <f>H$239/G$239*G240</f>
        <v>53004.715959803107</v>
      </c>
      <c r="I240" s="8" t="s">
        <v>117</v>
      </c>
    </row>
    <row r="241" spans="5:9">
      <c r="E241" s="7"/>
      <c r="F241" s="9" t="s">
        <v>123</v>
      </c>
      <c r="G241" s="8">
        <f>ROUND(0.0001228*G226/10000,3)</f>
        <v>0.93100000000000005</v>
      </c>
      <c r="H241" s="19">
        <f t="shared" ref="H241:H248" si="35">H$239/G$239*G241</f>
        <v>2.6406948342429106</v>
      </c>
      <c r="I241" s="8" t="s">
        <v>117</v>
      </c>
    </row>
    <row r="242" spans="5:9" ht="17">
      <c r="E242" s="7"/>
      <c r="F242" s="9" t="s">
        <v>141</v>
      </c>
      <c r="G242" s="8">
        <f>ROUND(0.0000133*G226/10000,3)</f>
        <v>0.10100000000000001</v>
      </c>
      <c r="H242" s="19">
        <f t="shared" si="35"/>
        <v>0.28647709802205584</v>
      </c>
      <c r="I242" s="8" t="s">
        <v>117</v>
      </c>
    </row>
    <row r="243" spans="5:9">
      <c r="E243" s="7"/>
      <c r="F243" s="9" t="s">
        <v>142</v>
      </c>
      <c r="G243" s="8">
        <f>ROUND(0.0000152*G226/10000,3)</f>
        <v>0.115</v>
      </c>
      <c r="H243" s="19">
        <f t="shared" si="35"/>
        <v>0.32618679477758833</v>
      </c>
      <c r="I243" s="8" t="s">
        <v>117</v>
      </c>
    </row>
    <row r="244" spans="5:9" ht="17">
      <c r="E244" s="7"/>
      <c r="F244" s="9" t="s">
        <v>440</v>
      </c>
      <c r="G244" s="8">
        <f>ROUND(0.0000139*G226/10000,3)</f>
        <v>0.105</v>
      </c>
      <c r="H244" s="19">
        <f t="shared" si="35"/>
        <v>0.29782272566649365</v>
      </c>
      <c r="I244" s="8" t="s">
        <v>289</v>
      </c>
    </row>
    <row r="245" spans="5:9">
      <c r="E245" s="7"/>
      <c r="F245" s="9" t="s">
        <v>124</v>
      </c>
      <c r="G245" s="8">
        <f>ROUND(0.0002998*G226/10000,3)</f>
        <v>2.2730000000000001</v>
      </c>
      <c r="H245" s="19">
        <f t="shared" si="35"/>
        <v>6.4471529089518116</v>
      </c>
      <c r="I245" s="8" t="s">
        <v>117</v>
      </c>
    </row>
    <row r="246" spans="5:9">
      <c r="E246" s="7"/>
      <c r="F246" s="9" t="s">
        <v>125</v>
      </c>
      <c r="G246" s="8">
        <f>ROUND(0.0001963*G226/10000,3)</f>
        <v>1.488</v>
      </c>
      <c r="H246" s="19">
        <f t="shared" si="35"/>
        <v>4.2205734837308819</v>
      </c>
      <c r="I246" s="8" t="s">
        <v>117</v>
      </c>
    </row>
    <row r="247" spans="5:9" ht="17">
      <c r="E247" s="7"/>
      <c r="F247" s="9" t="s">
        <v>441</v>
      </c>
      <c r="G247" s="8">
        <f>ROUND(0.0000063*G226/10000,3)</f>
        <v>4.8000000000000001E-2</v>
      </c>
      <c r="H247" s="19">
        <f t="shared" si="35"/>
        <v>0.13614753173325425</v>
      </c>
      <c r="I247" s="8" t="s">
        <v>117</v>
      </c>
    </row>
    <row r="248" spans="5:9">
      <c r="E248" s="7"/>
      <c r="F248" s="9" t="s">
        <v>126</v>
      </c>
      <c r="G248" s="8">
        <f>ROUND(0.000025*G226/10000,3)</f>
        <v>0.19</v>
      </c>
      <c r="H248" s="19">
        <f t="shared" si="35"/>
        <v>0.53891731311079805</v>
      </c>
      <c r="I248" s="8" t="s">
        <v>117</v>
      </c>
    </row>
    <row r="251" spans="5:9">
      <c r="E251" s="79" t="s">
        <v>454</v>
      </c>
      <c r="F251" s="80"/>
      <c r="G251" s="34" t="s">
        <v>374</v>
      </c>
      <c r="H251" s="34" t="s">
        <v>373</v>
      </c>
      <c r="I251" s="34" t="s">
        <v>290</v>
      </c>
    </row>
    <row r="252" spans="5:9">
      <c r="E252" s="7" t="s">
        <v>43</v>
      </c>
      <c r="F252" s="9" t="s">
        <v>174</v>
      </c>
      <c r="G252" s="16">
        <v>0.95</v>
      </c>
      <c r="H252" s="81"/>
      <c r="I252" s="82"/>
    </row>
    <row r="253" spans="5:9">
      <c r="E253" s="7"/>
      <c r="F253" s="9" t="s">
        <v>175</v>
      </c>
      <c r="G253" s="8">
        <v>600</v>
      </c>
      <c r="H253" s="83"/>
      <c r="I253" s="84"/>
    </row>
    <row r="254" spans="5:9">
      <c r="E254" s="7"/>
      <c r="F254" s="9" t="s">
        <v>180</v>
      </c>
      <c r="G254" s="8">
        <v>120</v>
      </c>
      <c r="H254" s="83"/>
      <c r="I254" s="84"/>
    </row>
    <row r="255" spans="5:9">
      <c r="E255" s="7"/>
      <c r="F255" s="9" t="s">
        <v>176</v>
      </c>
      <c r="G255" s="8">
        <v>0.05</v>
      </c>
      <c r="H255" s="83"/>
      <c r="I255" s="84"/>
    </row>
    <row r="256" spans="5:9">
      <c r="E256" s="7"/>
      <c r="F256" s="9" t="s">
        <v>181</v>
      </c>
      <c r="G256" s="8">
        <v>4480</v>
      </c>
      <c r="H256" s="83"/>
      <c r="I256" s="84"/>
    </row>
    <row r="257" spans="5:9">
      <c r="E257" s="7"/>
      <c r="F257" s="9" t="s">
        <v>177</v>
      </c>
      <c r="G257" s="8">
        <v>5</v>
      </c>
      <c r="H257" s="83"/>
      <c r="I257" s="84"/>
    </row>
    <row r="258" spans="5:9">
      <c r="E258" s="7"/>
      <c r="F258" s="9" t="s">
        <v>178</v>
      </c>
      <c r="G258" s="8">
        <v>16.5</v>
      </c>
      <c r="H258" s="83"/>
      <c r="I258" s="84"/>
    </row>
    <row r="259" spans="5:9">
      <c r="E259" s="7"/>
      <c r="F259" s="9" t="s">
        <v>179</v>
      </c>
      <c r="G259" s="8">
        <v>13</v>
      </c>
      <c r="H259" s="83"/>
      <c r="I259" s="84"/>
    </row>
    <row r="260" spans="5:9">
      <c r="E260" s="7"/>
      <c r="F260" s="9" t="s">
        <v>182</v>
      </c>
      <c r="G260" s="8">
        <v>1236</v>
      </c>
      <c r="H260" s="83"/>
      <c r="I260" s="84"/>
    </row>
    <row r="261" spans="5:9">
      <c r="E261" s="7"/>
      <c r="F261" s="9" t="s">
        <v>183</v>
      </c>
      <c r="G261" s="8">
        <v>1854</v>
      </c>
      <c r="H261" s="83"/>
      <c r="I261" s="84"/>
    </row>
    <row r="262" spans="5:9">
      <c r="E262" s="7"/>
      <c r="F262" s="9" t="s">
        <v>173</v>
      </c>
      <c r="G262" s="8">
        <v>1.3</v>
      </c>
      <c r="H262" s="83"/>
      <c r="I262" s="84"/>
    </row>
    <row r="263" spans="5:9">
      <c r="E263" s="7"/>
      <c r="F263" s="9" t="s">
        <v>153</v>
      </c>
      <c r="G263" s="8">
        <v>8</v>
      </c>
      <c r="H263" s="83"/>
      <c r="I263" s="84"/>
    </row>
    <row r="264" spans="5:9">
      <c r="E264" s="7"/>
      <c r="F264" s="9" t="s">
        <v>154</v>
      </c>
      <c r="G264" s="8">
        <v>3</v>
      </c>
      <c r="H264" s="83"/>
      <c r="I264" s="84"/>
    </row>
    <row r="265" spans="5:9">
      <c r="E265" s="7"/>
      <c r="F265" s="9" t="s">
        <v>155</v>
      </c>
      <c r="G265" s="8">
        <v>0.16</v>
      </c>
      <c r="H265" s="83"/>
      <c r="I265" s="84"/>
    </row>
    <row r="266" spans="5:9">
      <c r="E266" s="7"/>
      <c r="F266" s="9" t="s">
        <v>156</v>
      </c>
      <c r="G266" s="8">
        <v>0.12</v>
      </c>
      <c r="H266" s="83"/>
      <c r="I266" s="84"/>
    </row>
    <row r="267" spans="5:9">
      <c r="E267" s="7"/>
      <c r="F267" s="9" t="s">
        <v>267</v>
      </c>
      <c r="G267" s="8">
        <v>3085</v>
      </c>
      <c r="H267" s="91"/>
      <c r="I267" s="92"/>
    </row>
    <row r="268" spans="5:9">
      <c r="E268" s="7" t="s">
        <v>44</v>
      </c>
      <c r="F268" s="9" t="s">
        <v>228</v>
      </c>
      <c r="G268" s="15">
        <f>G289/G252</f>
        <v>1052.6315789473686</v>
      </c>
      <c r="H268" s="19">
        <f>H$289/G$289*G268</f>
        <v>3631.1349557549888</v>
      </c>
      <c r="I268" s="8" t="s">
        <v>157</v>
      </c>
    </row>
    <row r="269" spans="5:9">
      <c r="E269" s="7"/>
      <c r="F269" s="9" t="s">
        <v>59</v>
      </c>
      <c r="G269" s="8">
        <f>ROUND(G268/1000*G253,3)</f>
        <v>631.57899999999995</v>
      </c>
      <c r="H269" s="19">
        <f t="shared" ref="H269:H274" si="36">H$289/G$289*G269</f>
        <v>2178.6811550097405</v>
      </c>
      <c r="I269" s="8" t="s">
        <v>157</v>
      </c>
    </row>
    <row r="270" spans="5:9">
      <c r="E270" s="7"/>
      <c r="F270" s="9" t="s">
        <v>146</v>
      </c>
      <c r="G270" s="8">
        <f>ROUND(0.18/1000*G268,3)</f>
        <v>0.189</v>
      </c>
      <c r="H270" s="19">
        <f t="shared" si="36"/>
        <v>0.65197028130580814</v>
      </c>
      <c r="I270" s="8" t="s">
        <v>157</v>
      </c>
    </row>
    <row r="271" spans="5:9">
      <c r="E271" s="7"/>
      <c r="F271" s="9" t="s">
        <v>59</v>
      </c>
      <c r="G271" s="8">
        <f>ROUND(G254*G267*G266/G263/G255/3600,3)</f>
        <v>30.85</v>
      </c>
      <c r="H271" s="19">
        <f t="shared" si="36"/>
        <v>106.41948771578932</v>
      </c>
      <c r="I271" s="8" t="s">
        <v>164</v>
      </c>
    </row>
    <row r="272" spans="5:9">
      <c r="E272" s="7"/>
      <c r="F272" s="9" t="s">
        <v>147</v>
      </c>
      <c r="G272" s="17">
        <f>ROUND(G267*G266/G263*0.00069,3)</f>
        <v>3.2000000000000001E-2</v>
      </c>
      <c r="H272" s="19">
        <f t="shared" si="36"/>
        <v>0.11038650265495165</v>
      </c>
      <c r="I272" s="8" t="s">
        <v>164</v>
      </c>
    </row>
    <row r="273" spans="5:9">
      <c r="E273" s="7"/>
      <c r="F273" s="9" t="s">
        <v>120</v>
      </c>
      <c r="G273" s="8">
        <f>G272*80</f>
        <v>2.56</v>
      </c>
      <c r="H273" s="19">
        <f t="shared" si="36"/>
        <v>8.8309202123961317</v>
      </c>
      <c r="I273" s="8" t="s">
        <v>164</v>
      </c>
    </row>
    <row r="274" spans="5:9">
      <c r="E274" s="7"/>
      <c r="F274" s="9" t="s">
        <v>445</v>
      </c>
      <c r="G274" s="8">
        <f>ROUND(G262*G268/1000*1000,3)</f>
        <v>1368.421</v>
      </c>
      <c r="H274" s="19">
        <f t="shared" si="36"/>
        <v>4720.4752609247371</v>
      </c>
      <c r="I274" s="8" t="s">
        <v>164</v>
      </c>
    </row>
    <row r="275" spans="5:9">
      <c r="E275" s="7"/>
      <c r="F275" s="9" t="s">
        <v>59</v>
      </c>
      <c r="G275" s="8">
        <f>ROUND((G256+G260+G261)*G267*G266/G264/G257/3600,3)</f>
        <v>51.896999999999998</v>
      </c>
      <c r="H275" s="19">
        <f>H$289/G$289*G275</f>
        <v>179.02276025887579</v>
      </c>
      <c r="I275" s="8" t="s">
        <v>163</v>
      </c>
    </row>
    <row r="276" spans="5:9">
      <c r="E276" s="7"/>
      <c r="F276" s="9" t="s">
        <v>120</v>
      </c>
      <c r="G276" s="8">
        <f>ROUND(G283*G266/G264,3)</f>
        <v>12.093</v>
      </c>
      <c r="H276" s="19">
        <f t="shared" ref="H276:H281" si="37">H$289/G$289*G276</f>
        <v>41.715749268947818</v>
      </c>
      <c r="I276" s="8" t="s">
        <v>163</v>
      </c>
    </row>
    <row r="277" spans="5:9">
      <c r="E277" s="7"/>
      <c r="F277" s="9" t="s">
        <v>148</v>
      </c>
      <c r="G277" s="8">
        <f>ROUND(G276*0.032,3)</f>
        <v>0.38700000000000001</v>
      </c>
      <c r="H277" s="19">
        <f t="shared" si="37"/>
        <v>1.3349867664833215</v>
      </c>
      <c r="I277" s="8" t="s">
        <v>163</v>
      </c>
    </row>
    <row r="278" spans="5:9">
      <c r="E278" s="7"/>
      <c r="F278" s="9" t="s">
        <v>59</v>
      </c>
      <c r="G278" s="8">
        <f>140.2/1000*G289</f>
        <v>140.19999999999999</v>
      </c>
      <c r="H278" s="19">
        <f t="shared" si="37"/>
        <v>483.63086475700686</v>
      </c>
      <c r="I278" s="8" t="s">
        <v>162</v>
      </c>
    </row>
    <row r="279" spans="5:9">
      <c r="E279" s="7"/>
      <c r="F279" s="9" t="s">
        <v>59</v>
      </c>
      <c r="G279" s="8">
        <f>ROUND((G256+G260+G261)*G267*G266/G265/G258/3600,3)</f>
        <v>294.86700000000002</v>
      </c>
      <c r="H279" s="19">
        <f t="shared" si="37"/>
        <v>1017.1667774486758</v>
      </c>
      <c r="I279" s="8" t="s">
        <v>161</v>
      </c>
    </row>
    <row r="280" spans="5:9">
      <c r="E280" s="7"/>
      <c r="F280" s="9" t="s">
        <v>120</v>
      </c>
      <c r="G280" s="8">
        <f>G283*G266/G265</f>
        <v>226.74749999999997</v>
      </c>
      <c r="H280" s="19">
        <f t="shared" si="37"/>
        <v>782.18323471105134</v>
      </c>
      <c r="I280" s="8" t="s">
        <v>161</v>
      </c>
    </row>
    <row r="281" spans="5:9">
      <c r="E281" s="7"/>
      <c r="F281" s="9" t="s">
        <v>148</v>
      </c>
      <c r="G281" s="8">
        <f>ROUND(G280*0.032,3)</f>
        <v>7.2560000000000002</v>
      </c>
      <c r="H281" s="19">
        <f t="shared" si="37"/>
        <v>25.030139477010284</v>
      </c>
      <c r="I281" s="8" t="s">
        <v>161</v>
      </c>
    </row>
    <row r="282" spans="5:9">
      <c r="E282" s="7"/>
      <c r="F282" s="9" t="s">
        <v>59</v>
      </c>
      <c r="G282" s="8">
        <f>50.1/1000*G289</f>
        <v>50.1</v>
      </c>
      <c r="H282" s="19">
        <f>H$289/G$289*G282</f>
        <v>172.82386821915867</v>
      </c>
      <c r="I282" s="8" t="s">
        <v>160</v>
      </c>
    </row>
    <row r="283" spans="5:9">
      <c r="E283" s="7"/>
      <c r="F283" s="9" t="s">
        <v>120</v>
      </c>
      <c r="G283" s="8">
        <f>G267*0.098</f>
        <v>302.33</v>
      </c>
      <c r="H283" s="19">
        <f t="shared" ref="H283:H288" si="38">H$289/G$289*G283</f>
        <v>1042.9109796147352</v>
      </c>
      <c r="I283" s="8" t="s">
        <v>159</v>
      </c>
    </row>
    <row r="284" spans="5:9">
      <c r="E284" s="7"/>
      <c r="F284" s="9" t="s">
        <v>148</v>
      </c>
      <c r="G284" s="8">
        <f>ROUND(G283*0.032,3)</f>
        <v>9.6750000000000007</v>
      </c>
      <c r="H284" s="19">
        <f t="shared" si="38"/>
        <v>33.374669162083038</v>
      </c>
      <c r="I284" s="8" t="s">
        <v>159</v>
      </c>
    </row>
    <row r="285" spans="5:9">
      <c r="E285" s="7"/>
      <c r="F285" s="9" t="s">
        <v>59</v>
      </c>
      <c r="G285" s="8">
        <f>ROUND((G256+G260+G261)*G267/G259/3600,3)</f>
        <v>499.005</v>
      </c>
      <c r="H285" s="19">
        <f t="shared" si="38"/>
        <v>1721.3567736666919</v>
      </c>
      <c r="I285" s="8" t="s">
        <v>159</v>
      </c>
    </row>
    <row r="286" spans="5:9">
      <c r="E286" s="7"/>
      <c r="F286" s="9" t="s">
        <v>443</v>
      </c>
      <c r="G286" s="8">
        <f>31.8/1000*G289</f>
        <v>31.8</v>
      </c>
      <c r="H286" s="19">
        <f t="shared" si="38"/>
        <v>109.6965870133582</v>
      </c>
      <c r="I286" s="8" t="s">
        <v>158</v>
      </c>
    </row>
    <row r="287" spans="5:9">
      <c r="E287" s="7"/>
      <c r="F287" s="9" t="s">
        <v>59</v>
      </c>
      <c r="G287" s="8">
        <f>129.9/1000*G289</f>
        <v>129.9</v>
      </c>
      <c r="H287" s="19">
        <f t="shared" si="38"/>
        <v>448.10020921494436</v>
      </c>
      <c r="I287" s="8" t="s">
        <v>158</v>
      </c>
    </row>
    <row r="288" spans="5:9" ht="17">
      <c r="E288" s="7"/>
      <c r="F288" s="9" t="s">
        <v>229</v>
      </c>
      <c r="G288" s="8">
        <f>1.29/1000*G289</f>
        <v>1.29</v>
      </c>
      <c r="H288" s="19">
        <f t="shared" si="38"/>
        <v>4.4499558882777386</v>
      </c>
      <c r="I288" s="8" t="s">
        <v>158</v>
      </c>
    </row>
    <row r="289" spans="5:9">
      <c r="E289" s="7" t="s">
        <v>45</v>
      </c>
      <c r="F289" s="9" t="s">
        <v>131</v>
      </c>
      <c r="G289" s="8">
        <v>1000</v>
      </c>
      <c r="H289" s="19">
        <f>H169</f>
        <v>3449.578207967239</v>
      </c>
      <c r="I289" s="8" t="s">
        <v>151</v>
      </c>
    </row>
    <row r="290" spans="5:9">
      <c r="E290" s="7"/>
      <c r="F290" s="9" t="s">
        <v>149</v>
      </c>
      <c r="G290" s="15">
        <f>G268-G289-G291</f>
        <v>52.24257894736855</v>
      </c>
      <c r="H290" s="19">
        <f>H$289/G$289*G290</f>
        <v>180.2148618648506</v>
      </c>
      <c r="I290" s="8" t="s">
        <v>157</v>
      </c>
    </row>
    <row r="291" spans="5:9">
      <c r="E291" s="7"/>
      <c r="F291" s="9" t="s">
        <v>150</v>
      </c>
      <c r="G291" s="17">
        <f>ROUND(0.37/1000*G268,3)</f>
        <v>0.38900000000000001</v>
      </c>
      <c r="H291" s="19">
        <f t="shared" ref="H291:H296" si="39">H$289/G$289*G291</f>
        <v>1.3418859228992559</v>
      </c>
      <c r="I291" s="8" t="s">
        <v>157</v>
      </c>
    </row>
    <row r="292" spans="5:9">
      <c r="E292" s="7"/>
      <c r="F292" s="9" t="s">
        <v>404</v>
      </c>
      <c r="G292" s="8">
        <f>(G272+G273+G276+G277+G280+G281+G283+G283+G283+G286+G284)</f>
        <v>1197.5404999999998</v>
      </c>
      <c r="H292" s="19">
        <f t="shared" si="39"/>
        <v>4131.0096119581904</v>
      </c>
      <c r="I292" s="8" t="s">
        <v>151</v>
      </c>
    </row>
    <row r="293" spans="5:9">
      <c r="E293" s="7"/>
      <c r="F293" s="9" t="s">
        <v>124</v>
      </c>
      <c r="G293" s="8">
        <f>ROUND(70*G292/1000*1000/1000000,3)</f>
        <v>8.4000000000000005E-2</v>
      </c>
      <c r="H293" s="19">
        <f t="shared" si="39"/>
        <v>0.28976456946924806</v>
      </c>
      <c r="I293" s="8" t="s">
        <v>151</v>
      </c>
    </row>
    <row r="294" spans="5:9">
      <c r="E294" s="7"/>
      <c r="F294" s="9" t="s">
        <v>144</v>
      </c>
      <c r="G294" s="8">
        <f>ROUND(70*G292/1000*1000/1000000,3)</f>
        <v>8.4000000000000005E-2</v>
      </c>
      <c r="H294" s="19">
        <f t="shared" si="39"/>
        <v>0.28976456946924806</v>
      </c>
      <c r="I294" s="8" t="s">
        <v>151</v>
      </c>
    </row>
    <row r="295" spans="5:9">
      <c r="E295" s="7"/>
      <c r="F295" s="9" t="s">
        <v>145</v>
      </c>
      <c r="G295" s="8">
        <f>ROUND(440*G292/1000*1000/1000000,3)</f>
        <v>0.52700000000000002</v>
      </c>
      <c r="H295" s="19">
        <f t="shared" si="39"/>
        <v>1.817927715598735</v>
      </c>
      <c r="I295" s="8" t="s">
        <v>151</v>
      </c>
    </row>
    <row r="296" spans="5:9" ht="17">
      <c r="E296" s="7"/>
      <c r="F296" s="9" t="s">
        <v>441</v>
      </c>
      <c r="G296" s="8">
        <f>ROUND(20*G292*1000/1000/1000000,3)</f>
        <v>2.4E-2</v>
      </c>
      <c r="H296" s="19">
        <f t="shared" si="39"/>
        <v>8.2789876991213734E-2</v>
      </c>
      <c r="I296" s="8" t="s">
        <v>151</v>
      </c>
    </row>
    <row r="299" spans="5:9">
      <c r="E299" s="79" t="s">
        <v>152</v>
      </c>
      <c r="F299" s="80"/>
      <c r="G299" s="34" t="s">
        <v>374</v>
      </c>
      <c r="H299" s="34" t="s">
        <v>373</v>
      </c>
      <c r="I299" s="34" t="s">
        <v>290</v>
      </c>
    </row>
    <row r="300" spans="5:9">
      <c r="E300" s="7" t="s">
        <v>43</v>
      </c>
      <c r="F300" s="9" t="s">
        <v>174</v>
      </c>
      <c r="G300" s="16">
        <v>0.98</v>
      </c>
      <c r="H300" s="81"/>
      <c r="I300" s="82"/>
    </row>
    <row r="301" spans="5:9">
      <c r="E301" s="7"/>
      <c r="F301" s="9" t="s">
        <v>175</v>
      </c>
      <c r="G301" s="8">
        <v>600</v>
      </c>
      <c r="H301" s="83"/>
      <c r="I301" s="84"/>
    </row>
    <row r="302" spans="5:9">
      <c r="E302" s="7"/>
      <c r="F302" s="9" t="s">
        <v>180</v>
      </c>
      <c r="G302" s="8">
        <v>120</v>
      </c>
      <c r="H302" s="83"/>
      <c r="I302" s="84"/>
    </row>
    <row r="303" spans="5:9">
      <c r="E303" s="7"/>
      <c r="F303" s="9" t="s">
        <v>176</v>
      </c>
      <c r="G303" s="8">
        <v>0.05</v>
      </c>
      <c r="H303" s="83"/>
      <c r="I303" s="84"/>
    </row>
    <row r="304" spans="5:9">
      <c r="E304" s="7"/>
      <c r="F304" s="9" t="s">
        <v>181</v>
      </c>
      <c r="G304" s="8">
        <v>4480</v>
      </c>
      <c r="H304" s="83"/>
      <c r="I304" s="84"/>
    </row>
    <row r="305" spans="5:9">
      <c r="E305" s="7"/>
      <c r="F305" s="9" t="s">
        <v>177</v>
      </c>
      <c r="G305" s="8">
        <v>5</v>
      </c>
      <c r="H305" s="83"/>
      <c r="I305" s="84"/>
    </row>
    <row r="306" spans="5:9">
      <c r="E306" s="7"/>
      <c r="F306" s="9" t="s">
        <v>178</v>
      </c>
      <c r="G306" s="8">
        <v>16.5</v>
      </c>
      <c r="H306" s="83"/>
      <c r="I306" s="84"/>
    </row>
    <row r="307" spans="5:9">
      <c r="E307" s="7"/>
      <c r="F307" s="9" t="s">
        <v>179</v>
      </c>
      <c r="G307" s="8">
        <v>13</v>
      </c>
      <c r="H307" s="83"/>
      <c r="I307" s="84"/>
    </row>
    <row r="308" spans="5:9">
      <c r="E308" s="7"/>
      <c r="F308" s="9" t="s">
        <v>182</v>
      </c>
      <c r="G308" s="8">
        <v>1236</v>
      </c>
      <c r="H308" s="83"/>
      <c r="I308" s="84"/>
    </row>
    <row r="309" spans="5:9">
      <c r="E309" s="7"/>
      <c r="F309" s="9" t="s">
        <v>183</v>
      </c>
      <c r="G309" s="8">
        <v>1854</v>
      </c>
      <c r="H309" s="83"/>
      <c r="I309" s="84"/>
    </row>
    <row r="310" spans="5:9">
      <c r="E310" s="7"/>
      <c r="F310" s="9" t="s">
        <v>173</v>
      </c>
      <c r="G310" s="8">
        <v>1.3</v>
      </c>
      <c r="H310" s="83"/>
      <c r="I310" s="84"/>
    </row>
    <row r="311" spans="5:9">
      <c r="E311" s="7"/>
      <c r="F311" s="9" t="s">
        <v>153</v>
      </c>
      <c r="G311" s="8">
        <v>8</v>
      </c>
      <c r="H311" s="83"/>
      <c r="I311" s="84"/>
    </row>
    <row r="312" spans="5:9">
      <c r="E312" s="7"/>
      <c r="F312" s="9" t="s">
        <v>154</v>
      </c>
      <c r="G312" s="8">
        <v>3</v>
      </c>
      <c r="H312" s="83"/>
      <c r="I312" s="84"/>
    </row>
    <row r="313" spans="5:9">
      <c r="E313" s="7"/>
      <c r="F313" s="9" t="s">
        <v>155</v>
      </c>
      <c r="G313" s="8">
        <v>0.1</v>
      </c>
      <c r="H313" s="83"/>
      <c r="I313" s="84"/>
    </row>
    <row r="314" spans="5:9">
      <c r="E314" s="7"/>
      <c r="F314" s="9" t="s">
        <v>156</v>
      </c>
      <c r="G314" s="8">
        <v>0.05</v>
      </c>
      <c r="H314" s="83"/>
      <c r="I314" s="84"/>
    </row>
    <row r="315" spans="5:9">
      <c r="E315" s="7"/>
      <c r="F315" s="9" t="s">
        <v>267</v>
      </c>
      <c r="G315" s="8">
        <v>7403</v>
      </c>
      <c r="H315" s="91"/>
      <c r="I315" s="92"/>
    </row>
    <row r="316" spans="5:9">
      <c r="E316" s="7" t="s">
        <v>44</v>
      </c>
      <c r="F316" s="9" t="s">
        <v>230</v>
      </c>
      <c r="G316" s="15">
        <f>G337/G300</f>
        <v>1020.4081632653061</v>
      </c>
      <c r="H316" s="19">
        <f>H$337/G$337*G316</f>
        <v>1499.2436530150023</v>
      </c>
      <c r="I316" s="8" t="s">
        <v>165</v>
      </c>
    </row>
    <row r="317" spans="5:9">
      <c r="E317" s="7"/>
      <c r="F317" s="9" t="s">
        <v>59</v>
      </c>
      <c r="G317" s="8">
        <f>ROUND(G316/1000*G301,3)</f>
        <v>612.245</v>
      </c>
      <c r="H317" s="19">
        <f>H$337/G$337*G317</f>
        <v>899.54634173336672</v>
      </c>
      <c r="I317" s="8" t="s">
        <v>165</v>
      </c>
    </row>
    <row r="318" spans="5:9">
      <c r="E318" s="7"/>
      <c r="F318" s="9" t="s">
        <v>146</v>
      </c>
      <c r="G318" s="8">
        <f>ROUND(0.18/1000*G316,3)</f>
        <v>0.184</v>
      </c>
      <c r="H318" s="19">
        <f t="shared" ref="H318:H322" si="40">H$337/G$337*G318</f>
        <v>0.27034361551166525</v>
      </c>
      <c r="I318" s="8" t="s">
        <v>165</v>
      </c>
    </row>
    <row r="319" spans="5:9">
      <c r="E319" s="7"/>
      <c r="F319" s="9" t="s">
        <v>59</v>
      </c>
      <c r="G319" s="8">
        <f>ROUND(G302*G315*G314/G311/G303/3600,3)</f>
        <v>30.846</v>
      </c>
      <c r="H319" s="19">
        <f t="shared" si="40"/>
        <v>45.320756326482751</v>
      </c>
      <c r="I319" s="8" t="s">
        <v>172</v>
      </c>
    </row>
    <row r="320" spans="5:9">
      <c r="E320" s="7"/>
      <c r="F320" s="9" t="s">
        <v>147</v>
      </c>
      <c r="G320" s="17">
        <f>ROUND(G315*G314/G311*0.00069,3)</f>
        <v>3.2000000000000001E-2</v>
      </c>
      <c r="H320" s="19">
        <f t="shared" si="40"/>
        <v>4.7016280958550476E-2</v>
      </c>
      <c r="I320" s="8" t="s">
        <v>172</v>
      </c>
    </row>
    <row r="321" spans="5:9">
      <c r="E321" s="7"/>
      <c r="F321" s="9" t="s">
        <v>120</v>
      </c>
      <c r="G321" s="8">
        <f>G320*80</f>
        <v>2.56</v>
      </c>
      <c r="H321" s="19">
        <f t="shared" si="40"/>
        <v>3.7613024766840382</v>
      </c>
      <c r="I321" s="8" t="s">
        <v>172</v>
      </c>
    </row>
    <row r="322" spans="5:9">
      <c r="E322" s="7"/>
      <c r="F322" s="9" t="s">
        <v>445</v>
      </c>
      <c r="G322" s="8">
        <f>ROUND(G310*G316/1000*1000,3)</f>
        <v>1326.5309999999999</v>
      </c>
      <c r="H322" s="19">
        <f t="shared" si="40"/>
        <v>1949.0173186320912</v>
      </c>
      <c r="I322" s="8" t="s">
        <v>172</v>
      </c>
    </row>
    <row r="323" spans="5:9">
      <c r="E323" s="7"/>
      <c r="F323" s="9" t="s">
        <v>59</v>
      </c>
      <c r="G323" s="8">
        <f>ROUND((G304+G308+G309)*G315*G314/G312/G305/3600,3)</f>
        <v>51.89</v>
      </c>
      <c r="H323" s="19">
        <f>H$337/G$337*G323</f>
        <v>76.239838091849506</v>
      </c>
      <c r="I323" s="8" t="s">
        <v>171</v>
      </c>
    </row>
    <row r="324" spans="5:9">
      <c r="E324" s="7"/>
      <c r="F324" s="9" t="s">
        <v>120</v>
      </c>
      <c r="G324" s="8">
        <f>ROUND(G331*G314/G312,3)</f>
        <v>12.092000000000001</v>
      </c>
      <c r="H324" s="19">
        <f>H$337/G$337*G324</f>
        <v>17.766277167212262</v>
      </c>
      <c r="I324" s="8" t="s">
        <v>171</v>
      </c>
    </row>
    <row r="325" spans="5:9">
      <c r="E325" s="7"/>
      <c r="F325" s="9" t="s">
        <v>148</v>
      </c>
      <c r="G325" s="8">
        <f>ROUND(G324*0.032,3)</f>
        <v>0.38700000000000001</v>
      </c>
      <c r="H325" s="19">
        <f t="shared" ref="H325:H327" si="41">H$337/G$337*G325</f>
        <v>0.56860314784246979</v>
      </c>
      <c r="I325" s="8" t="s">
        <v>171</v>
      </c>
    </row>
    <row r="326" spans="5:9">
      <c r="E326" s="7"/>
      <c r="F326" s="9" t="s">
        <v>59</v>
      </c>
      <c r="G326" s="8">
        <f>140.2/1000*G337</f>
        <v>140.19999999999999</v>
      </c>
      <c r="H326" s="19">
        <f t="shared" si="41"/>
        <v>205.99008094964924</v>
      </c>
      <c r="I326" s="8" t="s">
        <v>170</v>
      </c>
    </row>
    <row r="327" spans="5:9">
      <c r="E327" s="7"/>
      <c r="F327" s="9" t="s">
        <v>59</v>
      </c>
      <c r="G327" s="8">
        <f>ROUND((G304+G308+G309)*G315*G314/G313/G306/3600,3)</f>
        <v>471.72300000000001</v>
      </c>
      <c r="H327" s="19">
        <f t="shared" si="41"/>
        <v>693.08315945657205</v>
      </c>
      <c r="I327" s="8" t="s">
        <v>169</v>
      </c>
    </row>
    <row r="328" spans="5:9">
      <c r="E328" s="7"/>
      <c r="F328" s="9" t="s">
        <v>120</v>
      </c>
      <c r="G328" s="8">
        <f>G331*G314/G313</f>
        <v>362.74700000000001</v>
      </c>
      <c r="H328" s="19">
        <f>H$337/G$337*G328</f>
        <v>532.9692146522284</v>
      </c>
      <c r="I328" s="8" t="s">
        <v>169</v>
      </c>
    </row>
    <row r="329" spans="5:9">
      <c r="E329" s="7"/>
      <c r="F329" s="9" t="s">
        <v>148</v>
      </c>
      <c r="G329" s="8">
        <f>ROUND(G328*0.032,3)</f>
        <v>11.608000000000001</v>
      </c>
      <c r="H329" s="19">
        <f>H$337/G$337*G329</f>
        <v>17.055155917714185</v>
      </c>
      <c r="I329" s="8" t="s">
        <v>169</v>
      </c>
    </row>
    <row r="330" spans="5:9">
      <c r="E330" s="7"/>
      <c r="F330" s="9" t="s">
        <v>59</v>
      </c>
      <c r="G330" s="8">
        <f>50.1/1000*G337</f>
        <v>50.1</v>
      </c>
      <c r="H330" s="19">
        <f>H$337/G$337*G330</f>
        <v>73.609864875730594</v>
      </c>
      <c r="I330" s="8" t="s">
        <v>168</v>
      </c>
    </row>
    <row r="331" spans="5:9">
      <c r="E331" s="7"/>
      <c r="F331" s="9" t="s">
        <v>120</v>
      </c>
      <c r="G331" s="8">
        <f>G315*0.098</f>
        <v>725.49400000000003</v>
      </c>
      <c r="H331" s="19">
        <f>H$337/G$337*G331</f>
        <v>1065.9384293044568</v>
      </c>
      <c r="I331" s="8" t="s">
        <v>167</v>
      </c>
    </row>
    <row r="332" spans="5:9">
      <c r="E332" s="7"/>
      <c r="F332" s="9" t="s">
        <v>148</v>
      </c>
      <c r="G332" s="8">
        <f>ROUND(G331*0.032,3)</f>
        <v>23.216000000000001</v>
      </c>
      <c r="H332" s="19">
        <f t="shared" ref="H332:H336" si="42">H$337/G$337*G332</f>
        <v>34.110311835428369</v>
      </c>
      <c r="I332" s="8" t="s">
        <v>167</v>
      </c>
    </row>
    <row r="333" spans="5:9">
      <c r="E333" s="7"/>
      <c r="F333" s="9" t="s">
        <v>59</v>
      </c>
      <c r="G333" s="8">
        <f>ROUND((G304+G308+G309)*G315/G307/3600,3)</f>
        <v>1197.451</v>
      </c>
      <c r="H333" s="19">
        <f t="shared" si="42"/>
        <v>1759.3653953155383</v>
      </c>
      <c r="I333" s="8" t="s">
        <v>167</v>
      </c>
    </row>
    <row r="334" spans="5:9">
      <c r="E334" s="7"/>
      <c r="F334" s="9" t="s">
        <v>443</v>
      </c>
      <c r="G334" s="8">
        <f>31.8/1000*G337</f>
        <v>31.8</v>
      </c>
      <c r="H334" s="19">
        <f t="shared" si="42"/>
        <v>46.722429202559532</v>
      </c>
      <c r="I334" s="8" t="s">
        <v>166</v>
      </c>
    </row>
    <row r="335" spans="5:9">
      <c r="E335" s="7"/>
      <c r="F335" s="9" t="s">
        <v>59</v>
      </c>
      <c r="G335" s="8">
        <f>129.9/1000*G337</f>
        <v>129.9</v>
      </c>
      <c r="H335" s="19">
        <f t="shared" si="42"/>
        <v>190.85671551611586</v>
      </c>
      <c r="I335" s="8" t="s">
        <v>166</v>
      </c>
    </row>
    <row r="336" spans="5:9" ht="14.4" customHeight="1">
      <c r="E336" s="7"/>
      <c r="F336" s="9" t="s">
        <v>229</v>
      </c>
      <c r="G336" s="8">
        <f>1.29/1000*G337</f>
        <v>1.29</v>
      </c>
      <c r="H336" s="19">
        <f t="shared" si="42"/>
        <v>1.895343826141566</v>
      </c>
      <c r="I336" s="8" t="s">
        <v>166</v>
      </c>
    </row>
    <row r="337" spans="5:9">
      <c r="E337" s="7" t="s">
        <v>45</v>
      </c>
      <c r="F337" s="9" t="s">
        <v>197</v>
      </c>
      <c r="G337" s="8">
        <v>1000</v>
      </c>
      <c r="H337" s="19">
        <f>H227</f>
        <v>1469.2587799547023</v>
      </c>
      <c r="I337" s="8" t="s">
        <v>152</v>
      </c>
    </row>
    <row r="338" spans="5:9">
      <c r="E338" s="7"/>
      <c r="F338" s="9" t="s">
        <v>149</v>
      </c>
      <c r="G338" s="15">
        <f>G316-G337-G339</f>
        <v>20.030163265306143</v>
      </c>
      <c r="H338" s="19">
        <f>H$337/G$337*G338</f>
        <v>29.4294932414772</v>
      </c>
      <c r="I338" s="8" t="s">
        <v>165</v>
      </c>
    </row>
    <row r="339" spans="5:9">
      <c r="E339" s="7"/>
      <c r="F339" s="9" t="s">
        <v>150</v>
      </c>
      <c r="G339" s="17">
        <f>ROUND(0.37/1000*G316,3)</f>
        <v>0.378</v>
      </c>
      <c r="H339" s="19">
        <f>H$337/G$337*G339</f>
        <v>0.55537981882287746</v>
      </c>
      <c r="I339" s="8" t="s">
        <v>165</v>
      </c>
    </row>
    <row r="340" spans="5:9">
      <c r="E340" s="7"/>
      <c r="F340" s="9" t="s">
        <v>404</v>
      </c>
      <c r="G340" s="8">
        <f>(G320+G321+G324+G325+G328+G329+G331+G331+G331+G334+G332)</f>
        <v>2620.9240000000004</v>
      </c>
      <c r="H340" s="19">
        <f t="shared" ref="H340:H344" si="43">H$337/G$337*G340</f>
        <v>3850.8155985939989</v>
      </c>
      <c r="I340" s="8" t="s">
        <v>152</v>
      </c>
    </row>
    <row r="341" spans="5:9">
      <c r="E341" s="7"/>
      <c r="F341" s="9" t="s">
        <v>124</v>
      </c>
      <c r="G341" s="8">
        <f>ROUND(70*G340/1000*1000/1000000,3)</f>
        <v>0.183</v>
      </c>
      <c r="H341" s="19">
        <f t="shared" si="43"/>
        <v>0.26887435673171051</v>
      </c>
      <c r="I341" s="8" t="s">
        <v>152</v>
      </c>
    </row>
    <row r="342" spans="5:9">
      <c r="E342" s="7"/>
      <c r="F342" s="9" t="s">
        <v>144</v>
      </c>
      <c r="G342" s="8">
        <f>ROUND(70*G340/1000*1000/1000000,3)</f>
        <v>0.183</v>
      </c>
      <c r="H342" s="19">
        <f t="shared" si="43"/>
        <v>0.26887435673171051</v>
      </c>
      <c r="I342" s="8" t="s">
        <v>152</v>
      </c>
    </row>
    <row r="343" spans="5:9">
      <c r="E343" s="7"/>
      <c r="F343" s="9" t="s">
        <v>145</v>
      </c>
      <c r="G343" s="8">
        <f>ROUND(440*G340/1000*1000/1000000,3)</f>
        <v>1.153</v>
      </c>
      <c r="H343" s="19">
        <f t="shared" si="43"/>
        <v>1.6940553732877719</v>
      </c>
      <c r="I343" s="8" t="s">
        <v>152</v>
      </c>
    </row>
    <row r="344" spans="5:9" ht="17">
      <c r="E344" s="7"/>
      <c r="F344" s="9" t="s">
        <v>441</v>
      </c>
      <c r="G344" s="8">
        <f>ROUND(20*G340*1000/1000/1000000,3)</f>
        <v>5.1999999999999998E-2</v>
      </c>
      <c r="H344" s="19">
        <f t="shared" si="43"/>
        <v>7.640145655764452E-2</v>
      </c>
      <c r="I344" s="8" t="s">
        <v>152</v>
      </c>
    </row>
    <row r="380" ht="17.149999999999999" customHeight="1"/>
  </sheetData>
  <mergeCells count="41">
    <mergeCell ref="A1:C2"/>
    <mergeCell ref="A18:B18"/>
    <mergeCell ref="A23:C23"/>
    <mergeCell ref="E3:I4"/>
    <mergeCell ref="E7:E17"/>
    <mergeCell ref="A3:C4"/>
    <mergeCell ref="E19:F19"/>
    <mergeCell ref="A19:C21"/>
    <mergeCell ref="H20:I28"/>
    <mergeCell ref="E299:F299"/>
    <mergeCell ref="E251:F251"/>
    <mergeCell ref="E222:F222"/>
    <mergeCell ref="E64:F64"/>
    <mergeCell ref="E49:F49"/>
    <mergeCell ref="E156:F156"/>
    <mergeCell ref="E119:F119"/>
    <mergeCell ref="E104:F104"/>
    <mergeCell ref="E90:F90"/>
    <mergeCell ref="H157:I168"/>
    <mergeCell ref="H65:I78"/>
    <mergeCell ref="H50:I58"/>
    <mergeCell ref="H35:I43"/>
    <mergeCell ref="H300:I315"/>
    <mergeCell ref="H252:I267"/>
    <mergeCell ref="H105:I108"/>
    <mergeCell ref="H91:I98"/>
    <mergeCell ref="H223:I226"/>
    <mergeCell ref="K128:N128"/>
    <mergeCell ref="K155:N155"/>
    <mergeCell ref="E34:F34"/>
    <mergeCell ref="K39:N39"/>
    <mergeCell ref="K72:N72"/>
    <mergeCell ref="H120:I147"/>
    <mergeCell ref="U52:Y69"/>
    <mergeCell ref="K3:N4"/>
    <mergeCell ref="P3:S4"/>
    <mergeCell ref="Y3:AQ4"/>
    <mergeCell ref="U3:X4"/>
    <mergeCell ref="U5:X5"/>
    <mergeCell ref="P5:S5"/>
    <mergeCell ref="K5:N5"/>
  </mergeCells>
  <phoneticPr fontId="1" type="noConversion"/>
  <hyperlinks>
    <hyperlink ref="G7" location="Sheet1!E251" display="E251" xr:uid="{DC763B08-D114-4C99-A431-1B59AF526DA9}"/>
    <hyperlink ref="G8" location="Sheet1!E299" display="E299" xr:uid="{1B9B8D11-1A99-4E44-B76D-AC9CEAA3F1BD}"/>
    <hyperlink ref="G9" location="Sheet1!E156" display="E156" xr:uid="{36201068-0E73-47FC-B143-DECCC0BD5805}"/>
    <hyperlink ref="G10" location="Sheet1!E222" display="E222" xr:uid="{248A0E9A-7C45-4E6C-B078-36456B16CF16}"/>
    <hyperlink ref="G11" location="Sheet1!E19" display="E19" xr:uid="{1D2CD20A-27FD-43F8-91E8-56ABC45CB29C}"/>
    <hyperlink ref="G12" location="Sheet1!E34" display="E34" xr:uid="{185BBBD7-5F0B-4097-A6E9-4AB596B788C4}"/>
    <hyperlink ref="G13" location="Sheet1!E49" display="E49" xr:uid="{911688BB-7345-45DF-A3D3-67AC2FFF4C32}"/>
    <hyperlink ref="G14" location="Sheet1!E64" display="E64" xr:uid="{3294F172-94C3-4A60-A746-12D357066174}"/>
    <hyperlink ref="G15" location="Sheet1!E90" display="E90" xr:uid="{1C79F8CC-F135-4DDF-A37A-D70D4FA1F838}"/>
    <hyperlink ref="G16" location="Sheet1!E104" display="E104" xr:uid="{A7EEB2F0-9AD9-433B-9E12-DE28FCDD46A4}"/>
    <hyperlink ref="G17" location="Sheet1!E119" display="E119" xr:uid="{81EB6474-6293-4FD9-8385-74C164E9B8B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B21096E1F2104290D0441D4E66CE2E" ma:contentTypeVersion="3" ma:contentTypeDescription="Crée un document." ma:contentTypeScope="" ma:versionID="ca3d377e9b84d0ec5f66c88d9379dd08">
  <xsd:schema xmlns:xsd="http://www.w3.org/2001/XMLSchema" xmlns:xs="http://www.w3.org/2001/XMLSchema" xmlns:p="http://schemas.microsoft.com/office/2006/metadata/properties" xmlns:ns2="34694feb-e1e5-4852-a394-0514edbce58b" targetNamespace="http://schemas.microsoft.com/office/2006/metadata/properties" ma:root="true" ma:fieldsID="91663c5e3ea70f04aed3613a1f98d027" ns2:_="">
    <xsd:import namespace="34694feb-e1e5-4852-a394-0514edbce58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94feb-e1e5-4852-a394-0514edbce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295DAA-7C65-4D85-9494-25FBB784DAB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5E3AC2F-F467-4133-AABD-EAD94DBB339B}">
  <ds:schemaRefs>
    <ds:schemaRef ds:uri="http://schemas.microsoft.com/sharepoint/v3/contenttype/forms"/>
  </ds:schemaRefs>
</ds:datastoreItem>
</file>

<file path=customXml/itemProps3.xml><?xml version="1.0" encoding="utf-8"?>
<ds:datastoreItem xmlns:ds="http://schemas.openxmlformats.org/officeDocument/2006/customXml" ds:itemID="{2851E8DC-FCFA-4DA5-8E14-2EA758A5FD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94feb-e1e5-4852-a394-0514edbce5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Sheet1</vt:lpstr>
      <vt:lpstr>Sheet1!_Hlk99272863</vt:lpstr>
      <vt:lpstr>Sheet1!OLE_LINK3</vt:lpstr>
      <vt:lpstr>Sheet1!OLE_LINK5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2025-07-02T13:58:40Z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0x01010038B21096E1F2104290D0441D4E66CE2E</vt:lpwstr>
  </property>
  <property fmtid="{D5CDD505-2E9C-101B-9397-08002B2CF9AE}" pid="3" name="MSIP_Label_d55f6660-0408-47d2-ae31-f46329b4bd81_Enabled">
    <vt:lpwstr>true</vt:lpwstr>
  </property>
  <property fmtid="{D5CDD505-2E9C-101B-9397-08002B2CF9AE}" pid="4" name="MSIP_Label_d55f6660-0408-47d2-ae31-f46329b4bd81_SetDate">
    <vt:lpwstr>2025-07-02T13:58:18Z</vt:lpwstr>
  </property>
  <property fmtid="{D5CDD505-2E9C-101B-9397-08002B2CF9AE}" pid="5" name="MSIP_Label_d55f6660-0408-47d2-ae31-f46329b4bd81_Method">
    <vt:lpwstr>Standard</vt:lpwstr>
  </property>
  <property fmtid="{D5CDD505-2E9C-101B-9397-08002B2CF9AE}" pid="6" name="MSIP_Label_d55f6660-0408-47d2-ae31-f46329b4bd81_Name">
    <vt:lpwstr>General</vt:lpwstr>
  </property>
  <property fmtid="{D5CDD505-2E9C-101B-9397-08002B2CF9AE}" pid="7" name="MSIP_Label_d55f6660-0408-47d2-ae31-f46329b4bd81_SiteId">
    <vt:lpwstr>1f141cfd-a6c5-4e9a-bf84-7116c141e5f4</vt:lpwstr>
  </property>
  <property fmtid="{D5CDD505-2E9C-101B-9397-08002B2CF9AE}" pid="8" name="MSIP_Label_d55f6660-0408-47d2-ae31-f46329b4bd81_ActionId">
    <vt:lpwstr>096816bd-6a52-44e7-99d9-548198bfbb88</vt:lpwstr>
  </property>
  <property fmtid="{D5CDD505-2E9C-101B-9397-08002B2CF9AE}" pid="9" name="MSIP_Label_d55f6660-0408-47d2-ae31-f46329b4bd81_ContentBits">
    <vt:lpwstr>0</vt:lpwstr>
  </property>
</Properties>
</file>